
<file path=[Content_Types].xml><?xml version="1.0" encoding="utf-8"?>
<Types xmlns="http://schemas.openxmlformats.org/package/2006/content-types">
  <Default Extension="vml" ContentType="application/vnd.openxmlformats-officedocument.vmlDrawing"/>
  <Default Extension="png" ContentType="image/p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17.bin" ContentType="application/vnd.ms-office.activeX"/>
  <Override PartName="/xl/activeX/activeX17.xml" ContentType="application/vnd.ms-office.activeX+xml"/>
  <Override PartName="/xl/activeX/activeX18.bin" ContentType="application/vnd.ms-office.activeX"/>
  <Override PartName="/xl/activeX/activeX18.xml" ContentType="application/vnd.ms-office.activeX+xml"/>
  <Override PartName="/xl/activeX/activeX19.bin" ContentType="application/vnd.ms-office.activeX"/>
  <Override PartName="/xl/activeX/activeX1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1.bin" ContentType="application/vnd.ms-office.activeX"/>
  <Override PartName="/xl/activeX/activeX21.xml" ContentType="application/vnd.ms-office.activeX+xml"/>
  <Override PartName="/xl/activeX/activeX22.bin" ContentType="application/vnd.ms-office.activeX"/>
  <Override PartName="/xl/activeX/activeX22.xml" ContentType="application/vnd.ms-office.activeX+xml"/>
  <Override PartName="/xl/activeX/activeX23.bin" ContentType="application/vnd.ms-office.activeX"/>
  <Override PartName="/xl/activeX/activeX24.bin" ContentType="application/vnd.ms-office.activeX"/>
  <Override PartName="/xl/activeX/activeX24.xml" ContentType="application/vnd.ms-office.activeX+xml"/>
  <Override PartName="/xl/activeX/activeX25.bin" ContentType="application/vnd.ms-office.activeX"/>
  <Override PartName="/xl/activeX/activeX26.bin" ContentType="application/vnd.ms-office.activeX"/>
  <Override PartName="/xl/activeX/activeX27.bin" ContentType="application/vnd.ms-office.activeX"/>
  <Override PartName="/xl/activeX/activeX28.bin" ContentType="application/vnd.ms-office.activeX"/>
  <Override PartName="/xl/activeX/activeX29.bin" ContentType="application/vnd.ms-office.activeX"/>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1.bin" ContentType="application/vnd.ms-office.activeX"/>
  <Override PartName="/xl/activeX/activeX32.bin" ContentType="application/vnd.ms-office.activeX"/>
  <Override PartName="/xl/activeX/activeX33.bin" ContentType="application/vnd.ms-office.activeX"/>
  <Override PartName="/xl/activeX/activeX38.xml" ContentType="application/vnd.ms-office.activeX+xml"/>
  <Override PartName="/xl/activeX/activeX4.bin" ContentType="application/vnd.ms-office.activeX"/>
  <Override PartName="/xl/activeX/activeX4.xml" ContentType="application/vnd.ms-office.activeX+xml"/>
  <Override PartName="/xl/activeX/activeX47.xml" ContentType="application/vnd.ms-office.activeX+xml"/>
  <Override PartName="/xl/activeX/activeX5.bin" ContentType="application/vnd.ms-office.activeX"/>
  <Override PartName="/xl/activeX/activeX5.xml" ContentType="application/vnd.ms-office.activeX+xml"/>
  <Override PartName="/xl/activeX/activeX55.xml" ContentType="application/vnd.ms-office.activeX+xml"/>
  <Override PartName="/xl/activeX/activeX56.xml" ContentType="application/vnd.ms-office.activeX+xml"/>
  <Override PartName="/xl/activeX/activeX6.bin" ContentType="application/vnd.ms-office.activeX"/>
  <Override PartName="/xl/activeX/activeX6.xml" ContentType="application/vnd.ms-office.activeX+xml"/>
  <Override PartName="/xl/activeX/activeX61.xml" ContentType="application/vnd.ms-office.activeX+xml"/>
  <Override PartName="/xl/activeX/activeX63.xml" ContentType="application/vnd.ms-office.activeX+xml"/>
  <Override PartName="/xl/activeX/activeX67.xml" ContentType="application/vnd.ms-office.activeX+xml"/>
  <Override PartName="/xl/activeX/activeX7.bin" ContentType="application/vnd.ms-office.activeX"/>
  <Override PartName="/xl/activeX/activeX7.xml" ContentType="application/vnd.ms-office.activeX+xml"/>
  <Override PartName="/xl/activeX/activeX75.xml" ContentType="application/vnd.ms-office.activeX+xml"/>
  <Override PartName="/xl/activeX/activeX78.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olors1.xml" ContentType="application/vnd.ms-office.chartcolorstyle+xml"/>
  <Override PartName="/xl/charts/colors10.xml" ContentType="application/vnd.ms-office.chartcolorstyle+xml"/>
  <Override PartName="/xl/charts/colors11.xml" ContentType="application/vnd.ms-office.chartcolorstyle+xml"/>
  <Override PartName="/xl/charts/colors12.xml" ContentType="application/vnd.ms-office.chartcolorstyle+xml"/>
  <Override PartName="/xl/charts/colors13.xml" ContentType="application/vnd.ms-office.chartcolorstyle+xml"/>
  <Override PartName="/xl/charts/colors14.xml" ContentType="application/vnd.ms-office.chartcolorstyle+xml"/>
  <Override PartName="/xl/charts/colors15.xml" ContentType="application/vnd.ms-office.chartcolorstyle+xml"/>
  <Override PartName="/xl/charts/colors16.xml" ContentType="application/vnd.ms-office.chartcolorstyle+xml"/>
  <Override PartName="/xl/charts/colors17.xml" ContentType="application/vnd.ms-office.chartcolorstyle+xml"/>
  <Override PartName="/xl/charts/colors18.xml" ContentType="application/vnd.ms-office.chartcolorstyle+xml"/>
  <Override PartName="/xl/charts/colors19.xml" ContentType="application/vnd.ms-office.chartcolorstyle+xml"/>
  <Override PartName="/xl/charts/colors2.xml" ContentType="application/vnd.ms-office.chartcolorstyle+xml"/>
  <Override PartName="/xl/charts/colors20.xml" ContentType="application/vnd.ms-office.chartcolorstyle+xml"/>
  <Override PartName="/xl/charts/colors21.xml" ContentType="application/vnd.ms-office.chartcolorstyle+xml"/>
  <Override PartName="/xl/charts/colors22.xml" ContentType="application/vnd.ms-office.chartcolorstyle+xml"/>
  <Override PartName="/xl/charts/colors23.xml" ContentType="application/vnd.ms-office.chartcolorstyle+xml"/>
  <Override PartName="/xl/charts/colors24.xml" ContentType="application/vnd.ms-office.chartcolorstyle+xml"/>
  <Override PartName="/xl/charts/colors25.xml" ContentType="application/vnd.ms-office.chartcolorstyle+xml"/>
  <Override PartName="/xl/charts/colors26.xml" ContentType="application/vnd.ms-office.chartcolorstyle+xml"/>
  <Override PartName="/xl/charts/colors27.xml" ContentType="application/vnd.ms-office.chartcolorstyle+xml"/>
  <Override PartName="/xl/charts/colors28.xml" ContentType="application/vnd.ms-office.chartcolorstyle+xml"/>
  <Override PartName="/xl/charts/colors29.xml" ContentType="application/vnd.ms-office.chartcolorstyle+xml"/>
  <Override PartName="/xl/charts/colors3.xml" ContentType="application/vnd.ms-office.chartcolorstyle+xml"/>
  <Override PartName="/xl/charts/colors30.xml" ContentType="application/vnd.ms-office.chartcolorstyle+xml"/>
  <Override PartName="/xl/charts/colors31.xml" ContentType="application/vnd.ms-office.chartcolorstyle+xml"/>
  <Override PartName="/xl/charts/colors32.xml" ContentType="application/vnd.ms-office.chartcolorstyle+xml"/>
  <Override PartName="/xl/charts/colors33.xml" ContentType="application/vnd.ms-office.chartcolorstyle+xml"/>
  <Override PartName="/xl/charts/colors34.xml" ContentType="application/vnd.ms-office.chartcolorstyle+xml"/>
  <Override PartName="/xl/charts/colors35.xml" ContentType="application/vnd.ms-office.chartcolorstyle+xml"/>
  <Override PartName="/xl/charts/colors36.xml" ContentType="application/vnd.ms-office.chartcolorstyle+xml"/>
  <Override PartName="/xl/charts/colors37.xml" ContentType="application/vnd.ms-office.chartcolorstyle+xml"/>
  <Override PartName="/xl/charts/colors38.xml" ContentType="application/vnd.ms-office.chartcolorstyle+xml"/>
  <Override PartName="/xl/charts/colors39.xml" ContentType="application/vnd.ms-office.chartcolorstyle+xml"/>
  <Override PartName="/xl/charts/colors4.xml" ContentType="application/vnd.ms-office.chartcolorstyle+xml"/>
  <Override PartName="/xl/charts/colors40.xml" ContentType="application/vnd.ms-office.chartcolorstyle+xml"/>
  <Override PartName="/xl/charts/colors41.xml" ContentType="application/vnd.ms-office.chartcolorstyle+xml"/>
  <Override PartName="/xl/charts/colors42.xml" ContentType="application/vnd.ms-office.chartcolorstyle+xml"/>
  <Override PartName="/xl/charts/colors5.xml" ContentType="application/vnd.ms-office.chartcolorstyle+xml"/>
  <Override PartName="/xl/charts/colors6.xml" ContentType="application/vnd.ms-office.chartcolorstyle+xml"/>
  <Override PartName="/xl/charts/colors7.xml" ContentType="application/vnd.ms-office.chartcolorstyle+xml"/>
  <Override PartName="/xl/charts/colors8.xml" ContentType="application/vnd.ms-office.chartcolorstyle+xml"/>
  <Override PartName="/xl/charts/colors9.xml" ContentType="application/vnd.ms-office.chartcolorstyle+xml"/>
  <Override PartName="/xl/charts/style1.xml" ContentType="application/vnd.ms-office.chartstyle+xml"/>
  <Override PartName="/xl/charts/style10.xml" ContentType="application/vnd.ms-office.chartstyle+xml"/>
  <Override PartName="/xl/charts/style11.xml" ContentType="application/vnd.ms-office.chartstyle+xml"/>
  <Override PartName="/xl/charts/style12.xml" ContentType="application/vnd.ms-office.chartstyle+xml"/>
  <Override PartName="/xl/charts/style13.xml" ContentType="application/vnd.ms-office.chartstyle+xml"/>
  <Override PartName="/xl/charts/style14.xml" ContentType="application/vnd.ms-office.chartstyle+xml"/>
  <Override PartName="/xl/charts/style15.xml" ContentType="application/vnd.ms-office.chartstyle+xml"/>
  <Override PartName="/xl/charts/style16.xml" ContentType="application/vnd.ms-office.chartstyle+xml"/>
  <Override PartName="/xl/charts/style17.xml" ContentType="application/vnd.ms-office.chartstyle+xml"/>
  <Override PartName="/xl/charts/style18.xml" ContentType="application/vnd.ms-office.chartstyle+xml"/>
  <Override PartName="/xl/charts/style19.xml" ContentType="application/vnd.ms-office.chartstyle+xml"/>
  <Override PartName="/xl/charts/style2.xml" ContentType="application/vnd.ms-office.chartstyle+xml"/>
  <Override PartName="/xl/charts/style20.xml" ContentType="application/vnd.ms-office.chartstyle+xml"/>
  <Override PartName="/xl/charts/style21.xml" ContentType="application/vnd.ms-office.chartstyle+xml"/>
  <Override PartName="/xl/charts/style22.xml" ContentType="application/vnd.ms-office.chartstyle+xml"/>
  <Override PartName="/xl/charts/style23.xml" ContentType="application/vnd.ms-office.chartstyle+xml"/>
  <Override PartName="/xl/charts/style24.xml" ContentType="application/vnd.ms-office.chartstyle+xml"/>
  <Override PartName="/xl/charts/style25.xml" ContentType="application/vnd.ms-office.chartstyle+xml"/>
  <Override PartName="/xl/charts/style26.xml" ContentType="application/vnd.ms-office.chartstyle+xml"/>
  <Override PartName="/xl/charts/style27.xml" ContentType="application/vnd.ms-office.chartstyle+xml"/>
  <Override PartName="/xl/charts/style28.xml" ContentType="application/vnd.ms-office.chartstyle+xml"/>
  <Override PartName="/xl/charts/style29.xml" ContentType="application/vnd.ms-office.chartstyle+xml"/>
  <Override PartName="/xl/charts/style3.xml" ContentType="application/vnd.ms-office.chartstyle+xml"/>
  <Override PartName="/xl/charts/style30.xml" ContentType="application/vnd.ms-office.chartstyle+xml"/>
  <Override PartName="/xl/charts/style31.xml" ContentType="application/vnd.ms-office.chartstyle+xml"/>
  <Override PartName="/xl/charts/style32.xml" ContentType="application/vnd.ms-office.chartstyle+xml"/>
  <Override PartName="/xl/charts/style33.xml" ContentType="application/vnd.ms-office.chartstyle+xml"/>
  <Override PartName="/xl/charts/style34.xml" ContentType="application/vnd.ms-office.chartstyle+xml"/>
  <Override PartName="/xl/charts/style35.xml" ContentType="application/vnd.ms-office.chartstyle+xml"/>
  <Override PartName="/xl/charts/style36.xml" ContentType="application/vnd.ms-office.chartstyle+xml"/>
  <Override PartName="/xl/charts/style37.xml" ContentType="application/vnd.ms-office.chartstyle+xml"/>
  <Override PartName="/xl/charts/style38.xml" ContentType="application/vnd.ms-office.chartstyle+xml"/>
  <Override PartName="/xl/charts/style39.xml" ContentType="application/vnd.ms-office.chartstyle+xml"/>
  <Override PartName="/xl/charts/style4.xml" ContentType="application/vnd.ms-office.chartstyle+xml"/>
  <Override PartName="/xl/charts/style40.xml" ContentType="application/vnd.ms-office.chartstyle+xml"/>
  <Override PartName="/xl/charts/style41.xml" ContentType="application/vnd.ms-office.chartstyle+xml"/>
  <Override PartName="/xl/charts/style42.xml" ContentType="application/vnd.ms-office.chartstyle+xml"/>
  <Override PartName="/xl/charts/style5.xml" ContentType="application/vnd.ms-office.chartstyle+xml"/>
  <Override PartName="/xl/charts/style6.xml" ContentType="application/vnd.ms-office.chartstyle+xml"/>
  <Override PartName="/xl/charts/style7.xml" ContentType="application/vnd.ms-office.chartstyle+xml"/>
  <Override PartName="/xl/charts/style8.xml" ContentType="application/vnd.ms-office.chartstyle+xml"/>
  <Override PartName="/xl/charts/style9.xml" ContentType="application/vnd.ms-office.chartstyle+xml"/>
  <Override PartName="/xl/ctrlProps/ctrlProp23.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2.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xml" ContentType="application/vnd.openxmlformats-officedocument.drawing+xml"/>
  <Override PartName="/xl/drawings/drawing10.xml" ContentType="application/vnd.openxmlformats-officedocument.drawingml.chartshapes+xml"/>
  <Override PartName="/xl/drawings/drawing11.xml" ContentType="application/vnd.openxmlformats-officedocument.drawingml.chartshap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ml.chartshapes+xml"/>
  <Override PartName="/xl/drawings/drawing9.xml" ContentType="application/vnd.openxmlformats-officedocument.drawingml.chartshap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85" windowHeight="11595" tabRatio="880" firstSheet="3" activeTab="1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'Sim-Report'!$A$1058:$B$1058</definedName>
    <definedName name="CapacityDef">'Project-Start'!$B$344:$D$346</definedName>
    <definedName name="CapacityDR">'Sim-Report'!$A$1063:$B$1063</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'Sim-Report'!$A$168:$B$168</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'Sim-Report'!$A$241:$B$241</definedName>
    <definedName name="DebtTotal">'Project-Start'!$B$99:$G$99</definedName>
    <definedName name="DebtTotalFin">'Fin-Mgt'!$B$59:$F$59</definedName>
    <definedName name="DebtTotalMCS">'Monte-Carlo Simulation'!$A$68:$B$68</definedName>
    <definedName name="DebtTotalSim">'Sim-Report'!$A$248</definedName>
    <definedName name="Depreciation">'Project-Start'!$B$103:$F$104</definedName>
    <definedName name="DepreciationMCS">'Monte-Carlo Simulation'!$A$72:$B$72</definedName>
    <definedName name="DepreciationSim">'Sim-Report'!$A$253:$B$253</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'Sim-Report'!$A$147:$B$147</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'Sim-Report'!$A$164</definedName>
    <definedName name="EmptyRow">'Sim-Report'!$72:$72</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'Sim-Report'!$A$268:$B$268</definedName>
    <definedName name="FeesTotal">'Project-Start'!$B$120:$D$120</definedName>
    <definedName name="FeesTotalMCS">'Monte-Carlo Simulation'!$A$85:$B$85</definedName>
    <definedName name="FeesTotalSim">'Sim-Report'!$A$270</definedName>
    <definedName name="FinMarketFin">'Fin-Mgt'!$B$76:$E$76</definedName>
    <definedName name="FinMarketReport">'Sim-Report'!$A$261:$B$261</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'Sim-Report'!$A$73:$B$73</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'Sim-Report'!$A$207:$B$207</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'Sim-Report'!$A$227</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'Sim-Report'!$A$145:$B$145</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'Sim-Report'!$A$272:$B$272</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'Sim-Report'!$A$231:$B$231</definedName>
    <definedName name="RentTotal">'Project-Start'!$B$91:$F$91</definedName>
    <definedName name="RentTotalFin">'Fin-Mgt'!$B$50:$F$50</definedName>
    <definedName name="RentTotalMCS">'Monte-Carlo Simulation'!$A$62:$B$62</definedName>
    <definedName name="RentTotalOrg">'Org-Mgt'!$B$39:$F$39</definedName>
    <definedName name="RentTotalSim">'Sim-Report'!$A$237</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'Sim-Report'!$A$438:$B$438</definedName>
    <definedName name="SalesPM1">'Sim-Report'!$A$764</definedName>
    <definedName name="SalesPM1MCS">'Monte-Carlo Simulation'!$A$95:$B$95</definedName>
    <definedName name="SalesPM2">'Sim-Report'!$A$862</definedName>
    <definedName name="SalesPM2MCS">'Monte-Carlo Simulation'!$A$97:$B$97</definedName>
    <definedName name="SalesPM3">'Sim-Report'!$A$960</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'Sim-Report'!$C$6:$O$45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'Sim-Report'!$A$265:$B$265</definedName>
    <definedName name="TMSize">'Sim-Report'!$A$382:$B$382</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'Sim-Report'!$A$186:$B$186</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'Sim-Report'!$A$203</definedName>
    <definedName name="VarCostByProduct">'36-Mo-Fin-Pr'!$B$50:$I$58</definedName>
    <definedName name="whatif">'D-Analysis'!$A$59</definedName>
  </definedNames>
  <calcPr calcId="144525" calcMode="manual"/>
</workbook>
</file>

<file path=xl/sharedStrings.xml><?xml version="1.0" encoding="utf-8"?>
<sst xmlns="http://schemas.openxmlformats.org/spreadsheetml/2006/main" count="4522" uniqueCount="1492">
  <si>
    <t>SEMESTER:</t>
  </si>
  <si>
    <t>PROJECT TITLE:</t>
  </si>
  <si>
    <t>TORO</t>
  </si>
  <si>
    <t>PROJECT LOCATION:</t>
  </si>
  <si>
    <t>1704 Washington St, Boston, MA 02118, United States</t>
  </si>
  <si>
    <t>STUDENT NAME:</t>
  </si>
  <si>
    <t>Di Ha</t>
  </si>
  <si>
    <t>ADVISOR:</t>
  </si>
  <si>
    <t>Dr. Vladimir Zlatev</t>
  </si>
  <si>
    <t>DATE OF SUBMISSION:</t>
  </si>
  <si>
    <t>LOCATION:</t>
  </si>
  <si>
    <t>Copyright:</t>
  </si>
  <si>
    <t>Disclaimer:</t>
  </si>
  <si>
    <t>Help Menu</t>
  </si>
  <si>
    <t>A. Navigation within the business simulation</t>
  </si>
  <si>
    <t>E. Page '36-Mo-Fin-Pr'</t>
  </si>
  <si>
    <t>H. Page 'Mktg-Mgt'</t>
  </si>
  <si>
    <t>test</t>
  </si>
  <si>
    <t>I. Page 'Inn-Mgt'</t>
  </si>
  <si>
    <t>F. Page 'Performance'</t>
  </si>
  <si>
    <t>B. Introduction to the business simulation</t>
  </si>
  <si>
    <t>J. Page 'Oper-Mgt'</t>
  </si>
  <si>
    <t>Tutorial to the Business Simulation 'Strategies and Decision Support in Organizations'</t>
  </si>
  <si>
    <t>G. Page 'D-Analysis'</t>
  </si>
  <si>
    <t>C. Page 'Project-ID'</t>
  </si>
  <si>
    <t>K. Page 'Fin-Mgt'</t>
  </si>
  <si>
    <t>Yellow</t>
  </si>
  <si>
    <t xml:space="preserve"> cells indicate fields you should edit; others are not editable.</t>
  </si>
  <si>
    <t>L. Page 'Org-Mgt'</t>
  </si>
  <si>
    <t>D. Page 'Project-Start'</t>
  </si>
  <si>
    <t>1.</t>
  </si>
  <si>
    <t>Simulation software: installation requirements</t>
  </si>
  <si>
    <t>2.</t>
  </si>
  <si>
    <t xml:space="preserve">Layouts </t>
  </si>
  <si>
    <t>3.</t>
  </si>
  <si>
    <t>Tab ‘Sim-Navigator’</t>
  </si>
  <si>
    <t>4.</t>
  </si>
  <si>
    <t>Task List</t>
  </si>
  <si>
    <t>5.</t>
  </si>
  <si>
    <t>Force Calculation</t>
  </si>
  <si>
    <t>6.</t>
  </si>
  <si>
    <t>Submit Results</t>
  </si>
  <si>
    <t>7.</t>
  </si>
  <si>
    <t>Choose cycle to calculate</t>
  </si>
  <si>
    <t>8.</t>
  </si>
  <si>
    <t>Export</t>
  </si>
  <si>
    <t>9.</t>
  </si>
  <si>
    <t>Go Back to ‘Sim-Navigator’</t>
  </si>
  <si>
    <t>10.</t>
  </si>
  <si>
    <t>Indicator: Current Cycle</t>
  </si>
  <si>
    <t>11.</t>
  </si>
  <si>
    <t>Help</t>
  </si>
  <si>
    <t>Critical Success Factors (CSF)</t>
  </si>
  <si>
    <t>Key Performance Indicators (KPI)</t>
  </si>
  <si>
    <t>Sales Projection</t>
  </si>
  <si>
    <t>Prices and Variable Costs per product</t>
  </si>
  <si>
    <t>Annual fixed costs</t>
  </si>
  <si>
    <t>12 month Proforma</t>
  </si>
  <si>
    <t>Financial summary: per FY and overall</t>
  </si>
  <si>
    <t>Key Success Indicators</t>
  </si>
  <si>
    <t>Key Performance Indicators</t>
  </si>
  <si>
    <t>Efficiency Ratios</t>
  </si>
  <si>
    <t>Trend Analysis</t>
  </si>
  <si>
    <t>Break-Even Analysis</t>
  </si>
  <si>
    <t>What-if Analysis</t>
  </si>
  <si>
    <t>Sensitivity Analysis</t>
  </si>
  <si>
    <t>*LINK TO TUTORIAL HERE*</t>
  </si>
  <si>
    <t>Optimization Analysis</t>
  </si>
  <si>
    <t>Risk Analysis</t>
  </si>
  <si>
    <t>Marketing Costs</t>
  </si>
  <si>
    <t>Product Description</t>
  </si>
  <si>
    <t>Targeted Market Size</t>
  </si>
  <si>
    <t xml:space="preserve"> </t>
  </si>
  <si>
    <t>Sales Projections</t>
  </si>
  <si>
    <t>Product Name &amp; Description</t>
  </si>
  <si>
    <t>Forecast for the nest three years</t>
  </si>
  <si>
    <t>Miscellaneous Factors</t>
  </si>
  <si>
    <t>Debt</t>
  </si>
  <si>
    <t>Employess</t>
  </si>
  <si>
    <t>Employee Compensation</t>
  </si>
  <si>
    <t>current cycle</t>
  </si>
  <si>
    <t>Permission for next Cycle</t>
  </si>
  <si>
    <t>No</t>
  </si>
  <si>
    <t>Current Decision Cycle</t>
  </si>
  <si>
    <t>Conformation Last cycle end</t>
  </si>
  <si>
    <t>Yes</t>
  </si>
  <si>
    <t>Current Input Parameters table</t>
  </si>
  <si>
    <t>Which Section in change</t>
  </si>
  <si>
    <t>Cycle In calculation</t>
  </si>
  <si>
    <t>Permision to create printouts</t>
  </si>
  <si>
    <t>Passwords</t>
  </si>
  <si>
    <t>VZ-Start</t>
  </si>
  <si>
    <t>VZ-MCS</t>
  </si>
  <si>
    <t>Chosen underlying cycle</t>
  </si>
  <si>
    <t>comments:</t>
  </si>
  <si>
    <t xml:space="preserve">Inputs from MS Excel  </t>
  </si>
  <si>
    <t>to be used for MS Project</t>
  </si>
  <si>
    <t>(we will provide a demo)</t>
  </si>
  <si>
    <t>OPTIONAL for students</t>
  </si>
  <si>
    <t>Check</t>
  </si>
  <si>
    <t>OVERALL BUSINESS PARAMETERS OF THE PROJECT (BUSINESS UNIT: next 36 Months of Operations)</t>
  </si>
  <si>
    <t>Critical Success Factors</t>
  </si>
  <si>
    <t>FY-0</t>
  </si>
  <si>
    <t>FY-1</t>
  </si>
  <si>
    <t>FY-2</t>
  </si>
  <si>
    <t>FY-3</t>
  </si>
  <si>
    <t>FY1+FY2+FY3</t>
  </si>
  <si>
    <t>CSF 1:</t>
  </si>
  <si>
    <t>Introducing an individually controlled brand (utilization in %)</t>
  </si>
  <si>
    <t>[%]</t>
  </si>
  <si>
    <t>CSF 2:</t>
  </si>
  <si>
    <t>Retention of critical technology personnel</t>
  </si>
  <si>
    <t>[number]</t>
  </si>
  <si>
    <t>CSF 3:</t>
  </si>
  <si>
    <t>Retention of critical marketing personnel</t>
  </si>
  <si>
    <t>KPI 1:</t>
  </si>
  <si>
    <t>Actual size of the local market</t>
  </si>
  <si>
    <t>[units]</t>
  </si>
  <si>
    <t>KPI 2:</t>
  </si>
  <si>
    <t>Number of customers- existing business</t>
  </si>
  <si>
    <t>[customers]</t>
  </si>
  <si>
    <t>KPI 3:</t>
  </si>
  <si>
    <t>Average consumption per existing customer</t>
  </si>
  <si>
    <t>KPI 4:</t>
  </si>
  <si>
    <t>Size of the penetrated market - without new project</t>
  </si>
  <si>
    <t>*</t>
  </si>
  <si>
    <t>KPI 5:</t>
  </si>
  <si>
    <t>Projected increase of the penetrated market - with new project</t>
  </si>
  <si>
    <t>KPI 6:</t>
  </si>
  <si>
    <t>Projected structure of the annual sales, new penetr. market</t>
  </si>
  <si>
    <t>Projected sales, new brand</t>
  </si>
  <si>
    <t>KPI 7:</t>
  </si>
  <si>
    <t>Projected consumption in the existing business, new brand only</t>
  </si>
  <si>
    <t>**</t>
  </si>
  <si>
    <t>Projected beer consumption (new brand % of all)</t>
  </si>
  <si>
    <t>Wholesale distribution (new brand)</t>
  </si>
  <si>
    <t>***</t>
  </si>
  <si>
    <t>KPI 8:</t>
  </si>
  <si>
    <t>Capacity of the new technology (max units/year)</t>
  </si>
  <si>
    <t>FIXED-COST</t>
  </si>
  <si>
    <t>Initial Investment</t>
  </si>
  <si>
    <t>Equipment</t>
  </si>
  <si>
    <t>Total</t>
  </si>
  <si>
    <t>Employees</t>
  </si>
  <si>
    <t>Salary increase</t>
  </si>
  <si>
    <t>Position</t>
  </si>
  <si>
    <t>Budget</t>
  </si>
  <si>
    <t>Number</t>
  </si>
  <si>
    <t>Office Assistants</t>
  </si>
  <si>
    <t xml:space="preserve">Salesmen </t>
  </si>
  <si>
    <t xml:space="preserve">Executive Salaries </t>
  </si>
  <si>
    <t>Miscellaneous (Consultants)</t>
  </si>
  <si>
    <t>Range of compensations for critical workers</t>
  </si>
  <si>
    <t>Importance</t>
  </si>
  <si>
    <t>Min</t>
  </si>
  <si>
    <t>Base</t>
  </si>
  <si>
    <t>Market Research</t>
  </si>
  <si>
    <t>Max</t>
  </si>
  <si>
    <t>Salesmen</t>
  </si>
  <si>
    <t>Critical</t>
  </si>
  <si>
    <t>Worker</t>
  </si>
  <si>
    <t>Utilities, Supplies and others</t>
  </si>
  <si>
    <t>Payment</t>
  </si>
  <si>
    <t>Payment increase</t>
  </si>
  <si>
    <t>Leasing of cars,  computers, etc</t>
  </si>
  <si>
    <t>Office Supply</t>
  </si>
  <si>
    <t>Heat, Light, Phone</t>
  </si>
  <si>
    <t>Insurance</t>
  </si>
  <si>
    <t>Depreciation</t>
  </si>
  <si>
    <t>Marketing costs</t>
  </si>
  <si>
    <t>Local Advertising</t>
  </si>
  <si>
    <t>Trade Shows</t>
  </si>
  <si>
    <t>Rent</t>
  </si>
  <si>
    <t>Space (ft^2)</t>
  </si>
  <si>
    <t>Office</t>
  </si>
  <si>
    <t>Warehouse</t>
  </si>
  <si>
    <t>Loan</t>
  </si>
  <si>
    <t>Amount</t>
  </si>
  <si>
    <t>Interest rate</t>
  </si>
  <si>
    <t>length (months)</t>
  </si>
  <si>
    <t>payments/year</t>
  </si>
  <si>
    <t>Date start</t>
  </si>
  <si>
    <t>Bank of America</t>
  </si>
  <si>
    <t>FY-1 Jan</t>
  </si>
  <si>
    <t>Total Debt</t>
  </si>
  <si>
    <t>MACRS (15 yr schedule)</t>
  </si>
  <si>
    <t>Tax Shelter</t>
  </si>
  <si>
    <t>Financial Market Indicators</t>
  </si>
  <si>
    <t>Percentage</t>
  </si>
  <si>
    <t>Expected Return on Investment</t>
  </si>
  <si>
    <t>Risk-Free Interest rate</t>
  </si>
  <si>
    <t>TAXES &amp; FEES</t>
  </si>
  <si>
    <t>Taxes</t>
  </si>
  <si>
    <t>Taxes type</t>
  </si>
  <si>
    <t>Profit</t>
  </si>
  <si>
    <t>Fees</t>
  </si>
  <si>
    <t>Type</t>
  </si>
  <si>
    <t>Ammount</t>
  </si>
  <si>
    <t>license to sell alcohol</t>
  </si>
  <si>
    <t>PRODUCT DESCRIPTION</t>
  </si>
  <si>
    <t>4.1.</t>
  </si>
  <si>
    <r>
      <rPr>
        <b/>
        <sz val="10"/>
        <rFont val="Geneva"/>
        <charset val="134"/>
      </rPr>
      <t xml:space="preserve"> Product Name &amp; Description</t>
    </r>
    <r>
      <rPr>
        <sz val="11"/>
        <color theme="1"/>
        <rFont val="宋体"/>
        <charset val="134"/>
        <scheme val="minor"/>
      </rPr>
      <t xml:space="preserve">  </t>
    </r>
  </si>
  <si>
    <t>Variable Costs</t>
  </si>
  <si>
    <t xml:space="preserve">Material </t>
  </si>
  <si>
    <t>Labor</t>
  </si>
  <si>
    <t>Others</t>
  </si>
  <si>
    <t>Price</t>
  </si>
  <si>
    <t>Units</t>
  </si>
  <si>
    <t>Cut off point</t>
  </si>
  <si>
    <t>Weight</t>
  </si>
  <si>
    <t>Weight (full)</t>
  </si>
  <si>
    <t>Height</t>
  </si>
  <si>
    <t>Diameter</t>
  </si>
  <si>
    <t>Product ID</t>
  </si>
  <si>
    <t>Distribution</t>
  </si>
  <si>
    <t>Name</t>
  </si>
  <si>
    <t>(per unit)</t>
  </si>
  <si>
    <t>(Pints)</t>
  </si>
  <si>
    <t>(lb)</t>
  </si>
  <si>
    <t>(inches)</t>
  </si>
  <si>
    <t>BR01-01</t>
  </si>
  <si>
    <t>[retail]</t>
  </si>
  <si>
    <t>Pilsner</t>
  </si>
  <si>
    <t>NOTES:</t>
  </si>
  <si>
    <t>BR01-02</t>
  </si>
  <si>
    <t>Bavarian Lager</t>
  </si>
  <si>
    <t>(i)</t>
  </si>
  <si>
    <t>one pint = 16 oz = 473.1765 ml</t>
  </si>
  <si>
    <t>BR01-03</t>
  </si>
  <si>
    <t>Light Wheat</t>
  </si>
  <si>
    <t>(ii)</t>
  </si>
  <si>
    <t>one keg = 124 pints</t>
  </si>
  <si>
    <t>BR01-04</t>
  </si>
  <si>
    <t>Red Wheat</t>
  </si>
  <si>
    <t>(iii)</t>
  </si>
  <si>
    <t>one barrel = 31 gallons</t>
  </si>
  <si>
    <t>BR01-05</t>
  </si>
  <si>
    <t>Pale Ale</t>
  </si>
  <si>
    <t>BR01-06</t>
  </si>
  <si>
    <t>Bock Dark</t>
  </si>
  <si>
    <t>BR01-07</t>
  </si>
  <si>
    <t>[wholesale]</t>
  </si>
  <si>
    <t>23,3</t>
  </si>
  <si>
    <t>BR01-08</t>
  </si>
  <si>
    <t>BR01-09</t>
  </si>
  <si>
    <t>Special Offer</t>
  </si>
  <si>
    <t>(iv)</t>
  </si>
  <si>
    <t>half barrel = one keg = 15.5 gallons</t>
  </si>
  <si>
    <t>TARGETED MARKET SIZE  (PER PRODUCTS AND FYs)</t>
  </si>
  <si>
    <t>Retail</t>
  </si>
  <si>
    <t>Wholesale</t>
  </si>
  <si>
    <t>SALES PROJECTIONS (BUSINESS UNIT: next 36 Months of Operations)</t>
  </si>
  <si>
    <t xml:space="preserve">Keg </t>
  </si>
  <si>
    <t>Cutoff Point</t>
  </si>
  <si>
    <t>Year/Month</t>
  </si>
  <si>
    <t>Percent Monthly Demand by Year</t>
  </si>
  <si>
    <t>Jan</t>
  </si>
  <si>
    <t>Feb</t>
  </si>
  <si>
    <t>Mar</t>
  </si>
  <si>
    <t>Apr</t>
  </si>
  <si>
    <t>May</t>
  </si>
  <si>
    <t>Jun</t>
  </si>
  <si>
    <t>Jul</t>
  </si>
  <si>
    <t>Aug</t>
  </si>
  <si>
    <t>Sep</t>
  </si>
  <si>
    <t>Oct</t>
  </si>
  <si>
    <t>Nov</t>
  </si>
  <si>
    <t>Dec</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</si>
  <si>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</si>
  <si>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</si>
  <si>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</si>
  <si>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</si>
  <si>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</si>
  <si>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</si>
  <si>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</si>
  <si>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</si>
  <si>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</si>
  <si>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</si>
  <si>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 xml:space="preserve">Capacity per keg </t>
  </si>
  <si>
    <t>Maximum Capacity:</t>
  </si>
  <si>
    <t>CAPACITY (per pints)</t>
  </si>
  <si>
    <t>Tanks</t>
  </si>
  <si>
    <t>Gallons</t>
  </si>
  <si>
    <t>Pints</t>
  </si>
  <si>
    <t>Capacity</t>
  </si>
  <si>
    <t>Month</t>
  </si>
  <si>
    <t>FY</t>
  </si>
  <si>
    <t>[1 week]</t>
  </si>
  <si>
    <t>[ 4 week]</t>
  </si>
  <si>
    <t>[48 week]</t>
  </si>
  <si>
    <t>Sales Projections: Products sold per month (for FY-1, FY-2, and FY-3)</t>
  </si>
  <si>
    <t>Products</t>
  </si>
  <si>
    <t>Overall</t>
  </si>
  <si>
    <t>BR01-01,</t>
  </si>
  <si>
    <t>BR01-02,</t>
  </si>
  <si>
    <t>BR01-03,</t>
  </si>
  <si>
    <t>BR01-04,</t>
  </si>
  <si>
    <t>BR01-05,</t>
  </si>
  <si>
    <t>BR01-06,</t>
  </si>
  <si>
    <t>BR01-07,</t>
  </si>
  <si>
    <t>BR01-08,</t>
  </si>
  <si>
    <t>BR01-09,</t>
  </si>
  <si>
    <t>Total Products</t>
  </si>
  <si>
    <t>per Months</t>
  </si>
  <si>
    <t xml:space="preserve">Variable Costs per Unit </t>
  </si>
  <si>
    <t>Materials</t>
  </si>
  <si>
    <t>Prices</t>
  </si>
  <si>
    <t xml:space="preserve">Annual Fixed Costs </t>
  </si>
  <si>
    <t>Employees salaries</t>
  </si>
  <si>
    <t>Utilities&amp;Other</t>
  </si>
  <si>
    <t>Loans Payments</t>
  </si>
  <si>
    <t xml:space="preserve">Total Fixed Costs </t>
  </si>
  <si>
    <t>Total Current Assets</t>
  </si>
  <si>
    <t>Private Investment</t>
  </si>
  <si>
    <t>12 Month Proforma: FY-1</t>
  </si>
  <si>
    <t>Year</t>
  </si>
  <si>
    <t xml:space="preserve"> FY-1</t>
  </si>
  <si>
    <t>Price per unit</t>
  </si>
  <si>
    <t xml:space="preserve">Variable cost </t>
  </si>
  <si>
    <t>Sales Volume</t>
  </si>
  <si>
    <t>Revenue</t>
  </si>
  <si>
    <t>Expenses</t>
  </si>
  <si>
    <t>Contribution</t>
  </si>
  <si>
    <t>Total Revenue</t>
  </si>
  <si>
    <t>Total Expenses</t>
  </si>
  <si>
    <t>Total Contribution</t>
  </si>
  <si>
    <t xml:space="preserve">Fixed Costs </t>
  </si>
  <si>
    <t>FY-1 (Total)</t>
  </si>
  <si>
    <t>Loan Payments</t>
  </si>
  <si>
    <t>Total Fixed Costs</t>
  </si>
  <si>
    <t>Profit (Before Taxes)</t>
  </si>
  <si>
    <t>Profit taxes</t>
  </si>
  <si>
    <t>Cumulative Profit</t>
  </si>
  <si>
    <t>Ending Cash Balance</t>
  </si>
  <si>
    <t>Profit (After Taxes)</t>
  </si>
  <si>
    <t>12 Month Proforma: FY-2</t>
  </si>
  <si>
    <t xml:space="preserve"> FY-2</t>
  </si>
  <si>
    <t>Fixed Costs</t>
  </si>
  <si>
    <t>FY-2 (Total)</t>
  </si>
  <si>
    <t>12 Month Proforma: FY-3</t>
  </si>
  <si>
    <t xml:space="preserve">Total </t>
  </si>
  <si>
    <t>FY-3 (Total)</t>
  </si>
  <si>
    <t>Profit Taxes</t>
  </si>
  <si>
    <t xml:space="preserve"> FY-3</t>
  </si>
  <si>
    <t>Financial Summary: per FY and Overall</t>
  </si>
  <si>
    <t xml:space="preserve"> 36 Months</t>
  </si>
  <si>
    <t>36 Months</t>
  </si>
  <si>
    <t>BREAK-EVEN ANALYSIS</t>
  </si>
  <si>
    <t>TOTAL BRAND 01</t>
  </si>
  <si>
    <t>[$]</t>
  </si>
  <si>
    <t xml:space="preserve">Contribution </t>
  </si>
  <si>
    <t>Contribution Margin [%]</t>
  </si>
  <si>
    <t xml:space="preserve">Break-even </t>
  </si>
  <si>
    <t>Months</t>
  </si>
  <si>
    <t>[=Total Fixed Costs/Contribution*12 months]</t>
  </si>
  <si>
    <t xml:space="preserve">Sales </t>
  </si>
  <si>
    <t>[=Total Fixed Costs/Contribution Margin]</t>
  </si>
  <si>
    <t>X-axis range</t>
  </si>
  <si>
    <t>Fixed Cost Range</t>
  </si>
  <si>
    <t>Total Revenue Range</t>
  </si>
  <si>
    <t>Total Cost Range</t>
  </si>
  <si>
    <t>WHAT IF ANALYSIS</t>
  </si>
  <si>
    <r>
      <rPr>
        <b/>
        <sz val="8"/>
        <color theme="3" tint="-0.249977111117893"/>
        <rFont val="宋体"/>
        <charset val="134"/>
        <scheme val="minor"/>
      </rPr>
      <t>What is the BEP if the</t>
    </r>
    <r>
      <rPr>
        <b/>
        <sz val="14"/>
        <color theme="3" tint="-0.249977111117893"/>
        <rFont val="宋体"/>
        <charset val="134"/>
        <scheme val="minor"/>
      </rPr>
      <t xml:space="preserve"> </t>
    </r>
    <r>
      <rPr>
        <b/>
        <sz val="14"/>
        <color rgb="FFFF0000"/>
        <rFont val="宋体"/>
        <charset val="134"/>
        <scheme val="minor"/>
      </rPr>
      <t>total fixed costs</t>
    </r>
    <r>
      <rPr>
        <b/>
        <sz val="8"/>
        <color theme="3" tint="-0.249977111117893"/>
        <rFont val="宋体"/>
        <charset val="134"/>
        <scheme val="minor"/>
      </rPr>
      <t xml:space="preserve"> are increased and/or decreased while the selling price and the variable costs per products remain the same?</t>
    </r>
  </si>
  <si>
    <t>BRAND 01</t>
  </si>
  <si>
    <t>Price/unit</t>
  </si>
  <si>
    <t>Variable cost/unit</t>
  </si>
  <si>
    <t>Contribution/unit</t>
  </si>
  <si>
    <t>Contribution margin</t>
  </si>
  <si>
    <t xml:space="preserve">Sales Volume </t>
  </si>
  <si>
    <t>[quantity]</t>
  </si>
  <si>
    <t>% of Sales</t>
  </si>
  <si>
    <t>Expense</t>
  </si>
  <si>
    <t>Increase to:</t>
  </si>
  <si>
    <t>Break-Even Point</t>
  </si>
  <si>
    <t>(BEP)</t>
  </si>
  <si>
    <t>Decrease to:</t>
  </si>
  <si>
    <r>
      <rPr>
        <b/>
        <sz val="8"/>
        <rFont val="宋体"/>
        <charset val="134"/>
        <scheme val="minor"/>
      </rPr>
      <t>What is the BEP if the</t>
    </r>
    <r>
      <rPr>
        <b/>
        <sz val="12"/>
        <rFont val="宋体"/>
        <charset val="134"/>
        <scheme val="minor"/>
      </rPr>
      <t xml:space="preserve"> </t>
    </r>
    <r>
      <rPr>
        <b/>
        <sz val="12"/>
        <color rgb="FFFF0000"/>
        <rFont val="宋体"/>
        <charset val="134"/>
        <scheme val="minor"/>
      </rPr>
      <t>selling prices per products</t>
    </r>
    <r>
      <rPr>
        <b/>
        <sz val="8"/>
        <color rgb="FFFF0000"/>
        <rFont val="宋体"/>
        <charset val="134"/>
        <scheme val="minor"/>
      </rPr>
      <t xml:space="preserve"> </t>
    </r>
    <r>
      <rPr>
        <b/>
        <sz val="8"/>
        <rFont val="宋体"/>
        <charset val="134"/>
        <scheme val="minor"/>
      </rPr>
      <t>are increased and/or decreased while the total fixed costs and the variable costs per products remain the same?</t>
    </r>
  </si>
  <si>
    <r>
      <rPr>
        <b/>
        <sz val="8"/>
        <rFont val="宋体"/>
        <charset val="134"/>
        <scheme val="minor"/>
      </rPr>
      <t>What is the BEP if the</t>
    </r>
    <r>
      <rPr>
        <b/>
        <sz val="8"/>
        <color rgb="FFFF0000"/>
        <rFont val="宋体"/>
        <charset val="134"/>
        <scheme val="minor"/>
      </rPr>
      <t xml:space="preserve"> </t>
    </r>
    <r>
      <rPr>
        <b/>
        <sz val="12"/>
        <color rgb="FFFF0000"/>
        <rFont val="宋体"/>
        <charset val="134"/>
        <scheme val="minor"/>
      </rPr>
      <t>Variable Cost/unit</t>
    </r>
    <r>
      <rPr>
        <b/>
        <sz val="8"/>
        <color rgb="FFFF0000"/>
        <rFont val="宋体"/>
        <charset val="134"/>
        <scheme val="minor"/>
      </rPr>
      <t xml:space="preserve">  </t>
    </r>
    <r>
      <rPr>
        <b/>
        <sz val="8"/>
        <rFont val="宋体"/>
        <charset val="134"/>
        <scheme val="minor"/>
      </rPr>
      <t>are increased and/or decreased while the total fixed costs and the price per products remain the same?</t>
    </r>
  </si>
  <si>
    <t>SENSITIVITY ANALYSIS</t>
  </si>
  <si>
    <t>Price Sensitivity</t>
  </si>
  <si>
    <t>VarCosts Sensitivity</t>
  </si>
  <si>
    <t>retail</t>
  </si>
  <si>
    <t>wholesale</t>
  </si>
  <si>
    <t>max divided by min</t>
  </si>
  <si>
    <t>Projected Consumption</t>
  </si>
  <si>
    <t>Projected</t>
  </si>
  <si>
    <t>Profit before Taxes</t>
  </si>
  <si>
    <t>OPTIMIZATION ANALYSIS</t>
  </si>
  <si>
    <t>min consumption deviation</t>
  </si>
  <si>
    <t>consumption deviation</t>
  </si>
  <si>
    <t>max consumption deviation</t>
  </si>
  <si>
    <t>Fixed Costs (Please enter manually)</t>
  </si>
  <si>
    <t>Targeted Market size recommended for next cycle:</t>
  </si>
  <si>
    <t>RISK ANALYSIS</t>
  </si>
  <si>
    <t>Cycle used in calculation</t>
  </si>
  <si>
    <t>Average (Profit)</t>
  </si>
  <si>
    <t>Failure rate (Profit)</t>
  </si>
  <si>
    <t>Standard Deviation (Profit)</t>
  </si>
  <si>
    <t>Standard deviation (Profit)</t>
  </si>
  <si>
    <t>Average (IRR)</t>
  </si>
  <si>
    <t>Failure rate (Return on investment)</t>
  </si>
  <si>
    <t>Standard deviation (IRR)</t>
  </si>
  <si>
    <t>From Project-Start</t>
  </si>
  <si>
    <t>Retain of critical technology personnel</t>
  </si>
  <si>
    <t>Retain of critical marketing personnel</t>
  </si>
  <si>
    <t>From Current Cycle</t>
  </si>
  <si>
    <t>Overall increase of the penetrated market - with new project</t>
  </si>
  <si>
    <t>Number customers- existing business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</si>
  <si>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</si>
  <si>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</si>
  <si>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</si>
  <si>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</si>
  <si>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</si>
  <si>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</si>
  <si>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</si>
  <si>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</si>
  <si>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 xml:space="preserve"> EFFICIENCY RATIOS</t>
  </si>
  <si>
    <t>1. Total Sales/Type of Product [%]</t>
  </si>
  <si>
    <t>Total 3 years</t>
  </si>
  <si>
    <t>2. Total Variable Costs/Type of Product [%]</t>
  </si>
  <si>
    <t>3. Total Contribution/Type of Product [%]</t>
  </si>
  <si>
    <t>Fixed Costs/Total Revenue of BRAND 01 [$]</t>
  </si>
  <si>
    <t>The company spends $0.XX fixed costs for the overall sale of $1.00  from BRAND 01</t>
  </si>
  <si>
    <t>Compensations/Total Revenue of BRAND 01 [$]</t>
  </si>
  <si>
    <t>The company spends $0.XX costs for compensation needed for the overall sale of $1.00  from BRAND 01</t>
  </si>
  <si>
    <t>(Local Advertising + Trade Shows)/Total Revenue Sales [$]</t>
  </si>
  <si>
    <t>The company spends $0.XX costs for advertising &amp; trade shows needed for the overall sale of $1.00  from BRAND 01</t>
  </si>
  <si>
    <t>Profit B.T. / Total Revenue of BRAND 01 [$]</t>
  </si>
  <si>
    <t>The company make $0.XX overall profit before taxes for the overall sale of $1.00 from BRAND 01</t>
  </si>
  <si>
    <t>Total contribution</t>
  </si>
  <si>
    <t>Profit Before Taxes</t>
  </si>
  <si>
    <t>Marketing Cost</t>
  </si>
  <si>
    <t>Compensation</t>
  </si>
  <si>
    <t>Other costs</t>
  </si>
  <si>
    <t>Q-1</t>
  </si>
  <si>
    <t>Q-2</t>
  </si>
  <si>
    <t>Q-3</t>
  </si>
  <si>
    <t>Q-4</t>
  </si>
  <si>
    <t>Profit (B. T.)</t>
  </si>
  <si>
    <t>Proft BT</t>
  </si>
  <si>
    <t xml:space="preserve">Cycles     </t>
  </si>
  <si>
    <t>Start</t>
  </si>
  <si>
    <t>Cycle 01</t>
  </si>
  <si>
    <t>Cycle 02</t>
  </si>
  <si>
    <t>Cycle 03</t>
  </si>
  <si>
    <t>Cycle 04</t>
  </si>
  <si>
    <t>Cycle 05</t>
  </si>
  <si>
    <t>Cycle 06</t>
  </si>
  <si>
    <t>Cycle 07</t>
  </si>
  <si>
    <t>Underlying Cycles</t>
  </si>
  <si>
    <t>Department</t>
  </si>
  <si>
    <t>Mktg</t>
  </si>
  <si>
    <t>Fin</t>
  </si>
  <si>
    <t>Oper</t>
  </si>
  <si>
    <t>Org</t>
  </si>
  <si>
    <t>#</t>
  </si>
  <si>
    <t>Selected metrics for analyzing and evaluating the efficiency of projects or investments</t>
  </si>
  <si>
    <t>Total revenue, Total</t>
  </si>
  <si>
    <t>Total Revenue, FY1</t>
  </si>
  <si>
    <t>Total Revenue, FY2</t>
  </si>
  <si>
    <t>Total Revenue, FY3</t>
  </si>
  <si>
    <t>Profit Before Taxes, Total</t>
  </si>
  <si>
    <t>Profit Before Taxes, FY-1</t>
  </si>
  <si>
    <t>Profit Before Taxes, FY-2</t>
  </si>
  <si>
    <t>Profit Before Taxes, FY-3</t>
  </si>
  <si>
    <t>Net Profit (After Taxes), Total</t>
  </si>
  <si>
    <t>Net Profit (After Taxes), FY-1</t>
  </si>
  <si>
    <t>Net Profit (After Taxes), FY-2</t>
  </si>
  <si>
    <t>Net Profit (After Taxes), FY-3</t>
  </si>
  <si>
    <t>Invested Capital</t>
  </si>
  <si>
    <t>Profit BT/Total Revenue (36 Month)</t>
  </si>
  <si>
    <t>Net Profit/Total Revenue (36 Month)</t>
  </si>
  <si>
    <t>Break Even Point: Months</t>
  </si>
  <si>
    <t>Break Even Point: Revenue</t>
  </si>
  <si>
    <t>Ending Cash Balance (End of FY-1)</t>
  </si>
  <si>
    <t>Return On Investment (ROI)</t>
  </si>
  <si>
    <t>Internal Rate of Return (IRR)</t>
  </si>
  <si>
    <t>Discount Rate</t>
  </si>
  <si>
    <t>Risk-Free Rate</t>
  </si>
  <si>
    <t>Net Present Value</t>
  </si>
  <si>
    <t>Duration (3 year to maturity, 10% coupon Bond)</t>
  </si>
  <si>
    <t>Duration (Project)</t>
  </si>
  <si>
    <t>Failure rate (Return On Investment)</t>
  </si>
  <si>
    <t>Standard Deviation (IRR)</t>
  </si>
  <si>
    <t>Sharpe Ratio (Applying Risk-Free Interest Rate)</t>
  </si>
  <si>
    <t>Sharpe Ratio (Applying Expected Return on Investment)</t>
  </si>
  <si>
    <t>Business Indicators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</si>
  <si>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</si>
  <si>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</si>
  <si>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</si>
  <si>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</si>
  <si>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</si>
  <si>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</si>
  <si>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</si>
  <si>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</si>
  <si>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</si>
  <si>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Salesmen (temporary), FY-1</t>
  </si>
  <si>
    <t>Salesmen (temporary), FY-2</t>
  </si>
  <si>
    <t>Salesmen (temporary), FY-3</t>
  </si>
  <si>
    <t>Worker (temporary), FY-1</t>
  </si>
  <si>
    <t>Worker (temporary), FY-2</t>
  </si>
  <si>
    <t>Worker (temporary),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</si>
  <si>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</si>
  <si>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</si>
  <si>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</si>
  <si>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</si>
  <si>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</si>
  <si>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</si>
  <si>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</si>
  <si>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</si>
  <si>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</si>
  <si>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</si>
  <si>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</si>
  <si>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</si>
  <si>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</si>
  <si>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</si>
  <si>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</si>
  <si>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</si>
  <si>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</si>
  <si>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</si>
  <si>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</si>
  <si>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</si>
  <si>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</si>
  <si>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</si>
  <si>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</si>
  <si>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</si>
  <si>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</si>
  <si>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</si>
  <si>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</si>
  <si>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</si>
  <si>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</si>
  <si>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</si>
  <si>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</si>
  <si>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</si>
  <si>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</si>
  <si>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</si>
  <si>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</si>
  <si>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</si>
  <si>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</si>
  <si>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</si>
  <si>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</si>
  <si>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</si>
  <si>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</si>
  <si>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</si>
  <si>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</si>
  <si>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</si>
  <si>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</si>
  <si>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</si>
  <si>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</si>
  <si>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</si>
  <si>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</si>
  <si>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</si>
  <si>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</si>
  <si>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</si>
  <si>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</si>
  <si>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</si>
  <si>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</si>
  <si>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</si>
  <si>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</si>
  <si>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</si>
  <si>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</si>
  <si>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</si>
  <si>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</si>
  <si>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</si>
  <si>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</si>
  <si>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</si>
  <si>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</si>
  <si>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</si>
  <si>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</si>
  <si>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</si>
  <si>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</si>
  <si>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</si>
  <si>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</si>
  <si>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</si>
  <si>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</si>
  <si>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</si>
  <si>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</si>
  <si>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</si>
  <si>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</si>
  <si>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</si>
  <si>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</si>
  <si>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</si>
  <si>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</si>
  <si>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</si>
  <si>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</si>
  <si>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</si>
  <si>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</si>
  <si>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Total Salaries Budget, FY-1</t>
  </si>
  <si>
    <t>Total Salaries Budget, FY-2</t>
  </si>
  <si>
    <t>Total Salaries Budget,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</si>
  <si>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</si>
  <si>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</si>
  <si>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</si>
  <si>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</si>
  <si>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</si>
  <si>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</si>
  <si>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</si>
  <si>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</si>
  <si>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</si>
  <si>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</si>
  <si>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</si>
  <si>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</si>
  <si>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</si>
  <si>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</si>
  <si>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</si>
  <si>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</si>
  <si>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Utilities &amp; Others</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</si>
  <si>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</si>
  <si>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</si>
  <si>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</si>
  <si>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</si>
  <si>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</si>
  <si>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</si>
  <si>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</si>
  <si>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</si>
  <si>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</si>
  <si>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</si>
  <si>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</si>
  <si>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</si>
  <si>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</si>
  <si>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</si>
  <si>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</si>
  <si>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Total Utilities Payments, FY-1</t>
  </si>
  <si>
    <t>Total Utilities Payments, FY-2</t>
  </si>
  <si>
    <t>Total Utilities Payments, FY-3</t>
  </si>
  <si>
    <t>Local Advertising, Payment FY-1</t>
  </si>
  <si>
    <t>Local Advertising, Payment increase FY-2</t>
  </si>
  <si>
    <t>Local Advertising,  FY-3</t>
  </si>
  <si>
    <t>Trade Shows, Payment FY-1</t>
  </si>
  <si>
    <t>Trade Shows, Payment increase FY-2</t>
  </si>
  <si>
    <t>Trade Shows,  FY-3</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</si>
  <si>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</si>
  <si>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</si>
  <si>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</si>
  <si>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</si>
  <si>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</si>
  <si>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</si>
  <si>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</si>
  <si>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</si>
  <si>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</si>
  <si>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</si>
  <si>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</si>
  <si>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</si>
  <si>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Total Market Costs, FY-1</t>
  </si>
  <si>
    <t>Total Market Costs, FY-2</t>
  </si>
  <si>
    <t>Total Market Costs, FY-3</t>
  </si>
  <si>
    <t>Office,  Payment</t>
  </si>
  <si>
    <t>Office,  Space (ft^2)</t>
  </si>
  <si>
    <t>Office, Payment increase FY-2</t>
  </si>
  <si>
    <t>Office,  FY-3</t>
  </si>
  <si>
    <t>Total Rent, FY-1</t>
  </si>
  <si>
    <t>Total Rent, FY-2</t>
  </si>
  <si>
    <t>Total Rent, FY-3</t>
  </si>
  <si>
    <t>Bank of America, Amount</t>
  </si>
  <si>
    <t>Bank of America, Interest rate</t>
  </si>
  <si>
    <t>Bank of America, length (months)</t>
  </si>
  <si>
    <t>Bank of America, payments/year</t>
  </si>
  <si>
    <t>Bank of America, Date start</t>
  </si>
  <si>
    <t>Total Payments, FY-1</t>
  </si>
  <si>
    <t>Total Payments, FY-2</t>
  </si>
  <si>
    <t>Total Payments, FY-3</t>
  </si>
  <si>
    <t>Total debt</t>
  </si>
  <si>
    <t>MACRS (15 yr schedule), FY-1</t>
  </si>
  <si>
    <t>Tax Shelter, FY-1</t>
  </si>
  <si>
    <t>MACRS (15 yr schedule), FY-2</t>
  </si>
  <si>
    <t>Tax Shelter, FY-2</t>
  </si>
  <si>
    <t>MACRS (15 yr schedule), FY-3</t>
  </si>
  <si>
    <t>Tax Shelter, FY-3</t>
  </si>
  <si>
    <t xml:space="preserve">Expected Return on Investment </t>
  </si>
  <si>
    <t xml:space="preserve">Risk-Free Interest rate </t>
  </si>
  <si>
    <t>Profit, Percentage</t>
  </si>
  <si>
    <t xml:space="preserve"> Fees</t>
  </si>
  <si>
    <t>Total Fees</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</si>
  <si>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</si>
  <si>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</si>
  <si>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</si>
  <si>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</si>
  <si>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</si>
  <si>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</si>
  <si>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</si>
  <si>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</si>
  <si>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</si>
  <si>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</si>
  <si>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</si>
  <si>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</si>
  <si>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</si>
  <si>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</si>
  <si>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</si>
  <si>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</si>
  <si>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</si>
  <si>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</si>
  <si>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</si>
  <si>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</si>
  <si>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</si>
  <si>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</si>
  <si>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</si>
  <si>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</si>
  <si>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</si>
  <si>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</si>
  <si>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</si>
  <si>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</si>
  <si>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</si>
  <si>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</si>
  <si>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</si>
  <si>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</si>
  <si>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</si>
  <si>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</si>
  <si>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</si>
  <si>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</si>
  <si>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</si>
  <si>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</si>
  <si>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</si>
  <si>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</si>
  <si>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</si>
  <si>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</si>
  <si>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</si>
  <si>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</si>
  <si>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</si>
  <si>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</si>
  <si>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</si>
  <si>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</si>
  <si>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</si>
  <si>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</si>
  <si>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</si>
  <si>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</si>
  <si>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</si>
  <si>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</si>
  <si>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</si>
  <si>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</si>
  <si>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</si>
  <si>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</si>
  <si>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</si>
  <si>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</si>
  <si>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</si>
  <si>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</si>
  <si>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</si>
  <si>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</si>
  <si>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</si>
  <si>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</si>
  <si>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</si>
  <si>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</si>
  <si>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</si>
  <si>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</si>
  <si>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</si>
  <si>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</si>
  <si>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</si>
  <si>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</si>
  <si>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</si>
  <si>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</si>
  <si>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</si>
  <si>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</si>
  <si>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</si>
  <si>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</si>
  <si>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</si>
  <si>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</si>
  <si>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</si>
  <si>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</si>
  <si>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</si>
  <si>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</si>
  <si>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</si>
  <si>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</si>
  <si>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</si>
  <si>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</si>
  <si>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</si>
  <si>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</si>
  <si>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</si>
  <si>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</si>
  <si>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</si>
  <si>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</si>
  <si>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</si>
  <si>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</si>
  <si>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</si>
  <si>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</si>
  <si>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</si>
  <si>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</si>
  <si>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</si>
  <si>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</si>
  <si>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</si>
  <si>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</si>
  <si>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</si>
  <si>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</si>
  <si>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Targeted Marked Size</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</si>
  <si>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</si>
  <si>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</si>
  <si>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</si>
  <si>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</si>
  <si>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</si>
  <si>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</si>
  <si>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</si>
  <si>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</si>
  <si>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</si>
  <si>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</si>
  <si>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</si>
  <si>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</si>
  <si>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</si>
  <si>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</si>
  <si>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</si>
  <si>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</si>
  <si>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</si>
  <si>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</si>
  <si>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</si>
  <si>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</si>
  <si>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</si>
  <si>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</si>
  <si>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</si>
  <si>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</si>
  <si>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</si>
  <si>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</si>
  <si>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</si>
  <si>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</si>
  <si>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</si>
  <si>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</si>
  <si>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</si>
  <si>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</si>
  <si>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</si>
  <si>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</si>
  <si>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</si>
  <si>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</si>
  <si>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</si>
  <si>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</si>
  <si>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</si>
  <si>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</si>
  <si>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</si>
  <si>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</si>
  <si>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</si>
  <si>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</si>
  <si>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</si>
  <si>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</si>
  <si>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</si>
  <si>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</si>
  <si>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</si>
  <si>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</si>
  <si>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</si>
  <si>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</si>
  <si>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</si>
  <si>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</si>
  <si>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</si>
  <si>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</si>
  <si>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</si>
  <si>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</si>
  <si>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</si>
  <si>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</si>
  <si>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</si>
  <si>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</si>
  <si>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</si>
  <si>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</si>
  <si>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</si>
  <si>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</si>
  <si>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</si>
  <si>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</si>
  <si>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</si>
  <si>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</si>
  <si>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</si>
  <si>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</si>
  <si>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</si>
  <si>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</si>
  <si>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</si>
  <si>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</si>
  <si>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</si>
  <si>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</si>
  <si>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</si>
  <si>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</si>
  <si>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</si>
  <si>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</si>
  <si>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</si>
  <si>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</si>
  <si>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</si>
  <si>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</si>
  <si>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</si>
  <si>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</si>
  <si>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</si>
  <si>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</si>
  <si>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</si>
  <si>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</si>
  <si>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</si>
  <si>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</si>
  <si>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</si>
  <si>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</si>
  <si>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</si>
  <si>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</si>
  <si>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</si>
  <si>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</si>
  <si>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</si>
  <si>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</si>
  <si>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</si>
  <si>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</si>
  <si>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</si>
  <si>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</si>
  <si>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</si>
  <si>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</si>
  <si>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</si>
  <si>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</si>
  <si>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</si>
  <si>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</si>
  <si>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</si>
  <si>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</si>
  <si>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</si>
  <si>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</si>
  <si>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</si>
  <si>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</si>
  <si>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</si>
  <si>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</si>
  <si>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</si>
  <si>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</si>
  <si>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</si>
  <si>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</si>
  <si>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</si>
  <si>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</si>
  <si>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</si>
  <si>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</si>
  <si>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</si>
  <si>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</si>
  <si>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</si>
  <si>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</si>
  <si>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</si>
  <si>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</si>
  <si>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</si>
  <si>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</si>
  <si>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</si>
  <si>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</si>
  <si>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</si>
  <si>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</si>
  <si>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</si>
  <si>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</si>
  <si>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</si>
  <si>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</si>
  <si>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</si>
  <si>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</si>
  <si>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</si>
  <si>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</si>
  <si>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</si>
  <si>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</si>
  <si>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</si>
  <si>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</si>
  <si>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</si>
  <si>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</si>
  <si>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</si>
  <si>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</si>
  <si>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</si>
  <si>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</si>
  <si>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</si>
  <si>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</si>
  <si>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</si>
  <si>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</si>
  <si>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</si>
  <si>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</si>
  <si>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</si>
  <si>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</si>
  <si>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</si>
  <si>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</si>
  <si>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</si>
  <si>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</si>
  <si>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</si>
  <si>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</si>
  <si>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</si>
  <si>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</si>
  <si>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</si>
  <si>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</si>
  <si>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</si>
  <si>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</si>
  <si>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</si>
  <si>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</si>
  <si>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</si>
  <si>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</si>
  <si>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</si>
  <si>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</si>
  <si>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</si>
  <si>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</si>
  <si>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</si>
  <si>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</si>
  <si>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</si>
  <si>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</si>
  <si>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</si>
  <si>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</si>
  <si>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</si>
  <si>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</si>
  <si>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</si>
  <si>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</si>
  <si>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</si>
  <si>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</si>
  <si>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</si>
  <si>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</si>
  <si>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</si>
  <si>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</si>
  <si>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</si>
  <si>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</si>
  <si>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</si>
  <si>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</si>
  <si>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</si>
  <si>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</si>
  <si>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</si>
  <si>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</si>
  <si>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</si>
  <si>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</si>
  <si>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</si>
  <si>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</si>
  <si>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</si>
  <si>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</si>
  <si>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</si>
  <si>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</si>
  <si>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</si>
  <si>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</si>
  <si>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</si>
  <si>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</si>
  <si>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</si>
  <si>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</si>
  <si>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</si>
  <si>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</si>
  <si>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</si>
  <si>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</si>
  <si>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</si>
  <si>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</si>
  <si>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</si>
  <si>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</si>
  <si>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</si>
  <si>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</si>
  <si>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</si>
  <si>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</si>
  <si>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</si>
  <si>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</si>
  <si>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</si>
  <si>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</si>
  <si>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</si>
  <si>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</si>
  <si>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</si>
  <si>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</si>
  <si>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</si>
  <si>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</si>
  <si>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</si>
  <si>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</si>
  <si>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</si>
  <si>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</si>
  <si>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</si>
  <si>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</si>
  <si>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</si>
  <si>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</si>
  <si>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</si>
  <si>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</si>
  <si>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</si>
  <si>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</si>
  <si>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</si>
  <si>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</si>
  <si>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</si>
  <si>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</si>
  <si>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</si>
  <si>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</si>
  <si>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</si>
  <si>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</si>
  <si>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</si>
  <si>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</si>
  <si>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</si>
  <si>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</si>
  <si>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</si>
  <si>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</si>
  <si>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</si>
  <si>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</si>
  <si>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</si>
  <si>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</si>
  <si>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</si>
  <si>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</si>
  <si>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</si>
  <si>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</si>
  <si>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</si>
  <si>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</si>
  <si>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</si>
  <si>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</si>
  <si>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</si>
  <si>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</si>
  <si>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</si>
  <si>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</si>
  <si>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</si>
  <si>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</si>
  <si>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</si>
  <si>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</si>
  <si>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</si>
  <si>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</si>
  <si>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</si>
  <si>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</si>
  <si>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</si>
  <si>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</si>
  <si>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</si>
  <si>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</si>
  <si>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</si>
  <si>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</si>
  <si>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</si>
  <si>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</si>
  <si>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</si>
  <si>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</si>
  <si>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</si>
  <si>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</si>
  <si>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</si>
  <si>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</si>
  <si>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</si>
  <si>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</si>
  <si>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</si>
  <si>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</si>
  <si>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</si>
  <si>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</si>
  <si>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</si>
  <si>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</si>
  <si>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</si>
  <si>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</si>
  <si>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</si>
  <si>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</si>
  <si>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</si>
  <si>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</si>
  <si>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</si>
  <si>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</si>
  <si>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</si>
  <si>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</si>
  <si>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</si>
  <si>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</si>
  <si>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</si>
  <si>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</si>
  <si>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</si>
  <si>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</si>
  <si>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</si>
  <si>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</si>
  <si>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</si>
  <si>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</si>
  <si>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</si>
  <si>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</si>
  <si>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</si>
  <si>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</si>
  <si>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</si>
  <si>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</si>
  <si>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</si>
  <si>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</si>
  <si>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</si>
  <si>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</si>
  <si>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</si>
  <si>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</si>
  <si>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</si>
  <si>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Percent Monthly Demand by Year, FY-1</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</si>
  <si>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</si>
  <si>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</si>
  <si>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</si>
  <si>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</si>
  <si>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</si>
  <si>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</si>
  <si>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</si>
  <si>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</si>
  <si>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</si>
  <si>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</si>
  <si>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</si>
  <si>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</si>
  <si>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</si>
  <si>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</si>
  <si>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</si>
  <si>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</si>
  <si>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</si>
  <si>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</si>
  <si>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</si>
  <si>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</si>
  <si>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</si>
  <si>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</si>
  <si>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</si>
  <si>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</si>
  <si>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</si>
  <si>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</si>
  <si>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</si>
  <si>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</si>
  <si>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</si>
  <si>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</si>
  <si>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</si>
  <si>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</si>
  <si>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</si>
  <si>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</si>
  <si>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</si>
  <si>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</si>
  <si>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</si>
  <si>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</si>
  <si>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</si>
  <si>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</si>
  <si>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</si>
  <si>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</si>
  <si>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</si>
  <si>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</si>
  <si>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</si>
  <si>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</si>
  <si>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</si>
  <si>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</si>
  <si>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</si>
  <si>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</si>
  <si>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</si>
  <si>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</si>
  <si>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</si>
  <si>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</si>
  <si>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</si>
  <si>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</si>
  <si>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</si>
  <si>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</si>
  <si>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</si>
  <si>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</si>
  <si>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</si>
  <si>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</si>
  <si>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</si>
  <si>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</si>
  <si>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</si>
  <si>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</si>
  <si>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</si>
  <si>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</si>
  <si>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</si>
  <si>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</si>
  <si>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</si>
  <si>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</si>
  <si>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</si>
  <si>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</si>
  <si>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</si>
  <si>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</si>
  <si>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</si>
  <si>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</si>
  <si>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</si>
  <si>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</si>
  <si>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</si>
  <si>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</si>
  <si>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</si>
  <si>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</si>
  <si>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</si>
  <si>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</si>
  <si>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</si>
  <si>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</si>
  <si>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</si>
  <si>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</si>
  <si>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</si>
  <si>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</si>
  <si>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</si>
  <si>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</si>
  <si>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</si>
  <si>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</si>
  <si>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Percent Monthly Demand by Year, FY-2</t>
  </si>
  <si>
    <t>Percent Monthly Demand by Year, FY-3</t>
  </si>
  <si>
    <t>Capacity Definitions</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</si>
  <si>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</si>
  <si>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</si>
  <si>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</si>
  <si>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</si>
  <si>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</si>
  <si>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</si>
  <si>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</si>
  <si>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</si>
  <si>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</si>
  <si>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</si>
  <si>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</si>
  <si>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</si>
  <si>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</si>
  <si>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</si>
  <si>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</si>
  <si>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</si>
  <si>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</si>
  <si>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</si>
  <si>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</si>
  <si>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</si>
  <si>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</si>
  <si>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</si>
  <si>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</si>
  <si>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</si>
  <si>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</si>
  <si>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</si>
  <si>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</si>
  <si>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</si>
  <si>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</si>
  <si>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</si>
  <si>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</si>
  <si>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</si>
  <si>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</si>
  <si>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</si>
  <si>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</si>
  <si>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</si>
  <si>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</si>
  <si>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</si>
  <si>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</si>
  <si>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</si>
  <si>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</si>
  <si>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</si>
  <si>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</si>
  <si>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Preset Parameters</t>
  </si>
  <si>
    <t>Section</t>
  </si>
  <si>
    <t>Parameters</t>
  </si>
  <si>
    <t>Constant</t>
  </si>
  <si>
    <t>mu</t>
  </si>
  <si>
    <t>sigma</t>
  </si>
  <si>
    <t>epsilon</t>
  </si>
  <si>
    <t>!Material</t>
  </si>
  <si>
    <t>!Labor</t>
  </si>
  <si>
    <t>!Others</t>
  </si>
  <si>
    <t>! Budget</t>
  </si>
  <si>
    <t>! Number</t>
  </si>
  <si>
    <t>!Salary</t>
  </si>
  <si>
    <t>?FY-1</t>
  </si>
  <si>
    <t>?FY-2</t>
  </si>
  <si>
    <t>?FY-3</t>
  </si>
  <si>
    <t>?FY1+FY2+FY3</t>
  </si>
  <si>
    <t>Initial Parameters</t>
  </si>
  <si>
    <t>Distribution Parameters</t>
  </si>
  <si>
    <t>New Parameters</t>
  </si>
  <si>
    <t>Expected</t>
  </si>
  <si>
    <t>Random</t>
  </si>
  <si>
    <t>New Value</t>
  </si>
  <si>
    <t>Products Name &amp; Description</t>
  </si>
  <si>
    <t>Products Variable Cost, FY-2</t>
  </si>
  <si>
    <t>Products Variable Cost, FY-3</t>
  </si>
  <si>
    <t>Produced</t>
  </si>
  <si>
    <t>Demanded</t>
  </si>
  <si>
    <t>Excess</t>
  </si>
  <si>
    <t>Profit Calculation</t>
  </si>
  <si>
    <t>BR01-PA-01,</t>
  </si>
  <si>
    <t>Discount</t>
  </si>
  <si>
    <t>Material</t>
  </si>
  <si>
    <t>Sold</t>
  </si>
  <si>
    <t>Key Parameters</t>
  </si>
  <si>
    <t>Parameter</t>
  </si>
  <si>
    <t>Value</t>
  </si>
  <si>
    <t>Cycle in use (at beging)</t>
  </si>
  <si>
    <t># Interactions</t>
  </si>
  <si>
    <t>Current interaction</t>
  </si>
  <si>
    <t># Simulations Run</t>
  </si>
  <si>
    <t>Current Cycle in Use</t>
  </si>
  <si>
    <t>Histogram Parameters</t>
  </si>
  <si>
    <t>Record</t>
  </si>
  <si>
    <t>Profit FY-1</t>
  </si>
  <si>
    <t>Profit FY-2</t>
  </si>
  <si>
    <t>Profit FY-3</t>
  </si>
  <si>
    <t>Total Profit</t>
  </si>
  <si>
    <t>Interaction</t>
  </si>
  <si>
    <t>IRR</t>
  </si>
  <si>
    <t>Interval</t>
  </si>
  <si>
    <t>Counts</t>
  </si>
  <si>
    <t>Web</t>
  </si>
  <si>
    <t>Social media</t>
  </si>
  <si>
    <t>Bench Ads</t>
  </si>
  <si>
    <t>Influencer</t>
  </si>
  <si>
    <t>(full) (lb)</t>
  </si>
  <si>
    <t>Targeted Market Size (per product and FY)</t>
  </si>
  <si>
    <t>Sales Projections (business unit: next 36 months of operations)</t>
  </si>
  <si>
    <t>Forecast for the next three years</t>
  </si>
  <si>
    <t>Utilities, Supplies and other</t>
  </si>
  <si>
    <t>Human Resources</t>
  </si>
  <si>
    <t>Miscellaneous</t>
  </si>
  <si>
    <t>Employees' Compensation</t>
  </si>
  <si>
    <t>market research</t>
  </si>
  <si>
    <t>salary increase in %</t>
  </si>
  <si>
    <t># people hired</t>
  </si>
  <si>
    <t>budget</t>
  </si>
  <si>
    <t>Critical Salesmen</t>
  </si>
  <si>
    <t>min</t>
  </si>
  <si>
    <t>base</t>
  </si>
  <si>
    <t>max</t>
  </si>
  <si>
    <t xml:space="preserve"> Salesmen</t>
  </si>
  <si>
    <t>Total sum</t>
  </si>
  <si>
    <t>Surplus</t>
  </si>
  <si>
    <t>Workers' Compensation</t>
  </si>
  <si>
    <t>Critical Workers</t>
  </si>
  <si>
    <t xml:space="preserve"> Workers</t>
  </si>
  <si>
    <t xml:space="preserve">Cost of labor </t>
  </si>
  <si>
    <t xml:space="preserve">IMPLEMENTATION PLAN: recommended steps for the next nine months (an example) </t>
  </si>
  <si>
    <t>Task Name</t>
  </si>
  <si>
    <t>Duration</t>
  </si>
  <si>
    <t>Finish</t>
  </si>
  <si>
    <t>Predecessors</t>
  </si>
  <si>
    <t>Prepare Mission, Value, Vision (MVV) statements</t>
  </si>
  <si>
    <t>5 days</t>
  </si>
  <si>
    <t>Mission Statement</t>
  </si>
  <si>
    <t>Value Statement</t>
  </si>
  <si>
    <t>Vision Statement</t>
  </si>
  <si>
    <t>Define Goals and Objectives</t>
  </si>
  <si>
    <t>2 days</t>
  </si>
  <si>
    <t>1</t>
  </si>
  <si>
    <t>Financial</t>
  </si>
  <si>
    <t>Non-Financial</t>
  </si>
  <si>
    <t>Define INTERNAL Strategy-Shaping Factors</t>
  </si>
  <si>
    <t>5</t>
  </si>
  <si>
    <t>Define EXTERNAL Strategy-Shaping Factors</t>
  </si>
  <si>
    <t>8</t>
  </si>
  <si>
    <t>Select a BUSINESS STRATEGY of the company</t>
  </si>
  <si>
    <t>9</t>
  </si>
  <si>
    <t>(Work with 'Project-Start')</t>
  </si>
  <si>
    <t>0 days</t>
  </si>
  <si>
    <t>Prepare different scenario developments</t>
  </si>
  <si>
    <t>1 day</t>
  </si>
  <si>
    <t>Identify and Evaluate STRATEGY ALTERNATIVES</t>
  </si>
  <si>
    <t>12</t>
  </si>
  <si>
    <t>5.2.1</t>
  </si>
  <si>
    <t>Resources for alternative 1</t>
  </si>
  <si>
    <t>13</t>
  </si>
  <si>
    <t>5.2.2</t>
  </si>
  <si>
    <t>Resources for alternative 2</t>
  </si>
  <si>
    <t>5.2.3</t>
  </si>
  <si>
    <t>Resources for alternative 3</t>
  </si>
  <si>
    <t>Define criteria for comparison/evaluation</t>
  </si>
  <si>
    <t>14,15,16</t>
  </si>
  <si>
    <t>17</t>
  </si>
  <si>
    <t>Prepare functional Strategy MARKETING</t>
  </si>
  <si>
    <t>10</t>
  </si>
  <si>
    <t>Work with 'Mktg-Mgt'</t>
  </si>
  <si>
    <t>Analyze the outputs</t>
  </si>
  <si>
    <t>20</t>
  </si>
  <si>
    <t>('36-Mo-Fin-Pr'; 'Performance'; 'D-Analysis')</t>
  </si>
  <si>
    <t>21</t>
  </si>
  <si>
    <t>Apply other Decision Support Tools</t>
  </si>
  <si>
    <t>(Optimization Analysis, Sensitivity Analysis, others)</t>
  </si>
  <si>
    <t>23</t>
  </si>
  <si>
    <t>Prepare functional Strategy INNOVATION</t>
  </si>
  <si>
    <t>Work with 'Inn-Mgt'</t>
  </si>
  <si>
    <t>26</t>
  </si>
  <si>
    <t>27</t>
  </si>
  <si>
    <t>Prepare functional Strategy OPERATIONS</t>
  </si>
  <si>
    <t>Work with 'Oper-Mgt'</t>
  </si>
  <si>
    <t>32</t>
  </si>
  <si>
    <t>33</t>
  </si>
  <si>
    <t>(Optimization Analysis, Sensitivity Analysis, Risk Analysis, others)</t>
  </si>
  <si>
    <t>Prepare functional Strategy Finance</t>
  </si>
  <si>
    <t>Work with 'Fin-Mgt'</t>
  </si>
  <si>
    <t>38</t>
  </si>
  <si>
    <t>39</t>
  </si>
  <si>
    <t>Prepare functional Strategy HR &amp; ORGANIZATIONAL</t>
  </si>
  <si>
    <t>Work with 'Org-Mgt'</t>
  </si>
  <si>
    <t>44</t>
  </si>
  <si>
    <t>45</t>
  </si>
  <si>
    <t>Action Plan</t>
  </si>
  <si>
    <t>155 days</t>
  </si>
  <si>
    <t>43,19,25,31,37</t>
  </si>
  <si>
    <t>Prepare a Business Plan for the New Project &amp; related</t>
  </si>
  <si>
    <t>10 days</t>
  </si>
  <si>
    <t>11.1.1</t>
  </si>
  <si>
    <t>Prepare a first draft of the Business Plan for the New Project</t>
  </si>
  <si>
    <t>11.1.2</t>
  </si>
  <si>
    <t>Discuss the first draft internally (in your company)</t>
  </si>
  <si>
    <t>51</t>
  </si>
  <si>
    <t>11.1.3</t>
  </si>
  <si>
    <t>Discuss the first draft with potential investors (fin-institutions)</t>
  </si>
  <si>
    <t>52</t>
  </si>
  <si>
    <t>Modify the initial Request for Quotation</t>
  </si>
  <si>
    <t>53</t>
  </si>
  <si>
    <t>11.2.1</t>
  </si>
  <si>
    <t>Negotiate changes with the seller (if needed)</t>
  </si>
  <si>
    <t>54</t>
  </si>
  <si>
    <t>Contact your financial institution (bank, private investor)</t>
  </si>
  <si>
    <t>7 days</t>
  </si>
  <si>
    <t>11.3.1</t>
  </si>
  <si>
    <t>Negotiate final conditions for the financing of the project</t>
  </si>
  <si>
    <t>56</t>
  </si>
  <si>
    <t>11.3.2</t>
  </si>
  <si>
    <t>Prepare all additional/requested documents</t>
  </si>
  <si>
    <t>Prepare and send a Purchase Order to the Seller</t>
  </si>
  <si>
    <t>58</t>
  </si>
  <si>
    <t>11.4.1</t>
  </si>
  <si>
    <t>Receive confirmation from seller</t>
  </si>
  <si>
    <t>59</t>
  </si>
  <si>
    <t>Sign a commercial contract with the Seller</t>
  </si>
  <si>
    <t>60</t>
  </si>
  <si>
    <t>Make a payment to the Seller (for the new technology)</t>
  </si>
  <si>
    <t>Prepare the site for the installation of the new technology</t>
  </si>
  <si>
    <t>30 days</t>
  </si>
  <si>
    <t>62,61</t>
  </si>
  <si>
    <t>Instalation of the technology (by the Seller)</t>
  </si>
  <si>
    <t>63</t>
  </si>
  <si>
    <t>Hiring of new personnel</t>
  </si>
  <si>
    <t>11.9.1</t>
  </si>
  <si>
    <t>Training of the new personnel</t>
  </si>
  <si>
    <t>65</t>
  </si>
  <si>
    <t>Contracts with wholesale buyers of the new products (kegs)</t>
  </si>
  <si>
    <t>40 days</t>
  </si>
  <si>
    <t>Advertising Campaign</t>
  </si>
  <si>
    <t>90 days</t>
  </si>
  <si>
    <t>61</t>
  </si>
  <si>
    <t>11.11.1</t>
  </si>
  <si>
    <t>Design</t>
  </si>
  <si>
    <t>11.11.2</t>
  </si>
  <si>
    <t>Execution</t>
  </si>
  <si>
    <t>80 days</t>
  </si>
  <si>
    <t>69</t>
  </si>
  <si>
    <t>Launch the BrewPub</t>
  </si>
  <si>
    <t>64,66</t>
  </si>
  <si>
    <t>11.12.1</t>
  </si>
  <si>
    <t>First month of operation</t>
  </si>
  <si>
    <t>71</t>
  </si>
  <si>
    <t>11.12.2</t>
  </si>
  <si>
    <t>Second month of operation</t>
  </si>
  <si>
    <t>72</t>
  </si>
  <si>
    <t>11.12.3</t>
  </si>
  <si>
    <t>Third month of operation</t>
  </si>
  <si>
    <t>73</t>
  </si>
  <si>
    <t>11.12.4</t>
  </si>
  <si>
    <t>Evaluation of the results: First Quarter of Operation</t>
  </si>
  <si>
    <t>74</t>
  </si>
  <si>
    <t>11.12.5</t>
  </si>
  <si>
    <t>Evaluation of the Compatitive Advantages</t>
  </si>
  <si>
    <t>75</t>
  </si>
  <si>
    <t>11.12.6</t>
  </si>
  <si>
    <t>Plans for the next 12 months of operations</t>
  </si>
  <si>
    <t>76</t>
  </si>
</sst>
</file>

<file path=xl/styles.xml><?xml version="1.0" encoding="utf-8"?>
<styleSheet xmlns="http://schemas.openxmlformats.org/spreadsheetml/2006/main">
  <numFmts count="24">
    <numFmt numFmtId="176" formatCode="0.0"/>
    <numFmt numFmtId="177" formatCode="_(&quot;$&quot;* #,##0.00_);_(&quot;$&quot;* \(#,##0.00\);_(&quot;$&quot;* &quot;-&quot;??_);_(@_)"/>
    <numFmt numFmtId="178" formatCode="&quot;$&quot;#,##0.00_);[Red]\(&quot;$&quot;#,##0.00\)"/>
    <numFmt numFmtId="179" formatCode="0.0%"/>
    <numFmt numFmtId="180" formatCode="_(* #,##0.00_);_(* \(#,##0.00\);_(* &quot;-&quot;??_);_(@_)"/>
    <numFmt numFmtId="41" formatCode="_ * #,##0_ ;_ * \-#,##0_ ;_ * &quot;-&quot;_ ;_ @_ "/>
    <numFmt numFmtId="181" formatCode="[$-F800]dddd\,\ mmmm\ dd\,\ yyyy"/>
    <numFmt numFmtId="182" formatCode="[$$-409]#,##0_);\([$$-409]#,##0\)"/>
    <numFmt numFmtId="183" formatCode="0.0000"/>
    <numFmt numFmtId="184" formatCode="#,##0.0000"/>
    <numFmt numFmtId="185" formatCode="&quot;$&quot;#,##0.00"/>
    <numFmt numFmtId="186" formatCode="0.00_);[Red]\(0.00\)"/>
    <numFmt numFmtId="187" formatCode="_(&quot;$&quot;* #,##0_);_(&quot;$&quot;* \(#,##0\);_(&quot;$&quot;* &quot;-&quot;??_);_(@_)"/>
    <numFmt numFmtId="42" formatCode="_ &quot;￥&quot;* #,##0_ ;_ &quot;￥&quot;* \-#,##0_ ;_ &quot;￥&quot;* &quot;-&quot;_ ;_ @_ "/>
    <numFmt numFmtId="188" formatCode="0.000"/>
    <numFmt numFmtId="189" formatCode="_(* #,##0.000000_);_(* \(#,##0.000000\);_(* &quot;-&quot;??_);_(@_)"/>
    <numFmt numFmtId="190" formatCode="&quot;$&quot;#,##0"/>
    <numFmt numFmtId="191" formatCode="[$-409]d\-mmm\-yy;@"/>
    <numFmt numFmtId="192" formatCode="_(&quot;$&quot;* #,##0.0_);_(&quot;$&quot;* \(#,##0.0\);_(&quot;$&quot;* &quot;-&quot;?_);_(@_)"/>
    <numFmt numFmtId="193" formatCode="&quot;$&quot;#,##0_);[Red]\(&quot;$&quot;#,##0\)"/>
    <numFmt numFmtId="194" formatCode="#,##0.0_);\(#,##0.0\)"/>
    <numFmt numFmtId="195" formatCode="_(* #,##0_);_(* \(#,##0\);_(* &quot;-&quot;??_);_(@_)"/>
    <numFmt numFmtId="196" formatCode="_(* #,##0.0_);_(* \(#,##0.0\);_(* &quot;-&quot;??_);_(@_)"/>
    <numFmt numFmtId="197" formatCode="&quot;$&quot;#,##0.00_);\(&quot;$&quot;#,##0.00\)"/>
  </numFmts>
  <fonts count="104">
    <font>
      <sz val="11"/>
      <color theme="1"/>
      <name val="宋体"/>
      <charset val="134"/>
      <scheme val="minor"/>
    </font>
    <font>
      <sz val="10"/>
      <name val="Geneva"/>
      <charset val="134"/>
    </font>
    <font>
      <sz val="8"/>
      <name val="Geneva"/>
      <charset val="134"/>
    </font>
    <font>
      <b/>
      <sz val="8"/>
      <name val="Geneva"/>
      <charset val="134"/>
    </font>
    <font>
      <sz val="14"/>
      <color theme="0"/>
      <name val="Arial"/>
      <charset val="134"/>
    </font>
    <font>
      <sz val="8"/>
      <name val="Arial"/>
      <charset val="134"/>
    </font>
    <font>
      <sz val="12"/>
      <color theme="0"/>
      <name val="Geneva"/>
      <charset val="134"/>
    </font>
    <font>
      <b/>
      <sz val="12"/>
      <color theme="0"/>
      <name val="Geneva"/>
      <charset val="134"/>
    </font>
    <font>
      <b/>
      <sz val="10"/>
      <name val="Geneva"/>
      <charset val="134"/>
    </font>
    <font>
      <sz val="14"/>
      <color theme="0"/>
      <name val="Geneva"/>
      <charset val="134"/>
    </font>
    <font>
      <sz val="8"/>
      <color theme="0"/>
      <name val="Geneva"/>
      <charset val="134"/>
    </font>
    <font>
      <sz val="11"/>
      <name val="宋体"/>
      <charset val="134"/>
      <scheme val="minor"/>
    </font>
    <font>
      <b/>
      <sz val="8"/>
      <name val="Arial"/>
      <charset val="134"/>
    </font>
    <font>
      <b/>
      <sz val="8"/>
      <color indexed="10"/>
      <name val="Geneva"/>
      <charset val="134"/>
    </font>
    <font>
      <sz val="10"/>
      <color rgb="FFFF0000"/>
      <name val="Geneva"/>
      <charset val="134"/>
    </font>
    <font>
      <sz val="12"/>
      <name val="Geneva"/>
      <charset val="134"/>
    </font>
    <font>
      <b/>
      <sz val="10"/>
      <color theme="0"/>
      <name val="Geneva"/>
      <charset val="134"/>
    </font>
    <font>
      <sz val="9"/>
      <name val="Geneva"/>
      <charset val="134"/>
    </font>
    <font>
      <b/>
      <sz val="12"/>
      <color theme="0"/>
      <name val="Arial"/>
      <charset val="134"/>
    </font>
    <font>
      <sz val="12"/>
      <color theme="0"/>
      <name val="Arial"/>
      <charset val="134"/>
    </font>
    <font>
      <b/>
      <sz val="9"/>
      <name val="Geneva"/>
      <charset val="134"/>
    </font>
    <font>
      <sz val="8"/>
      <color rgb="FFFF0000"/>
      <name val="Geneva"/>
      <charset val="134"/>
    </font>
    <font>
      <b/>
      <sz val="8"/>
      <color rgb="FFFF0000"/>
      <name val="Geneva"/>
      <charset val="134"/>
    </font>
    <font>
      <sz val="8"/>
      <color rgb="FFFF0000"/>
      <name val="Arial"/>
      <charset val="134"/>
    </font>
    <font>
      <b/>
      <sz val="14"/>
      <color theme="0"/>
      <name val="Geneva"/>
      <charset val="134"/>
    </font>
    <font>
      <sz val="10"/>
      <color theme="0"/>
      <name val="Geneva"/>
      <charset val="134"/>
    </font>
    <font>
      <i/>
      <sz val="8"/>
      <color theme="6"/>
      <name val="Geneva"/>
      <charset val="134"/>
    </font>
    <font>
      <sz val="12"/>
      <name val="Arial"/>
      <charset val="134"/>
    </font>
    <font>
      <b/>
      <sz val="12"/>
      <name val="Geneva"/>
      <charset val="134"/>
    </font>
    <font>
      <sz val="8"/>
      <color indexed="10"/>
      <name val="Arial"/>
      <charset val="134"/>
    </font>
    <font>
      <sz val="8"/>
      <color indexed="10"/>
      <name val="Geneva"/>
      <charset val="134"/>
    </font>
    <font>
      <b/>
      <sz val="12"/>
      <color theme="1"/>
      <name val="Arial"/>
      <charset val="134"/>
    </font>
    <font>
      <b/>
      <sz val="11"/>
      <color theme="1"/>
      <name val="Arial"/>
      <charset val="134"/>
    </font>
    <font>
      <b/>
      <sz val="11"/>
      <name val="Arial"/>
      <charset val="134"/>
    </font>
    <font>
      <sz val="12"/>
      <color theme="1"/>
      <name val="宋体"/>
      <charset val="134"/>
      <scheme val="minor"/>
    </font>
    <font>
      <sz val="14"/>
      <color theme="1"/>
      <name val="Arial"/>
      <charset val="134"/>
    </font>
    <font>
      <b/>
      <sz val="12"/>
      <name val="Arial"/>
      <charset val="134"/>
    </font>
    <font>
      <sz val="11"/>
      <name val="Arial"/>
      <charset val="134"/>
    </font>
    <font>
      <b/>
      <sz val="11"/>
      <color theme="1"/>
      <name val="宋体"/>
      <charset val="134"/>
      <scheme val="minor"/>
    </font>
    <font>
      <b/>
      <sz val="11"/>
      <name val="宋体"/>
      <charset val="134"/>
      <scheme val="minor"/>
    </font>
    <font>
      <sz val="10"/>
      <color theme="1"/>
      <name val="Geneva"/>
      <charset val="134"/>
    </font>
    <font>
      <b/>
      <sz val="10"/>
      <color indexed="10"/>
      <name val="Geneva"/>
      <charset val="134"/>
    </font>
    <font>
      <b/>
      <sz val="12"/>
      <color theme="1"/>
      <name val="Geneva"/>
      <charset val="134"/>
    </font>
    <font>
      <b/>
      <sz val="10"/>
      <color theme="1"/>
      <name val="Arial"/>
      <charset val="134"/>
    </font>
    <font>
      <b/>
      <sz val="9"/>
      <name val="Arial"/>
      <charset val="134"/>
    </font>
    <font>
      <b/>
      <sz val="10"/>
      <name val="Arial"/>
      <charset val="134"/>
    </font>
    <font>
      <i/>
      <sz val="8"/>
      <color theme="8"/>
      <name val="Geneva"/>
      <charset val="134"/>
    </font>
    <font>
      <i/>
      <sz val="8"/>
      <color theme="9"/>
      <name val="Geneva"/>
      <charset val="134"/>
    </font>
    <font>
      <b/>
      <sz val="10"/>
      <name val="宋体"/>
      <charset val="134"/>
      <scheme val="minor"/>
    </font>
    <font>
      <sz val="10"/>
      <name val="宋体"/>
      <charset val="134"/>
      <scheme val="minor"/>
    </font>
    <font>
      <b/>
      <sz val="9"/>
      <color theme="5"/>
      <name val="Geneva"/>
      <charset val="134"/>
    </font>
    <font>
      <sz val="8"/>
      <color indexed="57"/>
      <name val="Geneva"/>
      <charset val="134"/>
    </font>
    <font>
      <b/>
      <sz val="8"/>
      <color indexed="14"/>
      <name val="Geneva"/>
      <charset val="204"/>
    </font>
    <font>
      <b/>
      <u/>
      <sz val="8"/>
      <color indexed="10"/>
      <name val="Geneva"/>
      <charset val="134"/>
    </font>
    <font>
      <sz val="8"/>
      <color indexed="14"/>
      <name val="Geneva"/>
      <charset val="134"/>
    </font>
    <font>
      <b/>
      <sz val="8"/>
      <color indexed="12"/>
      <name val="Geneva"/>
      <charset val="134"/>
    </font>
    <font>
      <b/>
      <sz val="8"/>
      <color theme="3" tint="-0.249977111117893"/>
      <name val="宋体"/>
      <charset val="134"/>
      <scheme val="minor"/>
    </font>
    <font>
      <sz val="8"/>
      <color indexed="12"/>
      <name val="Geneva"/>
      <charset val="134"/>
    </font>
    <font>
      <b/>
      <sz val="8"/>
      <name val="宋体"/>
      <charset val="134"/>
      <scheme val="minor"/>
    </font>
    <font>
      <sz val="8"/>
      <color rgb="FFFFFFFF"/>
      <name val="Geneva"/>
      <charset val="134"/>
    </font>
    <font>
      <b/>
      <sz val="8"/>
      <color indexed="18"/>
      <name val="Geneva"/>
      <charset val="134"/>
    </font>
    <font>
      <sz val="8"/>
      <color indexed="18"/>
      <name val="Geneva"/>
      <charset val="134"/>
    </font>
    <font>
      <b/>
      <sz val="8"/>
      <color indexed="14"/>
      <name val="Geneva"/>
      <charset val="134"/>
    </font>
    <font>
      <sz val="9"/>
      <color theme="1"/>
      <name val="宋体"/>
      <charset val="134"/>
      <scheme val="minor"/>
    </font>
    <font>
      <i/>
      <sz val="11"/>
      <name val="Geneva"/>
      <charset val="134"/>
    </font>
    <font>
      <b/>
      <i/>
      <sz val="12"/>
      <color theme="5"/>
      <name val="Geneva"/>
      <charset val="134"/>
    </font>
    <font>
      <b/>
      <sz val="10"/>
      <color rgb="FFFF0000"/>
      <name val="Geneva"/>
      <charset val="134"/>
    </font>
    <font>
      <b/>
      <sz val="10"/>
      <color rgb="FF002060"/>
      <name val="Geneva"/>
      <charset val="134"/>
    </font>
    <font>
      <sz val="11"/>
      <color theme="0"/>
      <name val="宋体"/>
      <charset val="134"/>
      <scheme val="minor"/>
    </font>
    <font>
      <b/>
      <sz val="22"/>
      <color theme="4"/>
      <name val="Berlin Sans FB Demi"/>
      <charset val="134"/>
    </font>
    <font>
      <b/>
      <sz val="12"/>
      <name val="宋体"/>
      <charset val="134"/>
      <scheme val="minor"/>
    </font>
    <font>
      <i/>
      <sz val="11"/>
      <color theme="1"/>
      <name val="宋体"/>
      <charset val="134"/>
      <scheme val="minor"/>
    </font>
    <font>
      <sz val="10"/>
      <name val="Arial"/>
      <charset val="204"/>
    </font>
    <font>
      <sz val="10"/>
      <name val="Arial"/>
      <charset val="134"/>
    </font>
    <font>
      <b/>
      <sz val="16"/>
      <name val="Arial"/>
      <charset val="134"/>
    </font>
    <font>
      <sz val="10"/>
      <color rgb="FFFF0000"/>
      <name val="Arial"/>
      <charset val="134"/>
    </font>
    <font>
      <b/>
      <sz val="10"/>
      <name val="Arial"/>
      <charset val="204"/>
    </font>
    <font>
      <b/>
      <sz val="10"/>
      <color rgb="FF3F33D9"/>
      <name val="Arial"/>
      <charset val="134"/>
    </font>
    <font>
      <sz val="10"/>
      <color rgb="FF0070C0"/>
      <name val="Geneva"/>
      <charset val="134"/>
    </font>
    <font>
      <b/>
      <sz val="10"/>
      <color rgb="FF3F33D9"/>
      <name val="Arial"/>
      <charset val="204"/>
    </font>
    <font>
      <sz val="11"/>
      <color theme="1"/>
      <name val="宋体"/>
      <charset val="134"/>
      <scheme val="minor"/>
    </font>
    <font>
      <i/>
      <sz val="11"/>
      <color rgb="FF7F7F7F"/>
      <name val="宋体"/>
      <charset val="0"/>
      <scheme val="minor"/>
    </font>
    <font>
      <sz val="11"/>
      <color theme="0"/>
      <name val="宋体"/>
      <charset val="0"/>
      <scheme val="minor"/>
    </font>
    <font>
      <b/>
      <sz val="11"/>
      <color rgb="FFFA7D00"/>
      <name val="宋体"/>
      <charset val="0"/>
      <scheme val="minor"/>
    </font>
    <font>
      <sz val="11"/>
      <color rgb="FF9C0006"/>
      <name val="宋体"/>
      <charset val="0"/>
      <scheme val="minor"/>
    </font>
    <font>
      <sz val="11"/>
      <color rgb="FFFA7D00"/>
      <name val="宋体"/>
      <charset val="0"/>
      <scheme val="minor"/>
    </font>
    <font>
      <b/>
      <sz val="15"/>
      <color theme="3"/>
      <name val="宋体"/>
      <charset val="134"/>
      <scheme val="minor"/>
    </font>
    <font>
      <sz val="11"/>
      <color theme="1"/>
      <name val="宋体"/>
      <charset val="0"/>
      <scheme val="minor"/>
    </font>
    <font>
      <sz val="11"/>
      <color rgb="FF3F3F76"/>
      <name val="宋体"/>
      <charset val="0"/>
      <scheme val="minor"/>
    </font>
    <font>
      <sz val="11"/>
      <color rgb="FF9C6500"/>
      <name val="宋体"/>
      <charset val="0"/>
      <scheme val="minor"/>
    </font>
    <font>
      <b/>
      <sz val="11"/>
      <color theme="3"/>
      <name val="宋体"/>
      <charset val="134"/>
      <scheme val="minor"/>
    </font>
    <font>
      <sz val="11"/>
      <color rgb="FF006100"/>
      <name val="宋体"/>
      <charset val="0"/>
      <scheme val="minor"/>
    </font>
    <font>
      <b/>
      <sz val="11"/>
      <color rgb="FFFFFFFF"/>
      <name val="宋体"/>
      <charset val="0"/>
      <scheme val="minor"/>
    </font>
    <font>
      <sz val="11"/>
      <color rgb="FFFF0000"/>
      <name val="宋体"/>
      <charset val="0"/>
      <scheme val="minor"/>
    </font>
    <font>
      <u/>
      <sz val="11"/>
      <color rgb="FF0000FF"/>
      <name val="宋体"/>
      <charset val="0"/>
      <scheme val="minor"/>
    </font>
    <font>
      <u/>
      <sz val="11"/>
      <color rgb="FF800080"/>
      <name val="宋体"/>
      <charset val="0"/>
      <scheme val="minor"/>
    </font>
    <font>
      <b/>
      <sz val="18"/>
      <color theme="3"/>
      <name val="宋体"/>
      <charset val="134"/>
      <scheme val="minor"/>
    </font>
    <font>
      <b/>
      <sz val="13"/>
      <color theme="3"/>
      <name val="宋体"/>
      <charset val="134"/>
      <scheme val="minor"/>
    </font>
    <font>
      <b/>
      <sz val="11"/>
      <color theme="1"/>
      <name val="宋体"/>
      <charset val="0"/>
      <scheme val="minor"/>
    </font>
    <font>
      <b/>
      <sz val="11"/>
      <color rgb="FF3F3F3F"/>
      <name val="宋体"/>
      <charset val="0"/>
      <scheme val="minor"/>
    </font>
    <font>
      <b/>
      <sz val="14"/>
      <color theme="3" tint="-0.249977111117893"/>
      <name val="宋体"/>
      <charset val="134"/>
      <scheme val="minor"/>
    </font>
    <font>
      <b/>
      <sz val="14"/>
      <color rgb="FFFF0000"/>
      <name val="宋体"/>
      <charset val="134"/>
      <scheme val="minor"/>
    </font>
    <font>
      <b/>
      <sz val="12"/>
      <color rgb="FFFF0000"/>
      <name val="宋体"/>
      <charset val="134"/>
      <scheme val="minor"/>
    </font>
    <font>
      <b/>
      <sz val="8"/>
      <color rgb="FFFF0000"/>
      <name val="宋体"/>
      <charset val="134"/>
      <scheme val="minor"/>
    </font>
  </fonts>
  <fills count="76">
    <fill>
      <patternFill patternType="none"/>
    </fill>
    <fill>
      <patternFill patternType="gray125"/>
    </fill>
    <fill>
      <patternFill patternType="solid">
        <fgColor rgb="FF00B050"/>
        <bgColor indexed="64"/>
      </patternFill>
    </fill>
    <fill>
      <patternFill patternType="solid">
        <fgColor theme="6"/>
        <bgColor indexed="64"/>
      </patternFill>
    </fill>
    <fill>
      <patternFill patternType="solid">
        <fgColor rgb="FFFFFF00"/>
        <bgColor indexed="64"/>
      </patternFill>
    </fill>
    <fill>
      <patternFill patternType="solid">
        <fgColor rgb="FFFFFF01"/>
        <bgColor indexed="64"/>
      </patternFill>
    </fill>
    <fill>
      <patternFill patternType="solid">
        <fgColor rgb="FF9BBB59"/>
        <bgColor indexed="64"/>
      </patternFill>
    </fill>
    <fill>
      <patternFill patternType="solid">
        <fgColor rgb="FFFFC000"/>
        <bgColor indexed="64"/>
      </patternFill>
    </fill>
    <fill>
      <patternFill patternType="solid">
        <fgColor rgb="FFFCD5B4"/>
        <bgColor indexed="64"/>
      </patternFill>
    </fill>
    <fill>
      <patternFill patternType="solid">
        <fgColor theme="9" tint="0.599993896298105"/>
        <bgColor indexed="64"/>
      </patternFill>
    </fill>
    <fill>
      <patternFill patternType="solid">
        <fgColor rgb="FF0070C0"/>
        <bgColor indexed="64"/>
      </patternFill>
    </fill>
    <fill>
      <patternFill patternType="solid">
        <fgColor rgb="FF48B2C0"/>
        <bgColor indexed="64"/>
      </patternFill>
    </fill>
    <fill>
      <patternFill patternType="solid">
        <fgColor rgb="FFE1F4FF"/>
        <bgColor indexed="64"/>
      </patternFill>
    </fill>
    <fill>
      <patternFill patternType="solid">
        <fgColor theme="0" tint="-0.0499893185216834"/>
        <bgColor indexed="64"/>
      </patternFill>
    </fill>
    <fill>
      <patternFill patternType="solid">
        <fgColor rgb="FFFF6464"/>
        <bgColor indexed="64"/>
      </patternFill>
    </fill>
    <fill>
      <patternFill patternType="solid">
        <fgColor rgb="FF00FF00"/>
        <bgColor indexed="64"/>
      </patternFill>
    </fill>
    <fill>
      <patternFill patternType="solid">
        <fgColor rgb="FF00C8FF"/>
        <bgColor indexed="64"/>
      </patternFill>
    </fill>
    <fill>
      <patternFill patternType="solid">
        <fgColor rgb="FFFF9600"/>
        <bgColor indexed="64"/>
      </patternFill>
    </fill>
    <fill>
      <patternFill patternType="solid">
        <fgColor rgb="FFFF64FF"/>
        <bgColor indexed="64"/>
      </patternFill>
    </fill>
    <fill>
      <patternFill patternType="solid">
        <fgColor rgb="FFC896FF"/>
        <bgColor indexed="64"/>
      </patternFill>
    </fill>
    <fill>
      <patternFill patternType="solid">
        <fgColor rgb="FF9696FF"/>
        <bgColor indexed="64"/>
      </patternFill>
    </fill>
    <fill>
      <patternFill patternType="solid">
        <fgColor rgb="FFFFFF00"/>
        <bgColor indexed="64"/>
      </patternFill>
    </fill>
    <fill>
      <patternFill patternType="solid">
        <fgColor rgb="FFC832FF"/>
        <bgColor indexed="64"/>
      </patternFill>
    </fill>
    <fill>
      <patternFill patternType="solid">
        <fgColor rgb="FFC832FF"/>
        <bgColor indexed="64"/>
      </patternFill>
    </fill>
    <fill>
      <patternFill patternType="solid">
        <fgColor rgb="FF9696FF"/>
        <bgColor indexed="64"/>
      </patternFill>
    </fill>
    <fill>
      <patternFill patternType="solid">
        <fgColor rgb="FFB4B4B4"/>
        <bgColor indexed="64"/>
      </patternFill>
    </fill>
    <fill>
      <patternFill patternType="solid">
        <fgColor rgb="FF00FF00"/>
        <bgColor indexed="64"/>
      </patternFill>
    </fill>
    <fill>
      <patternFill patternType="solid">
        <fgColor rgb="FFB4B4B4"/>
        <bgColor indexed="64"/>
      </patternFill>
    </fill>
    <fill>
      <patternFill patternType="solid">
        <fgColor rgb="FFFF6464"/>
        <bgColor indexed="64"/>
      </patternFill>
    </fill>
    <fill>
      <patternFill patternType="solid">
        <fgColor rgb="FF00C8FF"/>
        <bgColor indexed="64"/>
      </patternFill>
    </fill>
    <fill>
      <patternFill patternType="solid">
        <fgColor rgb="FFFF9600"/>
        <bgColor indexed="64"/>
      </patternFill>
    </fill>
    <fill>
      <patternFill patternType="solid">
        <fgColor rgb="FFFF64FF"/>
        <bgColor indexed="64"/>
      </patternFill>
    </fill>
    <fill>
      <patternFill patternType="solid">
        <fgColor theme="8"/>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0"/>
        <bgColor indexed="64"/>
      </patternFill>
    </fill>
    <fill>
      <patternFill patternType="solid">
        <fgColor rgb="FFD2EFFF"/>
        <bgColor indexed="64"/>
      </patternFill>
    </fill>
    <fill>
      <patternFill patternType="solid">
        <fgColor theme="3"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rgb="FF92D050"/>
        <bgColor indexed="64"/>
      </patternFill>
    </fill>
    <fill>
      <patternFill patternType="solid">
        <fgColor theme="6" tint="0.599993896298105"/>
        <bgColor indexed="64"/>
      </patternFill>
    </fill>
    <fill>
      <patternFill patternType="solid">
        <fgColor rgb="FFFFFFCC"/>
        <bgColor indexed="64"/>
      </patternFill>
    </fill>
    <fill>
      <patternFill patternType="solid">
        <fgColor theme="7"/>
        <bgColor indexed="64"/>
      </patternFill>
    </fill>
    <fill>
      <patternFill patternType="solid">
        <fgColor theme="6"/>
        <bgColor indexed="64"/>
      </patternFill>
    </fill>
    <fill>
      <patternFill patternType="solid">
        <fgColor rgb="FFF2F2F2"/>
        <bgColor indexed="64"/>
      </patternFill>
    </fill>
    <fill>
      <patternFill patternType="solid">
        <fgColor rgb="FFFFC7CE"/>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rgb="FFFFCC99"/>
        <bgColor indexed="64"/>
      </patternFill>
    </fill>
    <fill>
      <patternFill patternType="solid">
        <fgColor theme="8"/>
        <bgColor indexed="64"/>
      </patternFill>
    </fill>
    <fill>
      <patternFill patternType="solid">
        <fgColor rgb="FFFFEB9C"/>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4"/>
        <bgColor indexed="64"/>
      </patternFill>
    </fill>
    <fill>
      <patternFill patternType="solid">
        <fgColor rgb="FFC6EFCE"/>
        <bgColor indexed="64"/>
      </patternFill>
    </fill>
    <fill>
      <patternFill patternType="solid">
        <fgColor rgb="FFA5A5A5"/>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5"/>
        <bgColor indexed="64"/>
      </patternFill>
    </fill>
  </fills>
  <borders count="19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style="medium">
        <color auto="1"/>
      </top>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thin">
        <color auto="1"/>
      </right>
      <top/>
      <bottom style="medium">
        <color auto="1"/>
      </bottom>
      <diagonal/>
    </border>
    <border>
      <left/>
      <right/>
      <top/>
      <bottom style="medium">
        <color theme="8"/>
      </bottom>
      <diagonal/>
    </border>
    <border>
      <left style="medium">
        <color theme="8"/>
      </left>
      <right style="medium">
        <color theme="8"/>
      </right>
      <top style="medium">
        <color theme="8"/>
      </top>
      <bottom style="medium">
        <color theme="8"/>
      </bottom>
      <diagonal/>
    </border>
    <border>
      <left style="medium">
        <color theme="8"/>
      </left>
      <right/>
      <top/>
      <bottom style="double">
        <color theme="8"/>
      </bottom>
      <diagonal/>
    </border>
    <border>
      <left/>
      <right/>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medium">
        <color theme="8"/>
      </left>
      <right/>
      <top style="medium">
        <color theme="8"/>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8"/>
      </left>
      <right style="medium">
        <color theme="8"/>
      </right>
      <top/>
      <bottom style="double">
        <color theme="8"/>
      </bottom>
      <diagonal/>
    </border>
    <border>
      <left style="thin">
        <color theme="8"/>
      </left>
      <right style="medium">
        <color theme="8"/>
      </right>
      <top/>
      <bottom style="thin">
        <color theme="8"/>
      </bottom>
      <diagonal/>
    </border>
    <border>
      <left style="thin">
        <color theme="8"/>
      </left>
      <right style="medium">
        <color theme="8"/>
      </right>
      <top style="thin">
        <color theme="8"/>
      </top>
      <bottom style="thin">
        <color theme="8"/>
      </bottom>
      <diagonal/>
    </border>
    <border>
      <left style="thin">
        <color theme="8"/>
      </left>
      <right style="medium">
        <color theme="8"/>
      </right>
      <top style="thin">
        <color theme="8"/>
      </top>
      <bottom style="medium">
        <color theme="8"/>
      </bottom>
      <diagonal/>
    </border>
    <border>
      <left style="thin">
        <color theme="9"/>
      </left>
      <right style="medium">
        <color theme="9"/>
      </right>
      <top style="medium">
        <color theme="9"/>
      </top>
      <bottom style="double">
        <color theme="9"/>
      </bottom>
      <diagonal/>
    </border>
    <border>
      <left style="thin">
        <color theme="9"/>
      </left>
      <right style="medium">
        <color theme="9"/>
      </right>
      <top/>
      <bottom style="thin">
        <color theme="9"/>
      </bottom>
      <diagonal/>
    </border>
    <border>
      <left style="thin">
        <color theme="9"/>
      </left>
      <right style="medium">
        <color theme="9"/>
      </right>
      <top style="thin">
        <color theme="9"/>
      </top>
      <bottom style="thin">
        <color theme="9"/>
      </bottom>
      <diagonal/>
    </border>
    <border>
      <left style="thin">
        <color theme="9"/>
      </left>
      <right style="medium">
        <color theme="9"/>
      </right>
      <top style="thin">
        <color theme="9"/>
      </top>
      <bottom style="medium">
        <color theme="9"/>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style="medium">
        <color theme="8"/>
      </left>
      <right style="medium">
        <color theme="8"/>
      </right>
      <top style="medium">
        <color theme="8"/>
      </top>
      <bottom style="double">
        <color theme="8"/>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style="medium">
        <color theme="8"/>
      </left>
      <right/>
      <top/>
      <bottom style="medium">
        <color theme="8"/>
      </bottom>
      <diagonal/>
    </border>
    <border>
      <left/>
      <right style="medium">
        <color theme="8"/>
      </right>
      <top style="medium">
        <color theme="8"/>
      </top>
      <bottom style="double">
        <color theme="8"/>
      </bottom>
      <diagonal/>
    </border>
    <border>
      <left/>
      <right/>
      <top style="medium">
        <color theme="8"/>
      </top>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
      <left style="medium">
        <color auto="1"/>
      </left>
      <right style="thin">
        <color auto="1"/>
      </right>
      <top style="medium">
        <color auto="1"/>
      </top>
      <bottom style="double">
        <color theme="1"/>
      </bottom>
      <diagonal/>
    </border>
    <border>
      <left style="thin">
        <color auto="1"/>
      </left>
      <right style="thin">
        <color auto="1"/>
      </right>
      <top style="medium">
        <color auto="1"/>
      </top>
      <bottom style="double">
        <color theme="1"/>
      </bottom>
      <diagonal/>
    </border>
    <border>
      <left style="thin">
        <color auto="1"/>
      </left>
      <right style="medium">
        <color auto="1"/>
      </right>
      <top style="medium">
        <color auto="1"/>
      </top>
      <bottom style="double">
        <color theme="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double">
        <color theme="1"/>
      </bottom>
      <diagonal/>
    </border>
    <border>
      <left style="medium">
        <color auto="1"/>
      </left>
      <right/>
      <top/>
      <bottom style="thin">
        <color auto="1"/>
      </bottom>
      <diagonal/>
    </border>
    <border>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medium">
        <color theme="8"/>
      </left>
      <right/>
      <top style="medium">
        <color theme="8"/>
      </top>
      <bottom/>
      <diagonal/>
    </border>
    <border>
      <left/>
      <right style="medium">
        <color theme="8"/>
      </right>
      <top style="medium">
        <color theme="8"/>
      </top>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right style="medium">
        <color theme="8"/>
      </right>
      <top/>
      <bottom style="medium">
        <color theme="8"/>
      </bottom>
      <diagonal/>
    </border>
    <border>
      <left style="medium">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bottom style="medium">
        <color auto="1"/>
      </bottom>
      <diagonal/>
    </border>
    <border>
      <left/>
      <right/>
      <top style="thick">
        <color auto="1"/>
      </top>
      <bottom style="thick">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right/>
      <top style="medium">
        <color auto="1"/>
      </top>
      <bottom/>
      <diagonal/>
    </border>
    <border>
      <left style="medium">
        <color auto="1"/>
      </left>
      <right/>
      <top style="thin">
        <color auto="1"/>
      </top>
      <bottom/>
      <diagonal/>
    </border>
    <border>
      <left/>
      <right style="medium">
        <color auto="1"/>
      </right>
      <top style="thin">
        <color auto="1"/>
      </top>
      <bottom/>
      <diagonal/>
    </border>
    <border>
      <left/>
      <right style="medium">
        <color auto="1"/>
      </right>
      <top/>
      <bottom style="thin">
        <color auto="1"/>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4">
    <xf numFmtId="0" fontId="0" fillId="0" borderId="0"/>
    <xf numFmtId="42" fontId="80" fillId="0" borderId="0" applyFont="0" applyFill="0" applyBorder="0" applyAlignment="0" applyProtection="0">
      <alignment vertical="center"/>
    </xf>
    <xf numFmtId="0" fontId="87" fillId="60" borderId="0" applyNumberFormat="0" applyBorder="0" applyAlignment="0" applyProtection="0">
      <alignment vertical="center"/>
    </xf>
    <xf numFmtId="0" fontId="88" fillId="56" borderId="188" applyNumberFormat="0" applyAlignment="0" applyProtection="0">
      <alignment vertical="center"/>
    </xf>
    <xf numFmtId="177" fontId="0" fillId="0" borderId="0" applyFont="0" applyFill="0" applyBorder="0" applyAlignment="0" applyProtection="0"/>
    <xf numFmtId="41" fontId="80" fillId="0" borderId="0" applyFont="0" applyFill="0" applyBorder="0" applyAlignment="0" applyProtection="0">
      <alignment vertical="center"/>
    </xf>
    <xf numFmtId="0" fontId="87" fillId="51" borderId="0" applyNumberFormat="0" applyBorder="0" applyAlignment="0" applyProtection="0">
      <alignment vertical="center"/>
    </xf>
    <xf numFmtId="0" fontId="84" fillId="49" borderId="0" applyNumberFormat="0" applyBorder="0" applyAlignment="0" applyProtection="0">
      <alignment vertical="center"/>
    </xf>
    <xf numFmtId="180" fontId="0" fillId="0" borderId="0" applyFont="0" applyFill="0" applyBorder="0" applyAlignment="0" applyProtection="0"/>
    <xf numFmtId="0" fontId="82" fillId="65" borderId="0" applyNumberFormat="0" applyBorder="0" applyAlignment="0" applyProtection="0">
      <alignment vertical="center"/>
    </xf>
    <xf numFmtId="0" fontId="94" fillId="0" borderId="0" applyNumberFormat="0" applyFill="0" applyBorder="0" applyAlignment="0" applyProtection="0">
      <alignment vertical="center"/>
    </xf>
    <xf numFmtId="9" fontId="0" fillId="0" borderId="0" applyFont="0" applyFill="0" applyBorder="0" applyAlignment="0" applyProtection="0"/>
    <xf numFmtId="0" fontId="95" fillId="0" borderId="0" applyNumberFormat="0" applyFill="0" applyBorder="0" applyAlignment="0" applyProtection="0">
      <alignment vertical="center"/>
    </xf>
    <xf numFmtId="0" fontId="80" fillId="45" borderId="187" applyNumberFormat="0" applyFont="0" applyAlignment="0" applyProtection="0">
      <alignment vertical="center"/>
    </xf>
    <xf numFmtId="40" fontId="1" fillId="0" borderId="0" applyFont="0" applyFill="0" applyBorder="0" applyAlignment="0" applyProtection="0"/>
    <xf numFmtId="0" fontId="82" fillId="55" borderId="0" applyNumberFormat="0" applyBorder="0" applyAlignment="0" applyProtection="0">
      <alignment vertical="center"/>
    </xf>
    <xf numFmtId="0" fontId="90"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86" fillId="0" borderId="130" applyNumberFormat="0" applyFill="0" applyAlignment="0" applyProtection="0">
      <alignment vertical="center"/>
    </xf>
    <xf numFmtId="0" fontId="97" fillId="0" borderId="130" applyNumberFormat="0" applyFill="0" applyAlignment="0" applyProtection="0">
      <alignment vertical="center"/>
    </xf>
    <xf numFmtId="0" fontId="82" fillId="69" borderId="0" applyNumberFormat="0" applyBorder="0" applyAlignment="0" applyProtection="0">
      <alignment vertical="center"/>
    </xf>
    <xf numFmtId="0" fontId="90" fillId="0" borderId="191" applyNumberFormat="0" applyFill="0" applyAlignment="0" applyProtection="0">
      <alignment vertical="center"/>
    </xf>
    <xf numFmtId="0" fontId="82" fillId="72" borderId="0" applyNumberFormat="0" applyBorder="0" applyAlignment="0" applyProtection="0">
      <alignment vertical="center"/>
    </xf>
    <xf numFmtId="0" fontId="99" fillId="48" borderId="193" applyNumberFormat="0" applyAlignment="0" applyProtection="0">
      <alignment vertical="center"/>
    </xf>
    <xf numFmtId="0" fontId="83" fillId="48" borderId="188" applyNumberFormat="0" applyAlignment="0" applyProtection="0">
      <alignment vertical="center"/>
    </xf>
    <xf numFmtId="0" fontId="1" fillId="0" borderId="0"/>
    <xf numFmtId="0" fontId="92" fillId="64" borderId="190" applyNumberFormat="0" applyAlignment="0" applyProtection="0">
      <alignment vertical="center"/>
    </xf>
    <xf numFmtId="0" fontId="87" fillId="59" borderId="0" applyNumberFormat="0" applyBorder="0" applyAlignment="0" applyProtection="0">
      <alignment vertical="center"/>
    </xf>
    <xf numFmtId="0" fontId="82" fillId="75" borderId="0" applyNumberFormat="0" applyBorder="0" applyAlignment="0" applyProtection="0">
      <alignment vertical="center"/>
    </xf>
    <xf numFmtId="0" fontId="85" fillId="0" borderId="189" applyNumberFormat="0" applyFill="0" applyAlignment="0" applyProtection="0">
      <alignment vertical="center"/>
    </xf>
    <xf numFmtId="0" fontId="98" fillId="0" borderId="192" applyNumberFormat="0" applyFill="0" applyAlignment="0" applyProtection="0">
      <alignment vertical="center"/>
    </xf>
    <xf numFmtId="0" fontId="91" fillId="63" borderId="0" applyNumberFormat="0" applyBorder="0" applyAlignment="0" applyProtection="0">
      <alignment vertical="center"/>
    </xf>
    <xf numFmtId="0" fontId="89" fillId="58" borderId="0" applyNumberFormat="0" applyBorder="0" applyAlignment="0" applyProtection="0">
      <alignment vertical="center"/>
    </xf>
    <xf numFmtId="0" fontId="87" fillId="54" borderId="0" applyNumberFormat="0" applyBorder="0" applyAlignment="0" applyProtection="0">
      <alignment vertical="center"/>
    </xf>
    <xf numFmtId="0" fontId="82" fillId="62" borderId="0" applyNumberFormat="0" applyBorder="0" applyAlignment="0" applyProtection="0">
      <alignment vertical="center"/>
    </xf>
    <xf numFmtId="0" fontId="87" fillId="68" borderId="0" applyNumberFormat="0" applyBorder="0" applyAlignment="0" applyProtection="0">
      <alignment vertical="center"/>
    </xf>
    <xf numFmtId="0" fontId="87" fillId="53" borderId="0" applyNumberFormat="0" applyBorder="0" applyAlignment="0" applyProtection="0">
      <alignment vertical="center"/>
    </xf>
    <xf numFmtId="0" fontId="87" fillId="71" borderId="0" applyNumberFormat="0" applyBorder="0" applyAlignment="0" applyProtection="0">
      <alignment vertical="center"/>
    </xf>
    <xf numFmtId="0" fontId="87" fillId="70" borderId="0" applyNumberFormat="0" applyBorder="0" applyAlignment="0" applyProtection="0">
      <alignment vertical="center"/>
    </xf>
    <xf numFmtId="0" fontId="82" fillId="47" borderId="0" applyNumberFormat="0" applyBorder="0" applyAlignment="0" applyProtection="0">
      <alignment vertical="center"/>
    </xf>
    <xf numFmtId="0" fontId="82" fillId="46" borderId="0" applyNumberFormat="0" applyBorder="0" applyAlignment="0" applyProtection="0">
      <alignment vertical="center"/>
    </xf>
    <xf numFmtId="0" fontId="87" fillId="52" borderId="0" applyNumberFormat="0" applyBorder="0" applyAlignment="0" applyProtection="0">
      <alignment vertical="center"/>
    </xf>
    <xf numFmtId="181" fontId="1" fillId="0" borderId="0"/>
    <xf numFmtId="0" fontId="87" fillId="74" borderId="0" applyNumberFormat="0" applyBorder="0" applyAlignment="0" applyProtection="0">
      <alignment vertical="center"/>
    </xf>
    <xf numFmtId="0" fontId="82" fillId="57" borderId="0" applyNumberFormat="0" applyBorder="0" applyAlignment="0" applyProtection="0">
      <alignment vertical="center"/>
    </xf>
    <xf numFmtId="0" fontId="87" fillId="67" borderId="0" applyNumberFormat="0" applyBorder="0" applyAlignment="0" applyProtection="0">
      <alignment vertical="center"/>
    </xf>
    <xf numFmtId="0" fontId="82" fillId="50" borderId="0" applyNumberFormat="0" applyBorder="0" applyAlignment="0" applyProtection="0">
      <alignment vertical="center"/>
    </xf>
    <xf numFmtId="0" fontId="82" fillId="61" borderId="0" applyNumberFormat="0" applyBorder="0" applyAlignment="0" applyProtection="0">
      <alignment vertical="center"/>
    </xf>
    <xf numFmtId="0" fontId="87" fillId="66" borderId="0" applyNumberFormat="0" applyBorder="0" applyAlignment="0" applyProtection="0">
      <alignment vertical="center"/>
    </xf>
    <xf numFmtId="0" fontId="82" fillId="73" borderId="0" applyNumberFormat="0" applyBorder="0" applyAlignment="0" applyProtection="0">
      <alignment vertical="center"/>
    </xf>
    <xf numFmtId="178" fontId="1" fillId="0" borderId="0" applyFont="0" applyFill="0" applyBorder="0" applyAlignment="0" applyProtection="0"/>
    <xf numFmtId="9" fontId="1" fillId="0" borderId="0" applyFont="0" applyFill="0" applyBorder="0" applyAlignment="0" applyProtection="0"/>
  </cellStyleXfs>
  <cellXfs count="1599">
    <xf numFmtId="0" fontId="0" fillId="0" borderId="0" xfId="0"/>
    <xf numFmtId="0" fontId="1" fillId="0" borderId="0" xfId="44" applyNumberFormat="1"/>
    <xf numFmtId="181" fontId="2" fillId="0" borderId="0" xfId="44" applyFont="1" applyFill="1" applyBorder="1" applyAlignment="1">
      <alignment horizontal="left"/>
    </xf>
    <xf numFmtId="181" fontId="2" fillId="0" borderId="0" xfId="44" applyFont="1" applyFill="1" applyBorder="1"/>
    <xf numFmtId="0" fontId="2" fillId="0" borderId="0" xfId="44" applyNumberFormat="1" applyFont="1" applyFill="1" applyBorder="1" applyAlignment="1">
      <alignment horizontal="left"/>
    </xf>
    <xf numFmtId="0" fontId="3" fillId="0" borderId="0" xfId="44" applyNumberFormat="1" applyFont="1" applyFill="1" applyBorder="1" applyAlignment="1">
      <alignment horizontal="left"/>
    </xf>
    <xf numFmtId="0" fontId="2" fillId="0" borderId="0" xfId="44" applyNumberFormat="1" applyFont="1" applyFill="1" applyBorder="1" applyAlignment="1">
      <alignment horizontal="center"/>
    </xf>
    <xf numFmtId="0" fontId="2" fillId="0" borderId="0" xfId="44" applyNumberFormat="1" applyFont="1" applyFill="1" applyBorder="1"/>
    <xf numFmtId="0" fontId="3" fillId="0" borderId="1" xfId="44" applyNumberFormat="1" applyFont="1" applyFill="1" applyBorder="1" applyAlignment="1">
      <alignment horizontal="left"/>
    </xf>
    <xf numFmtId="0" fontId="3" fillId="0" borderId="1" xfId="44" applyNumberFormat="1" applyFont="1" applyFill="1" applyBorder="1"/>
    <xf numFmtId="0" fontId="3" fillId="0" borderId="1" xfId="44" applyNumberFormat="1" applyFont="1" applyFill="1" applyBorder="1" applyAlignment="1">
      <alignment horizontal="left" vertical="top"/>
    </xf>
    <xf numFmtId="0" fontId="3" fillId="0" borderId="2" xfId="44" applyNumberFormat="1" applyFont="1" applyFill="1" applyBorder="1" applyAlignment="1">
      <alignment horizontal="left" vertical="top"/>
    </xf>
    <xf numFmtId="0" fontId="3" fillId="0" borderId="0" xfId="44" applyNumberFormat="1" applyFont="1" applyFill="1" applyBorder="1"/>
    <xf numFmtId="0" fontId="2" fillId="0" borderId="1" xfId="44" applyNumberFormat="1" applyFont="1" applyFill="1" applyBorder="1" applyAlignment="1">
      <alignment horizontal="left"/>
    </xf>
    <xf numFmtId="0" fontId="2" fillId="0" borderId="1" xfId="44" applyNumberFormat="1" applyFont="1" applyBorder="1"/>
    <xf numFmtId="49" fontId="2" fillId="0" borderId="1" xfId="44" applyNumberFormat="1" applyFont="1" applyBorder="1"/>
    <xf numFmtId="22" fontId="2" fillId="0" borderId="1" xfId="44" applyNumberFormat="1" applyFont="1" applyBorder="1" applyAlignment="1">
      <alignment horizontal="left" vertical="top"/>
    </xf>
    <xf numFmtId="22" fontId="2" fillId="0" borderId="2" xfId="44" applyNumberFormat="1" applyFont="1" applyBorder="1" applyAlignment="1">
      <alignment horizontal="left" vertical="top"/>
    </xf>
    <xf numFmtId="0" fontId="2" fillId="0" borderId="1" xfId="44" applyNumberFormat="1" applyFont="1" applyBorder="1" applyAlignment="1">
      <alignment horizontal="center"/>
    </xf>
    <xf numFmtId="2" fontId="2" fillId="0" borderId="1" xfId="44" applyNumberFormat="1" applyFont="1" applyBorder="1" applyAlignment="1">
      <alignment horizontal="center"/>
    </xf>
    <xf numFmtId="0" fontId="1" fillId="0" borderId="0" xfId="44" applyNumberFormat="1" applyFill="1" applyBorder="1"/>
    <xf numFmtId="181" fontId="2" fillId="0" borderId="0" xfId="44" applyFont="1"/>
    <xf numFmtId="176" fontId="2" fillId="0" borderId="1" xfId="44" applyNumberFormat="1" applyFont="1" applyFill="1" applyBorder="1" applyAlignment="1">
      <alignment horizontal="left"/>
    </xf>
    <xf numFmtId="2" fontId="2" fillId="0" borderId="1" xfId="44" applyNumberFormat="1" applyFont="1" applyFill="1" applyBorder="1" applyAlignment="1">
      <alignment horizontal="left"/>
    </xf>
    <xf numFmtId="181" fontId="3" fillId="0" borderId="0" xfId="44" applyFont="1" applyFill="1" applyBorder="1"/>
    <xf numFmtId="0" fontId="1" fillId="0" borderId="0" xfId="44" applyNumberFormat="1" applyProtection="1"/>
    <xf numFmtId="0" fontId="2" fillId="0" borderId="0" xfId="44" applyNumberFormat="1" applyFont="1" applyProtection="1"/>
    <xf numFmtId="181" fontId="1" fillId="0" borderId="0" xfId="44" applyProtection="1"/>
    <xf numFmtId="190" fontId="1" fillId="0" borderId="0" xfId="44" applyNumberFormat="1" applyProtection="1"/>
    <xf numFmtId="0" fontId="1" fillId="0" borderId="0" xfId="44" applyNumberFormat="1" applyBorder="1" applyProtection="1"/>
    <xf numFmtId="190" fontId="1" fillId="0" borderId="0" xfId="44" applyNumberFormat="1" applyBorder="1" applyProtection="1"/>
    <xf numFmtId="0" fontId="4" fillId="2" borderId="0" xfId="44" applyNumberFormat="1" applyFont="1" applyFill="1" applyBorder="1" applyProtection="1"/>
    <xf numFmtId="0" fontId="5" fillId="2" borderId="0" xfId="44" applyNumberFormat="1" applyFont="1" applyFill="1" applyBorder="1" applyProtection="1"/>
    <xf numFmtId="0" fontId="5" fillId="0" borderId="0" xfId="44" applyNumberFormat="1" applyFont="1" applyFill="1" applyBorder="1" applyProtection="1"/>
    <xf numFmtId="190" fontId="5" fillId="0" borderId="0" xfId="44" applyNumberFormat="1" applyFont="1" applyFill="1" applyBorder="1" applyProtection="1"/>
    <xf numFmtId="0" fontId="6" fillId="3" borderId="0" xfId="44" applyNumberFormat="1" applyFont="1" applyFill="1" applyAlignment="1" applyProtection="1">
      <alignment horizontal="center"/>
    </xf>
    <xf numFmtId="0" fontId="7" fillId="3" borderId="0" xfId="44" applyNumberFormat="1" applyFont="1" applyFill="1" applyBorder="1" applyProtection="1"/>
    <xf numFmtId="0" fontId="6" fillId="3" borderId="0" xfId="44" applyNumberFormat="1" applyFont="1" applyFill="1" applyBorder="1" applyProtection="1"/>
    <xf numFmtId="0" fontId="2" fillId="0" borderId="0" xfId="44" applyNumberFormat="1" applyFont="1" applyFill="1" applyBorder="1" applyProtection="1"/>
    <xf numFmtId="190" fontId="2" fillId="0" borderId="0" xfId="44" applyNumberFormat="1" applyFont="1" applyFill="1" applyBorder="1" applyProtection="1"/>
    <xf numFmtId="0" fontId="2" fillId="0" borderId="0" xfId="44" applyNumberFormat="1" applyFont="1" applyAlignment="1" applyProtection="1">
      <alignment horizontal="center"/>
    </xf>
    <xf numFmtId="0" fontId="2" fillId="0" borderId="0" xfId="44" applyNumberFormat="1" applyFont="1" applyBorder="1" applyProtection="1"/>
    <xf numFmtId="0" fontId="2" fillId="0" borderId="3" xfId="44" applyNumberFormat="1" applyFont="1" applyBorder="1" applyProtection="1"/>
    <xf numFmtId="0" fontId="2" fillId="0" borderId="3" xfId="44" applyNumberFormat="1" applyFont="1" applyBorder="1" applyAlignment="1" applyProtection="1">
      <alignment horizontal="center"/>
    </xf>
    <xf numFmtId="0" fontId="2" fillId="0" borderId="1" xfId="44" applyNumberFormat="1" applyFont="1" applyBorder="1" applyAlignment="1" applyProtection="1">
      <alignment horizontal="center"/>
    </xf>
    <xf numFmtId="190" fontId="2" fillId="0" borderId="0" xfId="44" applyNumberFormat="1" applyFont="1" applyFill="1" applyBorder="1" applyAlignment="1" applyProtection="1">
      <alignment horizontal="center"/>
    </xf>
    <xf numFmtId="0" fontId="2" fillId="0" borderId="4" xfId="44" applyNumberFormat="1" applyFont="1" applyBorder="1" applyProtection="1"/>
    <xf numFmtId="0" fontId="2" fillId="0" borderId="5" xfId="44" applyNumberFormat="1" applyFont="1" applyFill="1" applyBorder="1" applyProtection="1"/>
    <xf numFmtId="0" fontId="2" fillId="0" borderId="6" xfId="44" applyNumberFormat="1" applyFont="1" applyBorder="1" applyProtection="1"/>
    <xf numFmtId="0" fontId="2" fillId="0" borderId="7" xfId="44" applyNumberFormat="1" applyFont="1" applyBorder="1" applyAlignment="1" applyProtection="1">
      <alignment horizontal="center"/>
    </xf>
    <xf numFmtId="0" fontId="2" fillId="0" borderId="8" xfId="44" applyNumberFormat="1" applyFont="1" applyBorder="1" applyProtection="1"/>
    <xf numFmtId="0" fontId="2" fillId="0" borderId="8" xfId="14" applyNumberFormat="1" applyFont="1" applyFill="1" applyBorder="1" applyAlignment="1" applyProtection="1">
      <alignment horizontal="center"/>
    </xf>
    <xf numFmtId="0" fontId="2" fillId="4" borderId="0" xfId="44" applyNumberFormat="1" applyFont="1" applyFill="1" applyBorder="1" applyAlignment="1" applyProtection="1">
      <alignment horizontal="left"/>
      <protection locked="0"/>
    </xf>
    <xf numFmtId="0" fontId="2" fillId="5" borderId="0" xfId="44" applyNumberFormat="1" applyFont="1" applyFill="1" applyBorder="1" applyProtection="1"/>
    <xf numFmtId="190" fontId="2" fillId="4" borderId="0" xfId="4" applyNumberFormat="1" applyFont="1" applyFill="1" applyBorder="1" applyProtection="1">
      <protection locked="0"/>
    </xf>
    <xf numFmtId="0" fontId="2" fillId="4" borderId="0" xfId="44" applyNumberFormat="1" applyFont="1" applyFill="1" applyBorder="1" applyAlignment="1" applyProtection="1">
      <alignment horizontal="center"/>
      <protection locked="0"/>
    </xf>
    <xf numFmtId="0" fontId="2" fillId="4" borderId="0" xfId="14" applyNumberFormat="1" applyFont="1" applyFill="1" applyBorder="1" applyAlignment="1" applyProtection="1">
      <alignment horizontal="center"/>
      <protection locked="0"/>
    </xf>
    <xf numFmtId="190" fontId="2" fillId="0" borderId="0" xfId="52" applyNumberFormat="1" applyFont="1" applyFill="1" applyBorder="1" applyAlignment="1" applyProtection="1">
      <alignment horizontal="center"/>
    </xf>
    <xf numFmtId="2" fontId="2" fillId="4" borderId="0" xfId="14" applyNumberFormat="1" applyFont="1" applyFill="1" applyBorder="1" applyAlignment="1" applyProtection="1">
      <alignment horizontal="center"/>
      <protection locked="0"/>
    </xf>
    <xf numFmtId="0" fontId="2" fillId="0" borderId="0" xfId="44" applyNumberFormat="1" applyFont="1" applyBorder="1" applyAlignment="1" applyProtection="1">
      <alignment horizontal="center"/>
    </xf>
    <xf numFmtId="0" fontId="3" fillId="0" borderId="0" xfId="44" applyNumberFormat="1" applyFont="1" applyAlignment="1" applyProtection="1">
      <alignment horizontal="center"/>
    </xf>
    <xf numFmtId="0" fontId="8" fillId="0" borderId="0" xfId="44" applyNumberFormat="1" applyFont="1" applyBorder="1" applyAlignment="1" applyProtection="1">
      <alignment horizontal="center"/>
    </xf>
    <xf numFmtId="190" fontId="3" fillId="0" borderId="0" xfId="44" applyNumberFormat="1" applyFont="1" applyAlignment="1" applyProtection="1">
      <alignment horizontal="center"/>
    </xf>
    <xf numFmtId="181" fontId="9" fillId="2" borderId="0" xfId="44" applyFont="1" applyFill="1" applyProtection="1"/>
    <xf numFmtId="0" fontId="1" fillId="2" borderId="0" xfId="44" applyNumberFormat="1" applyFill="1" applyProtection="1"/>
    <xf numFmtId="0" fontId="7" fillId="6" borderId="0" xfId="44" applyNumberFormat="1" applyFont="1" applyFill="1" applyAlignment="1" applyProtection="1">
      <alignment horizontal="center"/>
    </xf>
    <xf numFmtId="0" fontId="7" fillId="6" borderId="0" xfId="44" applyNumberFormat="1" applyFont="1" applyFill="1" applyProtection="1"/>
    <xf numFmtId="0" fontId="2" fillId="6" borderId="0" xfId="44" applyNumberFormat="1" applyFont="1" applyFill="1" applyProtection="1"/>
    <xf numFmtId="0" fontId="2" fillId="2" borderId="0" xfId="44" applyNumberFormat="1" applyFont="1" applyFill="1" applyProtection="1"/>
    <xf numFmtId="190" fontId="2" fillId="0" borderId="0" xfId="44" applyNumberFormat="1" applyFont="1" applyProtection="1"/>
    <xf numFmtId="0" fontId="8" fillId="0" borderId="0" xfId="44" applyNumberFormat="1" applyFont="1" applyAlignment="1" applyProtection="1">
      <alignment horizontal="center"/>
    </xf>
    <xf numFmtId="0" fontId="8" fillId="0" borderId="0" xfId="44" applyNumberFormat="1" applyFont="1" applyProtection="1"/>
    <xf numFmtId="0" fontId="2" fillId="0" borderId="1" xfId="44" applyNumberFormat="1" applyFont="1" applyBorder="1" applyProtection="1"/>
    <xf numFmtId="0" fontId="2" fillId="7" borderId="0" xfId="44" applyNumberFormat="1" applyFont="1" applyFill="1" applyBorder="1" applyAlignment="1" applyProtection="1">
      <alignment horizontal="left"/>
    </xf>
    <xf numFmtId="0" fontId="2" fillId="7" borderId="0" xfId="44" applyNumberFormat="1" applyFont="1" applyFill="1" applyBorder="1" applyProtection="1"/>
    <xf numFmtId="187" fontId="2" fillId="4" borderId="0" xfId="4" applyNumberFormat="1" applyFont="1" applyFill="1" applyBorder="1" applyProtection="1">
      <protection locked="0"/>
    </xf>
    <xf numFmtId="190" fontId="2" fillId="0" borderId="0" xfId="44" applyNumberFormat="1" applyFont="1" applyBorder="1" applyAlignment="1" applyProtection="1">
      <alignment horizontal="center"/>
    </xf>
    <xf numFmtId="0" fontId="3" fillId="0" borderId="0" xfId="44" applyNumberFormat="1" applyFont="1" applyProtection="1"/>
    <xf numFmtId="190" fontId="3" fillId="0" borderId="0" xfId="44" applyNumberFormat="1" applyFont="1" applyProtection="1"/>
    <xf numFmtId="0" fontId="10" fillId="6" borderId="0" xfId="44" applyNumberFormat="1" applyFont="1" applyFill="1" applyProtection="1"/>
    <xf numFmtId="10" fontId="2" fillId="0" borderId="0" xfId="11" applyNumberFormat="1" applyFont="1" applyFill="1" applyBorder="1" applyAlignment="1" applyProtection="1">
      <alignment horizontal="center"/>
    </xf>
    <xf numFmtId="10" fontId="6" fillId="3" borderId="0" xfId="11" applyNumberFormat="1" applyFont="1" applyFill="1" applyBorder="1" applyProtection="1"/>
    <xf numFmtId="10" fontId="1" fillId="0" borderId="0" xfId="11" applyNumberFormat="1" applyFont="1" applyProtection="1"/>
    <xf numFmtId="0" fontId="2" fillId="0" borderId="0" xfId="44" applyNumberFormat="1" applyFont="1" applyFill="1" applyBorder="1" applyAlignment="1" applyProtection="1">
      <alignment horizontal="center"/>
    </xf>
    <xf numFmtId="10" fontId="1" fillId="0" borderId="0" xfId="11" applyNumberFormat="1" applyFont="1" applyAlignment="1" applyProtection="1">
      <alignment horizontal="center"/>
    </xf>
    <xf numFmtId="10" fontId="1" fillId="0" borderId="0" xfId="11" applyNumberFormat="1" applyFont="1" applyBorder="1" applyAlignment="1" applyProtection="1">
      <alignment horizontal="center"/>
    </xf>
    <xf numFmtId="0" fontId="1" fillId="0" borderId="9" xfId="44" applyNumberFormat="1" applyBorder="1" applyAlignment="1" applyProtection="1">
      <alignment horizontal="center"/>
    </xf>
    <xf numFmtId="0" fontId="1" fillId="0" borderId="10" xfId="44" applyNumberFormat="1" applyBorder="1" applyAlignment="1" applyProtection="1">
      <alignment horizontal="center"/>
    </xf>
    <xf numFmtId="0" fontId="1" fillId="0" borderId="0" xfId="44" applyNumberFormat="1" applyFill="1" applyProtection="1"/>
    <xf numFmtId="0" fontId="1" fillId="0" borderId="0" xfId="44" applyNumberFormat="1" applyFont="1" applyAlignment="1" applyProtection="1">
      <alignment horizontal="center"/>
    </xf>
    <xf numFmtId="10" fontId="1" fillId="0" borderId="0" xfId="11" applyNumberFormat="1" applyFont="1" applyFill="1" applyBorder="1" applyAlignment="1" applyProtection="1">
      <alignment horizontal="center"/>
    </xf>
    <xf numFmtId="0" fontId="1" fillId="0" borderId="11" xfId="44" applyNumberFormat="1" applyBorder="1" applyProtection="1"/>
    <xf numFmtId="190" fontId="1" fillId="0" borderId="12" xfId="44" applyNumberFormat="1" applyBorder="1" applyProtection="1"/>
    <xf numFmtId="0" fontId="11" fillId="0" borderId="0" xfId="44" applyNumberFormat="1" applyFont="1" applyFill="1" applyBorder="1" applyAlignment="1" applyProtection="1">
      <alignment horizontal="left"/>
    </xf>
    <xf numFmtId="190" fontId="2" fillId="4" borderId="0" xfId="44" applyNumberFormat="1" applyFont="1" applyFill="1" applyBorder="1" applyAlignment="1" applyProtection="1">
      <alignment horizontal="center"/>
      <protection locked="0"/>
    </xf>
    <xf numFmtId="0" fontId="2" fillId="0" borderId="11" xfId="44" applyNumberFormat="1" applyFont="1" applyFill="1" applyBorder="1" applyProtection="1"/>
    <xf numFmtId="0" fontId="1" fillId="0" borderId="1" xfId="44" applyNumberFormat="1" applyFill="1" applyBorder="1" applyProtection="1"/>
    <xf numFmtId="190" fontId="2" fillId="4" borderId="1" xfId="44" applyNumberFormat="1" applyFont="1" applyFill="1" applyBorder="1" applyAlignment="1" applyProtection="1">
      <alignment horizontal="center"/>
      <protection locked="0"/>
    </xf>
    <xf numFmtId="10" fontId="2" fillId="4" borderId="1" xfId="11" applyNumberFormat="1" applyFont="1" applyFill="1" applyBorder="1" applyAlignment="1" applyProtection="1">
      <alignment horizontal="center"/>
      <protection locked="0"/>
    </xf>
    <xf numFmtId="10" fontId="2" fillId="4" borderId="2" xfId="11" applyNumberFormat="1" applyFont="1" applyFill="1" applyBorder="1" applyAlignment="1" applyProtection="1">
      <alignment horizontal="center"/>
      <protection locked="0"/>
    </xf>
    <xf numFmtId="0" fontId="2" fillId="4" borderId="11" xfId="44" applyNumberFormat="1" applyFont="1" applyFill="1" applyBorder="1" applyAlignment="1" applyProtection="1">
      <alignment horizontal="center" vertical="center"/>
      <protection locked="0"/>
    </xf>
    <xf numFmtId="190" fontId="2" fillId="0" borderId="12" xfId="44" applyNumberFormat="1" applyFont="1" applyBorder="1" applyAlignment="1" applyProtection="1">
      <alignment horizontal="center" vertical="center"/>
    </xf>
    <xf numFmtId="0" fontId="2" fillId="0" borderId="11" xfId="44" applyNumberFormat="1" applyFont="1" applyBorder="1" applyAlignment="1" applyProtection="1">
      <alignment horizontal="center" vertical="center"/>
    </xf>
    <xf numFmtId="190" fontId="2" fillId="0" borderId="12" xfId="44" applyNumberFormat="1" applyFont="1" applyFill="1" applyBorder="1" applyAlignment="1" applyProtection="1">
      <alignment horizontal="center" vertical="center"/>
    </xf>
    <xf numFmtId="0" fontId="2" fillId="0" borderId="11" xfId="44" applyNumberFormat="1" applyFont="1" applyFill="1" applyBorder="1" applyAlignment="1" applyProtection="1">
      <alignment horizontal="center" vertical="center"/>
    </xf>
    <xf numFmtId="0" fontId="11" fillId="0" borderId="0" xfId="44" applyNumberFormat="1" applyFont="1" applyProtection="1"/>
    <xf numFmtId="0" fontId="1" fillId="0" borderId="13" xfId="44" applyNumberFormat="1" applyBorder="1" applyProtection="1"/>
    <xf numFmtId="190" fontId="1" fillId="0" borderId="14" xfId="44" applyNumberFormat="1" applyBorder="1" applyProtection="1"/>
    <xf numFmtId="0" fontId="1" fillId="0" borderId="0" xfId="44" applyNumberFormat="1" applyAlignment="1" applyProtection="1">
      <alignment horizontal="center"/>
    </xf>
    <xf numFmtId="10" fontId="8" fillId="0" borderId="15" xfId="11" applyNumberFormat="1" applyFont="1" applyBorder="1" applyAlignment="1" applyProtection="1">
      <alignment horizontal="center"/>
    </xf>
    <xf numFmtId="10" fontId="8" fillId="0" borderId="16" xfId="11" applyNumberFormat="1" applyFont="1" applyBorder="1" applyAlignment="1" applyProtection="1">
      <alignment horizontal="center"/>
    </xf>
    <xf numFmtId="0" fontId="3" fillId="0" borderId="17" xfId="44" applyNumberFormat="1" applyFont="1" applyBorder="1" applyAlignment="1" applyProtection="1">
      <alignment horizontal="center" vertical="center"/>
    </xf>
    <xf numFmtId="190" fontId="3" fillId="0" borderId="10" xfId="44" applyNumberFormat="1" applyFont="1" applyBorder="1" applyAlignment="1" applyProtection="1">
      <alignment horizontal="center" vertical="center"/>
    </xf>
    <xf numFmtId="10" fontId="1" fillId="0" borderId="18" xfId="11" applyNumberFormat="1" applyFont="1" applyBorder="1" applyAlignment="1" applyProtection="1">
      <alignment horizontal="center"/>
    </xf>
    <xf numFmtId="10" fontId="1" fillId="0" borderId="19" xfId="11" applyNumberFormat="1" applyFont="1" applyBorder="1" applyAlignment="1" applyProtection="1">
      <alignment horizontal="center"/>
    </xf>
    <xf numFmtId="0" fontId="1" fillId="7" borderId="11" xfId="44" applyNumberFormat="1" applyFill="1" applyBorder="1" applyAlignment="1" applyProtection="1">
      <alignment horizontal="center"/>
    </xf>
    <xf numFmtId="190" fontId="1" fillId="7" borderId="20" xfId="44" applyNumberFormat="1" applyFont="1" applyFill="1" applyBorder="1" applyProtection="1"/>
    <xf numFmtId="10" fontId="1" fillId="0" borderId="21" xfId="11" applyNumberFormat="1" applyFont="1" applyBorder="1" applyAlignment="1" applyProtection="1">
      <alignment horizontal="center"/>
    </xf>
    <xf numFmtId="10" fontId="1" fillId="0" borderId="22" xfId="11" applyNumberFormat="1" applyFont="1" applyBorder="1" applyAlignment="1" applyProtection="1">
      <alignment horizontal="center"/>
    </xf>
    <xf numFmtId="0" fontId="1" fillId="0" borderId="23" xfId="44" applyNumberFormat="1" applyBorder="1" applyAlignment="1" applyProtection="1">
      <alignment horizontal="center"/>
    </xf>
    <xf numFmtId="190" fontId="1" fillId="0" borderId="14" xfId="44" applyNumberFormat="1" applyFont="1" applyBorder="1" applyProtection="1"/>
    <xf numFmtId="0" fontId="11" fillId="0" borderId="0" xfId="44" applyNumberFormat="1" applyFont="1" applyFill="1" applyBorder="1" applyAlignment="1" applyProtection="1">
      <alignment horizontal="right"/>
    </xf>
    <xf numFmtId="0" fontId="11" fillId="0" borderId="0" xfId="44" applyNumberFormat="1" applyFont="1" applyFill="1" applyBorder="1" applyProtection="1"/>
    <xf numFmtId="190" fontId="1" fillId="0" borderId="0" xfId="44" applyNumberFormat="1" applyFill="1" applyBorder="1" applyProtection="1"/>
    <xf numFmtId="0" fontId="12" fillId="0" borderId="0" xfId="44" applyNumberFormat="1" applyFont="1" applyFill="1" applyBorder="1" applyProtection="1"/>
    <xf numFmtId="0" fontId="13" fillId="0" borderId="0" xfId="44" applyNumberFormat="1" applyFont="1" applyFill="1" applyBorder="1" applyProtection="1"/>
    <xf numFmtId="0" fontId="2" fillId="0" borderId="0" xfId="44" applyNumberFormat="1" applyFont="1" applyFill="1" applyBorder="1" applyAlignment="1" applyProtection="1">
      <alignment horizontal="left"/>
    </xf>
    <xf numFmtId="0" fontId="2" fillId="0" borderId="0" xfId="44" applyNumberFormat="1" applyFont="1" applyFill="1" applyProtection="1"/>
    <xf numFmtId="0" fontId="2" fillId="0" borderId="0" xfId="14" applyNumberFormat="1" applyFont="1" applyFill="1" applyBorder="1" applyAlignment="1" applyProtection="1">
      <alignment horizontal="center"/>
    </xf>
    <xf numFmtId="190" fontId="2" fillId="0" borderId="0" xfId="14" applyNumberFormat="1" applyFont="1" applyFill="1" applyBorder="1" applyAlignment="1" applyProtection="1">
      <alignment horizontal="center"/>
    </xf>
    <xf numFmtId="195" fontId="2" fillId="0" borderId="0" xfId="8" applyNumberFormat="1" applyFont="1" applyFill="1" applyBorder="1" applyProtection="1"/>
    <xf numFmtId="0" fontId="1" fillId="0" borderId="24" xfId="44" applyNumberFormat="1" applyBorder="1" applyProtection="1"/>
    <xf numFmtId="190" fontId="1" fillId="0" borderId="25" xfId="44" applyNumberFormat="1" applyBorder="1" applyProtection="1"/>
    <xf numFmtId="0" fontId="3" fillId="0" borderId="9" xfId="44" applyNumberFormat="1" applyFont="1" applyBorder="1" applyAlignment="1" applyProtection="1">
      <alignment horizontal="center" vertical="center"/>
    </xf>
    <xf numFmtId="0" fontId="3" fillId="0" borderId="26" xfId="44" applyNumberFormat="1" applyFont="1" applyBorder="1" applyAlignment="1" applyProtection="1">
      <alignment horizontal="center" vertical="center"/>
    </xf>
    <xf numFmtId="0" fontId="1" fillId="0" borderId="11" xfId="44" applyNumberFormat="1" applyFont="1" applyBorder="1" applyProtection="1"/>
    <xf numFmtId="190" fontId="1" fillId="7" borderId="12" xfId="44" applyNumberFormat="1" applyFont="1" applyFill="1" applyBorder="1" applyProtection="1"/>
    <xf numFmtId="0" fontId="1" fillId="0" borderId="27" xfId="44" applyNumberFormat="1" applyFont="1" applyBorder="1" applyProtection="1"/>
    <xf numFmtId="0" fontId="1" fillId="0" borderId="13" xfId="44" applyNumberFormat="1" applyFont="1" applyBorder="1" applyProtection="1"/>
    <xf numFmtId="0" fontId="1" fillId="0" borderId="28" xfId="44" applyNumberFormat="1" applyFont="1" applyBorder="1" applyProtection="1"/>
    <xf numFmtId="0" fontId="1" fillId="0" borderId="0" xfId="44" applyNumberFormat="1" applyFill="1" applyBorder="1" applyProtection="1"/>
    <xf numFmtId="181" fontId="5" fillId="0" borderId="0" xfId="44" applyFont="1" applyFill="1" applyBorder="1" applyProtection="1"/>
    <xf numFmtId="0" fontId="2" fillId="0" borderId="9" xfId="44" applyNumberFormat="1" applyFont="1" applyBorder="1" applyAlignment="1" applyProtection="1">
      <alignment horizontal="center" vertical="center"/>
    </xf>
    <xf numFmtId="190" fontId="2" fillId="0" borderId="10" xfId="44" applyNumberFormat="1" applyFont="1" applyBorder="1" applyAlignment="1" applyProtection="1">
      <alignment horizontal="center" vertical="center"/>
    </xf>
    <xf numFmtId="190" fontId="1" fillId="7" borderId="12" xfId="44" applyNumberFormat="1" applyFill="1" applyBorder="1" applyProtection="1"/>
    <xf numFmtId="190" fontId="1" fillId="0" borderId="14" xfId="44" applyNumberFormat="1" applyFill="1" applyBorder="1" applyProtection="1"/>
    <xf numFmtId="190" fontId="1" fillId="0" borderId="0" xfId="44" applyNumberFormat="1" applyFill="1" applyProtection="1"/>
    <xf numFmtId="10" fontId="1" fillId="0" borderId="0" xfId="11" applyNumberFormat="1" applyFont="1" applyAlignment="1" applyProtection="1"/>
    <xf numFmtId="0" fontId="1" fillId="0" borderId="0" xfId="44" applyNumberFormat="1" applyAlignment="1" applyProtection="1"/>
    <xf numFmtId="0" fontId="1" fillId="0" borderId="0" xfId="44" applyNumberFormat="1" applyAlignment="1" applyProtection="1">
      <alignment horizontal="left"/>
    </xf>
    <xf numFmtId="0" fontId="14" fillId="0" borderId="0" xfId="44" applyNumberFormat="1" applyFont="1" applyFill="1" applyBorder="1" applyProtection="1"/>
    <xf numFmtId="0" fontId="2" fillId="0" borderId="26" xfId="44" applyNumberFormat="1" applyFont="1" applyBorder="1" applyAlignment="1" applyProtection="1">
      <alignment horizontal="center" vertical="center"/>
    </xf>
    <xf numFmtId="0" fontId="1" fillId="0" borderId="27" xfId="44" applyNumberFormat="1" applyBorder="1" applyProtection="1"/>
    <xf numFmtId="0" fontId="1" fillId="0" borderId="28" xfId="44" applyNumberFormat="1" applyBorder="1" applyProtection="1"/>
    <xf numFmtId="181" fontId="1" fillId="0" borderId="0" xfId="44" applyFill="1" applyProtection="1"/>
    <xf numFmtId="0" fontId="6" fillId="6" borderId="0" xfId="44" applyNumberFormat="1" applyFont="1" applyFill="1" applyAlignment="1" applyProtection="1">
      <alignment horizontal="center"/>
    </xf>
    <xf numFmtId="0" fontId="7" fillId="6" borderId="0" xfId="44" applyNumberFormat="1" applyFont="1" applyFill="1" applyBorder="1" applyProtection="1"/>
    <xf numFmtId="0" fontId="6" fillId="6" borderId="0" xfId="44" applyNumberFormat="1" applyFont="1" applyFill="1" applyBorder="1" applyProtection="1"/>
    <xf numFmtId="0" fontId="2" fillId="6" borderId="0" xfId="44" applyNumberFormat="1" applyFont="1" applyFill="1" applyBorder="1" applyProtection="1"/>
    <xf numFmtId="0" fontId="2" fillId="0" borderId="0" xfId="52" applyNumberFormat="1" applyFont="1" applyFill="1" applyBorder="1" applyAlignment="1" applyProtection="1">
      <alignment horizontal="center"/>
    </xf>
    <xf numFmtId="0" fontId="2" fillId="7" borderId="0" xfId="44" applyNumberFormat="1" applyFont="1" applyFill="1" applyBorder="1" applyAlignment="1" applyProtection="1">
      <alignment horizontal="center"/>
    </xf>
    <xf numFmtId="187" fontId="2" fillId="0" borderId="0" xfId="4" applyNumberFormat="1" applyFont="1" applyFill="1" applyBorder="1" applyProtection="1"/>
    <xf numFmtId="192" fontId="2" fillId="0" borderId="0" xfId="44" applyNumberFormat="1" applyFont="1" applyProtection="1"/>
    <xf numFmtId="0" fontId="7" fillId="6" borderId="0" xfId="14" applyNumberFormat="1" applyFont="1" applyFill="1" applyBorder="1" applyAlignment="1" applyProtection="1">
      <alignment horizontal="left"/>
    </xf>
    <xf numFmtId="0" fontId="15" fillId="6" borderId="0" xfId="44" applyNumberFormat="1" applyFont="1" applyFill="1" applyBorder="1" applyProtection="1"/>
    <xf numFmtId="187" fontId="2" fillId="6" borderId="0" xfId="4" applyNumberFormat="1" applyFont="1" applyFill="1" applyBorder="1" applyProtection="1"/>
    <xf numFmtId="0" fontId="2" fillId="6" borderId="0" xfId="14" applyNumberFormat="1" applyFont="1" applyFill="1" applyBorder="1" applyAlignment="1" applyProtection="1">
      <alignment horizontal="center"/>
    </xf>
    <xf numFmtId="197" fontId="2" fillId="4" borderId="0" xfId="14" applyNumberFormat="1" applyFont="1" applyFill="1" applyBorder="1" applyAlignment="1" applyProtection="1">
      <alignment horizontal="center"/>
      <protection locked="0"/>
    </xf>
    <xf numFmtId="0" fontId="2" fillId="0" borderId="4" xfId="44" applyNumberFormat="1" applyFont="1" applyBorder="1" applyAlignment="1" applyProtection="1">
      <alignment horizontal="center"/>
    </xf>
    <xf numFmtId="0" fontId="2" fillId="0" borderId="5" xfId="44" applyNumberFormat="1" applyFont="1" applyBorder="1" applyAlignment="1" applyProtection="1">
      <alignment horizontal="center"/>
    </xf>
    <xf numFmtId="0" fontId="2" fillId="4" borderId="0" xfId="44" applyNumberFormat="1" applyFont="1" applyFill="1" applyBorder="1" applyProtection="1">
      <protection locked="0"/>
    </xf>
    <xf numFmtId="190" fontId="2" fillId="4" borderId="0" xfId="44" applyNumberFormat="1" applyFont="1" applyFill="1" applyBorder="1" applyProtection="1">
      <protection locked="0"/>
    </xf>
    <xf numFmtId="179" fontId="2" fillId="4" borderId="0" xfId="44" applyNumberFormat="1" applyFont="1" applyFill="1" applyBorder="1" applyProtection="1">
      <protection locked="0"/>
    </xf>
    <xf numFmtId="179" fontId="2" fillId="0" borderId="0" xfId="44" applyNumberFormat="1" applyFont="1" applyFill="1" applyBorder="1" applyProtection="1"/>
    <xf numFmtId="190" fontId="3" fillId="0" borderId="0" xfId="44" applyNumberFormat="1" applyFont="1" applyAlignment="1" applyProtection="1">
      <alignment horizontal="center" vertical="center"/>
    </xf>
    <xf numFmtId="0" fontId="2" fillId="0" borderId="0" xfId="44" applyNumberFormat="1" applyFont="1" applyAlignment="1" applyProtection="1">
      <alignment horizontal="center" vertical="center"/>
    </xf>
    <xf numFmtId="190" fontId="3" fillId="0" borderId="0" xfId="44" applyNumberFormat="1" applyFont="1" applyFill="1" applyAlignment="1" applyProtection="1">
      <alignment horizontal="center" vertical="center"/>
    </xf>
    <xf numFmtId="0" fontId="8" fillId="0" borderId="0" xfId="44" applyNumberFormat="1" applyFont="1" applyFill="1" applyProtection="1"/>
    <xf numFmtId="0" fontId="3" fillId="0" borderId="0" xfId="44" applyNumberFormat="1" applyFont="1" applyFill="1" applyProtection="1"/>
    <xf numFmtId="0" fontId="2" fillId="0" borderId="0" xfId="44" applyNumberFormat="1" applyFont="1" applyFill="1" applyAlignment="1" applyProtection="1">
      <alignment horizontal="center" vertical="center"/>
    </xf>
    <xf numFmtId="0" fontId="2" fillId="0" borderId="5" xfId="44" applyNumberFormat="1" applyFont="1" applyBorder="1" applyProtection="1"/>
    <xf numFmtId="0" fontId="2" fillId="0" borderId="0" xfId="14" applyNumberFormat="1" applyFont="1" applyBorder="1" applyAlignment="1" applyProtection="1">
      <alignment horizontal="center"/>
    </xf>
    <xf numFmtId="0" fontId="2" fillId="0" borderId="0" xfId="14" applyNumberFormat="1" applyFont="1" applyFill="1" applyBorder="1" applyAlignment="1" applyProtection="1">
      <alignment horizontal="right"/>
    </xf>
    <xf numFmtId="0" fontId="2" fillId="0" borderId="0" xfId="53" applyNumberFormat="1" applyFont="1" applyFill="1" applyBorder="1" applyProtection="1"/>
    <xf numFmtId="10" fontId="2" fillId="4" borderId="0" xfId="11" applyNumberFormat="1" applyFont="1" applyFill="1" applyBorder="1" applyAlignment="1" applyProtection="1">
      <alignment horizontal="center"/>
      <protection locked="0"/>
    </xf>
    <xf numFmtId="10" fontId="10" fillId="6" borderId="0" xfId="11" applyNumberFormat="1" applyFont="1" applyFill="1" applyBorder="1" applyAlignment="1" applyProtection="1">
      <alignment horizontal="center"/>
    </xf>
    <xf numFmtId="10" fontId="2" fillId="0" borderId="8" xfId="11" applyNumberFormat="1" applyFont="1" applyFill="1" applyBorder="1" applyAlignment="1" applyProtection="1">
      <alignment horizontal="center"/>
    </xf>
    <xf numFmtId="10" fontId="2" fillId="7" borderId="0" xfId="11" applyNumberFormat="1" applyFont="1" applyFill="1" applyBorder="1" applyAlignment="1" applyProtection="1">
      <alignment horizontal="center"/>
    </xf>
    <xf numFmtId="0" fontId="16" fillId="6" borderId="0" xfId="44" applyNumberFormat="1" applyFont="1" applyFill="1" applyProtection="1"/>
    <xf numFmtId="0" fontId="6" fillId="0" borderId="0" xfId="44" applyNumberFormat="1" applyFont="1" applyFill="1" applyAlignment="1" applyProtection="1">
      <alignment horizontal="center"/>
    </xf>
    <xf numFmtId="0" fontId="7" fillId="0" borderId="0" xfId="44" applyNumberFormat="1" applyFont="1" applyFill="1" applyBorder="1" applyProtection="1"/>
    <xf numFmtId="0" fontId="6" fillId="0" borderId="0" xfId="44" applyNumberFormat="1" applyFont="1" applyFill="1" applyBorder="1" applyProtection="1"/>
    <xf numFmtId="0" fontId="2" fillId="7" borderId="0" xfId="44" applyNumberFormat="1" applyFont="1" applyFill="1" applyAlignment="1" applyProtection="1">
      <alignment horizontal="left" vertical="center"/>
    </xf>
    <xf numFmtId="0" fontId="1" fillId="7" borderId="0" xfId="44" applyNumberFormat="1" applyFill="1" applyProtection="1"/>
    <xf numFmtId="179" fontId="2" fillId="4" borderId="0" xfId="44" applyNumberFormat="1" applyFont="1" applyFill="1" applyAlignment="1" applyProtection="1">
      <alignment horizontal="center"/>
      <protection locked="0"/>
    </xf>
    <xf numFmtId="0" fontId="2" fillId="7" borderId="0" xfId="44" applyNumberFormat="1" applyFont="1" applyFill="1" applyBorder="1" applyAlignment="1" applyProtection="1">
      <alignment horizontal="left" vertical="center"/>
    </xf>
    <xf numFmtId="0" fontId="3" fillId="7" borderId="0" xfId="44" applyNumberFormat="1" applyFont="1" applyFill="1" applyBorder="1" applyAlignment="1" applyProtection="1">
      <alignment horizontal="left"/>
    </xf>
    <xf numFmtId="0" fontId="3" fillId="7" borderId="0" xfId="52" applyNumberFormat="1" applyFont="1" applyFill="1" applyBorder="1" applyAlignment="1" applyProtection="1">
      <alignment horizontal="center"/>
    </xf>
    <xf numFmtId="179" fontId="2" fillId="4" borderId="0" xfId="52" applyNumberFormat="1" applyFont="1" applyFill="1" applyBorder="1" applyAlignment="1" applyProtection="1">
      <alignment horizontal="center"/>
      <protection locked="0"/>
    </xf>
    <xf numFmtId="0" fontId="3" fillId="0" borderId="0" xfId="52" applyNumberFormat="1" applyFont="1" applyFill="1" applyBorder="1" applyAlignment="1" applyProtection="1">
      <alignment horizontal="center"/>
    </xf>
    <xf numFmtId="0" fontId="3" fillId="0" borderId="0" xfId="44" applyNumberFormat="1" applyFont="1" applyFill="1" applyBorder="1" applyAlignment="1" applyProtection="1">
      <alignment horizontal="center"/>
    </xf>
    <xf numFmtId="181" fontId="17" fillId="0" borderId="0" xfId="44" applyFont="1" applyFill="1" applyBorder="1" applyProtection="1"/>
    <xf numFmtId="0" fontId="17" fillId="0" borderId="0" xfId="44" applyNumberFormat="1" applyFont="1" applyBorder="1" applyProtection="1"/>
    <xf numFmtId="0" fontId="17" fillId="0" borderId="0" xfId="44" applyNumberFormat="1" applyFont="1" applyFill="1" applyBorder="1" applyProtection="1"/>
    <xf numFmtId="0" fontId="8" fillId="0" borderId="0" xfId="44" applyNumberFormat="1" applyFont="1" applyFill="1" applyBorder="1" applyProtection="1"/>
    <xf numFmtId="0" fontId="1" fillId="0" borderId="0" xfId="44" applyNumberFormat="1" applyFont="1" applyFill="1" applyBorder="1" applyProtection="1"/>
    <xf numFmtId="0" fontId="7" fillId="3" borderId="0" xfId="44" applyNumberFormat="1" applyFont="1" applyFill="1" applyAlignment="1" applyProtection="1">
      <alignment horizontal="center"/>
    </xf>
    <xf numFmtId="0" fontId="2" fillId="3" borderId="0" xfId="44" applyNumberFormat="1" applyFont="1" applyFill="1" applyBorder="1" applyProtection="1"/>
    <xf numFmtId="0" fontId="1" fillId="0" borderId="0" xfId="44" applyNumberFormat="1" applyFont="1" applyFill="1" applyProtection="1"/>
    <xf numFmtId="0" fontId="8" fillId="0" borderId="0" xfId="44" applyNumberFormat="1" applyFont="1" applyAlignment="1" applyProtection="1">
      <alignment horizontal="right"/>
    </xf>
    <xf numFmtId="0" fontId="2" fillId="0" borderId="29" xfId="44" applyNumberFormat="1" applyFont="1" applyBorder="1" applyAlignment="1" applyProtection="1">
      <alignment horizontal="center"/>
    </xf>
    <xf numFmtId="0" fontId="2" fillId="8" borderId="0" xfId="44" applyNumberFormat="1" applyFont="1" applyFill="1" applyBorder="1" applyProtection="1"/>
    <xf numFmtId="0" fontId="2" fillId="8" borderId="0" xfId="44" applyNumberFormat="1" applyFont="1" applyFill="1" applyBorder="1" applyAlignment="1" applyProtection="1">
      <alignment horizontal="right"/>
    </xf>
    <xf numFmtId="0" fontId="2" fillId="9" borderId="30" xfId="44" applyNumberFormat="1" applyFont="1" applyFill="1" applyBorder="1" applyAlignment="1" applyProtection="1">
      <alignment horizontal="center"/>
    </xf>
    <xf numFmtId="0" fontId="2" fillId="9" borderId="0" xfId="44" applyNumberFormat="1" applyFont="1" applyFill="1" applyBorder="1" applyAlignment="1" applyProtection="1">
      <alignment horizontal="center"/>
    </xf>
    <xf numFmtId="0" fontId="2" fillId="9" borderId="6" xfId="44" applyNumberFormat="1" applyFont="1" applyFill="1" applyBorder="1" applyAlignment="1" applyProtection="1">
      <alignment horizontal="center"/>
    </xf>
    <xf numFmtId="0" fontId="2" fillId="8" borderId="7" xfId="44" applyNumberFormat="1" applyFont="1" applyFill="1" applyBorder="1" applyAlignment="1" applyProtection="1">
      <alignment horizontal="center"/>
    </xf>
    <xf numFmtId="0" fontId="2" fillId="7" borderId="0" xfId="44" applyNumberFormat="1" applyFont="1" applyFill="1" applyProtection="1"/>
    <xf numFmtId="0" fontId="2" fillId="7" borderId="0" xfId="44" applyNumberFormat="1" applyFont="1" applyFill="1" applyBorder="1" applyAlignment="1" applyProtection="1">
      <alignment horizontal="right"/>
    </xf>
    <xf numFmtId="0" fontId="2" fillId="7" borderId="30" xfId="44" applyNumberFormat="1" applyFont="1" applyFill="1" applyBorder="1" applyAlignment="1" applyProtection="1">
      <alignment horizontal="center"/>
    </xf>
    <xf numFmtId="0" fontId="2" fillId="7" borderId="6" xfId="44" applyNumberFormat="1" applyFont="1" applyFill="1" applyBorder="1" applyAlignment="1" applyProtection="1">
      <alignment horizontal="center"/>
    </xf>
    <xf numFmtId="0" fontId="2" fillId="7" borderId="7" xfId="44" applyNumberFormat="1" applyFont="1" applyFill="1" applyBorder="1" applyAlignment="1" applyProtection="1">
      <alignment horizontal="center"/>
    </xf>
    <xf numFmtId="0" fontId="2" fillId="0" borderId="0" xfId="44" applyNumberFormat="1" applyFont="1" applyFill="1" applyBorder="1" applyAlignment="1" applyProtection="1">
      <alignment horizontal="right"/>
    </xf>
    <xf numFmtId="2" fontId="2" fillId="4" borderId="0" xfId="44" applyNumberFormat="1" applyFont="1" applyFill="1" applyBorder="1" applyAlignment="1" applyProtection="1">
      <alignment horizontal="center"/>
      <protection locked="0"/>
    </xf>
    <xf numFmtId="185" fontId="2" fillId="0" borderId="0" xfId="44" applyNumberFormat="1" applyFont="1" applyFill="1" applyBorder="1" applyAlignment="1" applyProtection="1">
      <alignment horizontal="center"/>
    </xf>
    <xf numFmtId="0" fontId="18" fillId="3" borderId="0" xfId="44" applyNumberFormat="1" applyFont="1" applyFill="1" applyBorder="1" applyAlignment="1" applyProtection="1">
      <alignment horizontal="center"/>
    </xf>
    <xf numFmtId="0" fontId="18" fillId="3" borderId="0" xfId="44" applyNumberFormat="1" applyFont="1" applyFill="1" applyBorder="1" applyProtection="1"/>
    <xf numFmtId="0" fontId="5" fillId="3" borderId="0" xfId="44" applyNumberFormat="1" applyFont="1" applyFill="1" applyBorder="1" applyProtection="1"/>
    <xf numFmtId="0" fontId="3" fillId="0" borderId="0" xfId="44" applyNumberFormat="1" applyFont="1" applyFill="1" applyBorder="1" applyAlignment="1" applyProtection="1">
      <alignment horizontal="right"/>
    </xf>
    <xf numFmtId="0" fontId="2" fillId="9" borderId="0" xfId="44" applyNumberFormat="1" applyFont="1" applyFill="1" applyBorder="1" applyProtection="1"/>
    <xf numFmtId="0" fontId="2" fillId="9" borderId="4" xfId="44" applyNumberFormat="1" applyFont="1" applyFill="1" applyBorder="1" applyAlignment="1" applyProtection="1">
      <alignment horizontal="right"/>
    </xf>
    <xf numFmtId="0" fontId="2" fillId="9" borderId="29" xfId="44" applyNumberFormat="1" applyFont="1" applyFill="1" applyBorder="1" applyAlignment="1" applyProtection="1">
      <alignment horizontal="left"/>
    </xf>
    <xf numFmtId="0" fontId="2" fillId="9" borderId="29" xfId="44" applyNumberFormat="1" applyFont="1" applyFill="1" applyBorder="1" applyProtection="1"/>
    <xf numFmtId="0" fontId="2" fillId="9" borderId="5" xfId="44" applyNumberFormat="1" applyFont="1" applyFill="1" applyBorder="1" applyProtection="1"/>
    <xf numFmtId="0" fontId="2" fillId="9" borderId="4" xfId="44" applyNumberFormat="1" applyFont="1" applyFill="1" applyBorder="1" applyProtection="1"/>
    <xf numFmtId="9" fontId="2" fillId="9" borderId="1" xfId="44" applyNumberFormat="1" applyFont="1" applyFill="1" applyBorder="1" applyProtection="1"/>
    <xf numFmtId="195" fontId="2" fillId="9" borderId="5" xfId="44" applyNumberFormat="1" applyFont="1" applyFill="1" applyBorder="1" applyProtection="1"/>
    <xf numFmtId="0" fontId="2" fillId="9" borderId="2" xfId="44" applyNumberFormat="1" applyFont="1" applyFill="1" applyBorder="1" applyProtection="1"/>
    <xf numFmtId="0" fontId="2" fillId="9" borderId="27" xfId="44" applyNumberFormat="1" applyFont="1" applyFill="1" applyBorder="1" applyProtection="1"/>
    <xf numFmtId="0" fontId="2" fillId="9" borderId="2" xfId="44" applyNumberFormat="1" applyFont="1" applyFill="1" applyBorder="1" applyAlignment="1" applyProtection="1">
      <alignment horizontal="right"/>
    </xf>
    <xf numFmtId="9" fontId="2" fillId="9" borderId="3" xfId="44" applyNumberFormat="1" applyFont="1" applyFill="1" applyBorder="1" applyProtection="1"/>
    <xf numFmtId="195" fontId="2" fillId="9" borderId="31" xfId="44" applyNumberFormat="1" applyFont="1" applyFill="1" applyBorder="1" applyAlignment="1" applyProtection="1">
      <alignment horizontal="left"/>
    </xf>
    <xf numFmtId="0" fontId="2" fillId="7" borderId="30" xfId="44" applyNumberFormat="1" applyFont="1" applyFill="1" applyBorder="1" applyAlignment="1" applyProtection="1">
      <alignment horizontal="right"/>
    </xf>
    <xf numFmtId="0" fontId="2" fillId="7" borderId="6" xfId="44" applyNumberFormat="1" applyFont="1" applyFill="1" applyBorder="1" applyAlignment="1" applyProtection="1">
      <alignment horizontal="right"/>
    </xf>
    <xf numFmtId="9" fontId="2" fillId="4" borderId="0" xfId="11" applyNumberFormat="1" applyFont="1" applyFill="1" applyBorder="1" applyAlignment="1" applyProtection="1">
      <alignment horizontal="center"/>
    </xf>
    <xf numFmtId="176" fontId="2" fillId="0" borderId="0" xfId="44" applyNumberFormat="1" applyFont="1" applyFill="1" applyBorder="1" applyAlignment="1" applyProtection="1">
      <alignment horizontal="center"/>
    </xf>
    <xf numFmtId="176" fontId="2" fillId="0" borderId="0" xfId="11" applyNumberFormat="1" applyFont="1" applyFill="1" applyBorder="1" applyAlignment="1" applyProtection="1">
      <alignment horizontal="center"/>
    </xf>
    <xf numFmtId="9" fontId="2" fillId="4" borderId="0" xfId="11" applyFont="1" applyFill="1" applyBorder="1" applyAlignment="1" applyProtection="1">
      <alignment horizontal="center"/>
    </xf>
    <xf numFmtId="9" fontId="2" fillId="4" borderId="0" xfId="44" applyNumberFormat="1" applyFont="1" applyFill="1" applyBorder="1" applyAlignment="1" applyProtection="1">
      <alignment horizontal="center"/>
    </xf>
    <xf numFmtId="0" fontId="2" fillId="4" borderId="0" xfId="44" applyNumberFormat="1" applyFont="1" applyFill="1" applyBorder="1" applyAlignment="1" applyProtection="1">
      <alignment horizontal="center"/>
    </xf>
    <xf numFmtId="9" fontId="2" fillId="0" borderId="0" xfId="44" applyNumberFormat="1" applyFont="1" applyFill="1" applyBorder="1" applyAlignment="1" applyProtection="1">
      <alignment horizontal="center"/>
    </xf>
    <xf numFmtId="0" fontId="3" fillId="0" borderId="0" xfId="44" applyNumberFormat="1" applyFont="1" applyFill="1" applyBorder="1" applyAlignment="1" applyProtection="1">
      <alignment horizontal="left"/>
    </xf>
    <xf numFmtId="1" fontId="2" fillId="0" borderId="0" xfId="44" applyNumberFormat="1" applyFont="1" applyFill="1" applyBorder="1" applyAlignment="1" applyProtection="1">
      <alignment horizontal="center"/>
    </xf>
    <xf numFmtId="0" fontId="5" fillId="0" borderId="0" xfId="44" applyNumberFormat="1" applyFont="1" applyProtection="1"/>
    <xf numFmtId="1" fontId="5" fillId="0" borderId="0" xfId="44" applyNumberFormat="1" applyFont="1" applyAlignment="1" applyProtection="1">
      <alignment horizontal="center"/>
    </xf>
    <xf numFmtId="0" fontId="18" fillId="3" borderId="0" xfId="44" applyNumberFormat="1" applyFont="1" applyFill="1" applyProtection="1"/>
    <xf numFmtId="0" fontId="19" fillId="3" borderId="0" xfId="44" applyNumberFormat="1" applyFont="1" applyFill="1" applyProtection="1"/>
    <xf numFmtId="0" fontId="5" fillId="0" borderId="0" xfId="44" applyNumberFormat="1" applyFont="1" applyBorder="1" applyAlignment="1" applyProtection="1">
      <alignment horizontal="center"/>
    </xf>
    <xf numFmtId="181" fontId="1" fillId="0" borderId="0" xfId="44" applyAlignment="1" applyProtection="1">
      <alignment horizontal="right"/>
    </xf>
    <xf numFmtId="0" fontId="20" fillId="0" borderId="0" xfId="44" applyNumberFormat="1" applyFont="1" applyFill="1" applyBorder="1" applyAlignment="1" applyProtection="1">
      <alignment horizontal="center"/>
    </xf>
    <xf numFmtId="0" fontId="20" fillId="0" borderId="0" xfId="44" applyNumberFormat="1" applyFont="1" applyFill="1" applyBorder="1" applyAlignment="1" applyProtection="1">
      <alignment horizontal="left"/>
    </xf>
    <xf numFmtId="195" fontId="2" fillId="0" borderId="0" xfId="8" applyNumberFormat="1" applyFont="1" applyFill="1" applyBorder="1" applyAlignment="1" applyProtection="1">
      <alignment horizontal="center"/>
    </xf>
    <xf numFmtId="0" fontId="17" fillId="0" borderId="1" xfId="44" applyNumberFormat="1" applyFont="1" applyFill="1" applyBorder="1" applyProtection="1"/>
    <xf numFmtId="10" fontId="5" fillId="4" borderId="0" xfId="11" applyNumberFormat="1" applyFont="1" applyFill="1" applyBorder="1" applyAlignment="1" applyProtection="1">
      <alignment horizontal="center"/>
      <protection locked="0"/>
    </xf>
    <xf numFmtId="0" fontId="2" fillId="0" borderId="0" xfId="14" applyNumberFormat="1" applyFont="1" applyFill="1" applyBorder="1" applyProtection="1"/>
    <xf numFmtId="10" fontId="2" fillId="0" borderId="0" xfId="44" applyNumberFormat="1" applyFont="1" applyFill="1" applyBorder="1" applyAlignment="1" applyProtection="1">
      <alignment horizontal="center" vertical="center"/>
    </xf>
    <xf numFmtId="0" fontId="8" fillId="0" borderId="0" xfId="44" applyNumberFormat="1" applyFont="1" applyFill="1" applyBorder="1" applyAlignment="1" applyProtection="1">
      <alignment horizontal="left" vertical="center"/>
    </xf>
    <xf numFmtId="0" fontId="8" fillId="0" borderId="0" xfId="44" applyNumberFormat="1" applyFont="1" applyFill="1" applyBorder="1" applyAlignment="1" applyProtection="1">
      <alignment horizontal="center" vertical="center"/>
    </xf>
    <xf numFmtId="38" fontId="2" fillId="0" borderId="0" xfId="44" applyNumberFormat="1" applyFont="1" applyFill="1" applyBorder="1" applyAlignment="1" applyProtection="1">
      <alignment horizontal="right"/>
    </xf>
    <xf numFmtId="181" fontId="1" fillId="0" borderId="0" xfId="44" applyFill="1" applyAlignment="1" applyProtection="1">
      <alignment horizontal="right"/>
    </xf>
    <xf numFmtId="0" fontId="2" fillId="0" borderId="0" xfId="44" applyNumberFormat="1" applyFont="1" applyFill="1" applyBorder="1" applyAlignment="1" applyProtection="1">
      <alignment horizontal="center" wrapText="1"/>
    </xf>
    <xf numFmtId="0" fontId="2" fillId="8" borderId="0" xfId="44" applyNumberFormat="1" applyFont="1" applyFill="1" applyBorder="1" applyAlignment="1" applyProtection="1">
      <alignment horizontal="center"/>
    </xf>
    <xf numFmtId="0" fontId="21" fillId="0" borderId="0" xfId="44" applyNumberFormat="1" applyFont="1" applyFill="1" applyBorder="1" applyProtection="1"/>
    <xf numFmtId="0" fontId="21" fillId="0" borderId="0" xfId="44" applyNumberFormat="1" applyFont="1" applyFill="1" applyBorder="1" applyAlignment="1" applyProtection="1">
      <alignment horizontal="right"/>
    </xf>
    <xf numFmtId="0" fontId="21" fillId="0" borderId="0" xfId="52" applyNumberFormat="1" applyFont="1" applyFill="1" applyBorder="1" applyAlignment="1" applyProtection="1">
      <alignment horizontal="right"/>
    </xf>
    <xf numFmtId="0" fontId="5" fillId="3" borderId="0" xfId="44" applyNumberFormat="1" applyFont="1" applyFill="1" applyBorder="1" applyAlignment="1" applyProtection="1">
      <alignment horizontal="center"/>
    </xf>
    <xf numFmtId="0" fontId="5" fillId="0" borderId="0" xfId="44" applyNumberFormat="1" applyFont="1" applyBorder="1" applyProtection="1"/>
    <xf numFmtId="0" fontId="2" fillId="9" borderId="29" xfId="44" applyNumberFormat="1" applyFont="1" applyFill="1" applyBorder="1" applyAlignment="1" applyProtection="1">
      <alignment horizontal="center" vertical="center"/>
    </xf>
    <xf numFmtId="0" fontId="2" fillId="0" borderId="0" xfId="44" applyNumberFormat="1" applyFont="1" applyFill="1" applyBorder="1" applyAlignment="1" applyProtection="1">
      <alignment horizontal="center" vertical="center"/>
    </xf>
    <xf numFmtId="0" fontId="2" fillId="9" borderId="2" xfId="44" applyNumberFormat="1" applyFont="1" applyFill="1" applyBorder="1" applyAlignment="1" applyProtection="1">
      <alignment horizontal="center" vertical="center"/>
    </xf>
    <xf numFmtId="0" fontId="2" fillId="7" borderId="0" xfId="44" applyNumberFormat="1" applyFont="1" applyFill="1" applyBorder="1" applyAlignment="1" applyProtection="1">
      <alignment horizontal="center" vertical="center"/>
    </xf>
    <xf numFmtId="176" fontId="2" fillId="0" borderId="0" xfId="8" applyNumberFormat="1" applyFont="1" applyFill="1" applyBorder="1" applyAlignment="1" applyProtection="1">
      <alignment horizontal="center"/>
    </xf>
    <xf numFmtId="9" fontId="2" fillId="4" borderId="0" xfId="11" applyFont="1" applyFill="1" applyBorder="1" applyAlignment="1" applyProtection="1">
      <alignment horizontal="center" vertical="center"/>
    </xf>
    <xf numFmtId="9" fontId="2" fillId="4" borderId="0" xfId="44" applyNumberFormat="1" applyFont="1" applyFill="1" applyBorder="1" applyAlignment="1" applyProtection="1">
      <alignment horizontal="center" vertical="center"/>
    </xf>
    <xf numFmtId="9" fontId="2" fillId="0" borderId="0" xfId="44" applyNumberFormat="1" applyFont="1" applyFill="1" applyBorder="1" applyAlignment="1" applyProtection="1">
      <alignment horizontal="center" vertical="center"/>
    </xf>
    <xf numFmtId="1" fontId="2" fillId="0" borderId="0" xfId="44" applyNumberFormat="1" applyFont="1" applyBorder="1" applyAlignment="1" applyProtection="1">
      <alignment horizontal="center"/>
    </xf>
    <xf numFmtId="0" fontId="5" fillId="0" borderId="0" xfId="14" applyNumberFormat="1" applyFont="1" applyFill="1" applyBorder="1" applyAlignment="1" applyProtection="1">
      <alignment horizontal="center"/>
    </xf>
    <xf numFmtId="0" fontId="5" fillId="0" borderId="0" xfId="52" applyNumberFormat="1" applyFont="1" applyFill="1" applyBorder="1" applyAlignment="1" applyProtection="1"/>
    <xf numFmtId="0" fontId="22" fillId="0" borderId="0" xfId="44" applyNumberFormat="1" applyFont="1" applyFill="1" applyBorder="1" applyProtection="1"/>
    <xf numFmtId="0" fontId="21" fillId="0" borderId="0" xfId="52" applyNumberFormat="1" applyFont="1" applyFill="1" applyBorder="1" applyProtection="1"/>
    <xf numFmtId="0" fontId="21" fillId="0" borderId="0" xfId="53" applyNumberFormat="1" applyFont="1" applyFill="1" applyBorder="1" applyProtection="1"/>
    <xf numFmtId="0" fontId="3" fillId="0" borderId="0" xfId="44" applyNumberFormat="1" applyFont="1" applyFill="1" applyBorder="1" applyProtection="1"/>
    <xf numFmtId="181" fontId="1" fillId="0" borderId="0" xfId="44" applyFill="1" applyBorder="1" applyProtection="1"/>
    <xf numFmtId="195" fontId="5" fillId="0" borderId="0" xfId="8" applyNumberFormat="1" applyFont="1" applyFill="1" applyBorder="1" applyAlignment="1" applyProtection="1">
      <alignment horizontal="center"/>
    </xf>
    <xf numFmtId="181" fontId="8" fillId="0" borderId="0" xfId="44" applyFont="1" applyAlignment="1" applyProtection="1">
      <alignment horizontal="right"/>
    </xf>
    <xf numFmtId="0" fontId="20" fillId="0" borderId="1" xfId="44" applyNumberFormat="1" applyFont="1" applyFill="1" applyBorder="1" applyProtection="1"/>
    <xf numFmtId="0" fontId="8" fillId="0" borderId="0" xfId="44" applyNumberFormat="1" applyFont="1" applyFill="1" applyBorder="1" applyAlignment="1" applyProtection="1">
      <alignment horizontal="center"/>
    </xf>
    <xf numFmtId="176" fontId="3" fillId="0" borderId="0" xfId="8" applyNumberFormat="1" applyFont="1" applyFill="1" applyBorder="1" applyAlignment="1" applyProtection="1">
      <alignment horizontal="center"/>
    </xf>
    <xf numFmtId="0" fontId="20" fillId="0" borderId="0" xfId="44" applyNumberFormat="1" applyFont="1" applyFill="1" applyBorder="1" applyProtection="1"/>
    <xf numFmtId="38" fontId="2" fillId="0" borderId="27" xfId="44" applyNumberFormat="1" applyFont="1" applyFill="1" applyBorder="1" applyAlignment="1" applyProtection="1">
      <alignment horizontal="right"/>
    </xf>
    <xf numFmtId="38" fontId="2" fillId="0" borderId="1" xfId="44" applyNumberFormat="1" applyFont="1" applyFill="1" applyBorder="1" applyAlignment="1" applyProtection="1">
      <alignment horizontal="right"/>
    </xf>
    <xf numFmtId="0" fontId="20" fillId="0" borderId="29" xfId="44" applyNumberFormat="1" applyFont="1" applyFill="1" applyBorder="1" applyAlignment="1" applyProtection="1">
      <alignment horizontal="left"/>
    </xf>
    <xf numFmtId="0" fontId="17" fillId="0" borderId="0" xfId="44" applyNumberFormat="1" applyFont="1" applyFill="1" applyBorder="1" applyAlignment="1" applyProtection="1">
      <alignment horizontal="right"/>
    </xf>
    <xf numFmtId="0" fontId="1" fillId="0" borderId="0" xfId="44" applyNumberFormat="1" applyFill="1" applyBorder="1" applyAlignment="1" applyProtection="1">
      <alignment horizontal="right"/>
    </xf>
    <xf numFmtId="0" fontId="1" fillId="0" borderId="0" xfId="44" applyNumberFormat="1" applyFill="1" applyBorder="1" applyAlignment="1" applyProtection="1">
      <alignment horizontal="center"/>
    </xf>
    <xf numFmtId="194" fontId="2" fillId="0" borderId="0" xfId="8" applyNumberFormat="1" applyFont="1" applyFill="1" applyBorder="1" applyAlignment="1" applyProtection="1">
      <alignment horizontal="center"/>
    </xf>
    <xf numFmtId="189" fontId="2" fillId="0" borderId="0" xfId="8" applyNumberFormat="1" applyFont="1" applyFill="1" applyBorder="1" applyAlignment="1" applyProtection="1">
      <alignment horizontal="center"/>
    </xf>
    <xf numFmtId="195" fontId="1" fillId="0" borderId="0" xfId="44" applyNumberFormat="1" applyFill="1" applyBorder="1" applyProtection="1"/>
    <xf numFmtId="0" fontId="1" fillId="0" borderId="0" xfId="44" applyNumberFormat="1" applyFill="1" applyBorder="1" applyAlignment="1" applyProtection="1">
      <alignment horizontal="center" vertical="center"/>
    </xf>
    <xf numFmtId="195" fontId="5" fillId="0" borderId="1" xfId="8" applyNumberFormat="1" applyFont="1" applyFill="1" applyBorder="1" applyAlignment="1" applyProtection="1">
      <alignment horizontal="center"/>
    </xf>
    <xf numFmtId="38" fontId="2" fillId="0" borderId="27" xfId="44" applyNumberFormat="1" applyFont="1" applyFill="1" applyBorder="1" applyAlignment="1" applyProtection="1">
      <alignment horizontal="center"/>
    </xf>
    <xf numFmtId="38" fontId="2" fillId="0" borderId="1" xfId="44" applyNumberFormat="1" applyFont="1" applyFill="1" applyBorder="1" applyAlignment="1" applyProtection="1">
      <alignment horizontal="center"/>
    </xf>
    <xf numFmtId="0" fontId="5" fillId="0" borderId="1" xfId="44" applyNumberFormat="1" applyFont="1" applyFill="1" applyBorder="1" applyProtection="1"/>
    <xf numFmtId="1" fontId="5" fillId="0" borderId="1" xfId="8" applyNumberFormat="1" applyFont="1" applyFill="1" applyBorder="1" applyAlignment="1" applyProtection="1">
      <alignment horizontal="center"/>
    </xf>
    <xf numFmtId="1" fontId="2" fillId="0" borderId="27" xfId="44" applyNumberFormat="1" applyFont="1" applyFill="1" applyBorder="1" applyAlignment="1" applyProtection="1">
      <alignment horizontal="center"/>
    </xf>
    <xf numFmtId="0" fontId="17" fillId="0" borderId="0" xfId="44" applyNumberFormat="1" applyFont="1" applyFill="1" applyBorder="1" applyAlignment="1" applyProtection="1">
      <alignment horizontal="center" vertical="center"/>
    </xf>
    <xf numFmtId="1" fontId="2" fillId="0" borderId="1" xfId="44" applyNumberFormat="1" applyFont="1" applyFill="1" applyBorder="1" applyAlignment="1" applyProtection="1">
      <alignment horizontal="center"/>
    </xf>
    <xf numFmtId="195" fontId="1" fillId="0" borderId="0" xfId="44" applyNumberFormat="1" applyFill="1" applyBorder="1" applyAlignment="1" applyProtection="1">
      <alignment horizontal="center" vertical="center"/>
    </xf>
    <xf numFmtId="10" fontId="1" fillId="0" borderId="0" xfId="11" applyNumberFormat="1" applyFont="1" applyFill="1" applyBorder="1" applyAlignment="1" applyProtection="1">
      <alignment horizontal="center" vertical="center"/>
    </xf>
    <xf numFmtId="0" fontId="12" fillId="0" borderId="0" xfId="44" applyNumberFormat="1" applyFont="1" applyFill="1" applyBorder="1" applyAlignment="1" applyProtection="1">
      <alignment horizontal="left"/>
    </xf>
    <xf numFmtId="0" fontId="23" fillId="0" borderId="0" xfId="44" applyNumberFormat="1" applyFont="1" applyProtection="1"/>
    <xf numFmtId="0" fontId="12" fillId="0" borderId="0" xfId="44" applyNumberFormat="1" applyFont="1" applyFill="1" applyBorder="1" applyAlignment="1" applyProtection="1">
      <alignment horizontal="center"/>
    </xf>
    <xf numFmtId="1" fontId="1" fillId="0" borderId="0" xfId="44" applyNumberFormat="1" applyFill="1" applyBorder="1" applyProtection="1"/>
    <xf numFmtId="0" fontId="5" fillId="0" borderId="0" xfId="52" applyNumberFormat="1" applyFont="1" applyFill="1" applyBorder="1" applyAlignment="1" applyProtection="1">
      <alignment horizontal="center"/>
    </xf>
    <xf numFmtId="0" fontId="5" fillId="0" borderId="0" xfId="44" applyNumberFormat="1" applyFont="1" applyFill="1" applyBorder="1" applyAlignment="1" applyProtection="1">
      <alignment horizontal="center"/>
    </xf>
    <xf numFmtId="0" fontId="5" fillId="0" borderId="0" xfId="44" applyNumberFormat="1" applyFont="1" applyFill="1" applyProtection="1"/>
    <xf numFmtId="0" fontId="2" fillId="0" borderId="0" xfId="44" applyNumberFormat="1" applyFont="1"/>
    <xf numFmtId="0" fontId="2" fillId="0" borderId="0" xfId="44" applyNumberFormat="1" applyFont="1" applyFill="1"/>
    <xf numFmtId="181" fontId="1" fillId="0" borderId="0" xfId="44"/>
    <xf numFmtId="0" fontId="1" fillId="0" borderId="0" xfId="44" applyNumberFormat="1" applyBorder="1"/>
    <xf numFmtId="0" fontId="1" fillId="0" borderId="0" xfId="44" applyNumberFormat="1" applyFill="1"/>
    <xf numFmtId="0" fontId="5" fillId="0" borderId="0" xfId="44" applyNumberFormat="1" applyFont="1" applyFill="1" applyBorder="1"/>
    <xf numFmtId="0" fontId="24" fillId="3" borderId="0" xfId="44" applyNumberFormat="1" applyFont="1" applyFill="1" applyAlignment="1">
      <alignment horizontal="center"/>
    </xf>
    <xf numFmtId="0" fontId="24" fillId="3" borderId="0" xfId="44" applyNumberFormat="1" applyFont="1" applyFill="1" applyBorder="1"/>
    <xf numFmtId="181" fontId="25" fillId="3" borderId="0" xfId="44" applyFont="1" applyFill="1"/>
    <xf numFmtId="0" fontId="10" fillId="3" borderId="0" xfId="44" applyNumberFormat="1" applyFont="1" applyFill="1" applyBorder="1"/>
    <xf numFmtId="0" fontId="9" fillId="3" borderId="0" xfId="44" applyNumberFormat="1" applyFont="1" applyFill="1" applyAlignment="1">
      <alignment horizontal="center"/>
    </xf>
    <xf numFmtId="0" fontId="8" fillId="0" borderId="0" xfId="44" applyNumberFormat="1" applyFont="1" applyAlignment="1">
      <alignment horizontal="center"/>
    </xf>
    <xf numFmtId="0" fontId="8" fillId="0" borderId="0" xfId="44" applyNumberFormat="1" applyFont="1"/>
    <xf numFmtId="0" fontId="1" fillId="0" borderId="0" xfId="44" applyNumberFormat="1" applyFont="1" applyFill="1"/>
    <xf numFmtId="0" fontId="8" fillId="0" borderId="0" xfId="44" applyNumberFormat="1" applyFont="1" applyAlignment="1">
      <alignment horizontal="right"/>
    </xf>
    <xf numFmtId="0" fontId="2" fillId="0" borderId="4" xfId="44" applyNumberFormat="1" applyFont="1" applyBorder="1" applyAlignment="1">
      <alignment horizontal="center"/>
    </xf>
    <xf numFmtId="0" fontId="2" fillId="0" borderId="29" xfId="44" applyNumberFormat="1" applyFont="1" applyBorder="1" applyAlignment="1">
      <alignment horizontal="center"/>
    </xf>
    <xf numFmtId="0" fontId="2" fillId="0" borderId="5" xfId="44" applyNumberFormat="1" applyFont="1" applyBorder="1" applyAlignment="1">
      <alignment horizontal="center"/>
    </xf>
    <xf numFmtId="0" fontId="2" fillId="0" borderId="8" xfId="44" applyNumberFormat="1" applyFont="1" applyBorder="1"/>
    <xf numFmtId="181" fontId="1" fillId="0" borderId="0" xfId="44" applyFill="1"/>
    <xf numFmtId="0" fontId="2" fillId="9" borderId="0" xfId="44" applyNumberFormat="1" applyFont="1" applyFill="1" applyBorder="1"/>
    <xf numFmtId="0" fontId="2" fillId="9" borderId="0" xfId="44" applyNumberFormat="1" applyFont="1" applyFill="1" applyBorder="1" applyAlignment="1">
      <alignment horizontal="right"/>
    </xf>
    <xf numFmtId="0" fontId="2" fillId="9" borderId="30" xfId="44" applyNumberFormat="1" applyFont="1" applyFill="1" applyBorder="1" applyAlignment="1">
      <alignment horizontal="center"/>
    </xf>
    <xf numFmtId="0" fontId="2" fillId="9" borderId="0" xfId="44" applyNumberFormat="1" applyFont="1" applyFill="1" applyBorder="1" applyAlignment="1">
      <alignment horizontal="center"/>
    </xf>
    <xf numFmtId="0" fontId="2" fillId="9" borderId="6" xfId="44" applyNumberFormat="1" applyFont="1" applyFill="1" applyBorder="1" applyAlignment="1">
      <alignment horizontal="center"/>
    </xf>
    <xf numFmtId="0" fontId="2" fillId="9" borderId="7" xfId="44" applyNumberFormat="1" applyFont="1" applyFill="1" applyBorder="1" applyAlignment="1">
      <alignment horizontal="center"/>
    </xf>
    <xf numFmtId="0" fontId="2" fillId="7" borderId="0" xfId="44" applyNumberFormat="1" applyFont="1" applyFill="1" applyBorder="1"/>
    <xf numFmtId="0" fontId="2" fillId="7" borderId="0" xfId="44" applyNumberFormat="1" applyFont="1" applyFill="1"/>
    <xf numFmtId="0" fontId="2" fillId="7" borderId="0" xfId="44" applyNumberFormat="1" applyFont="1" applyFill="1" applyBorder="1" applyAlignment="1">
      <alignment horizontal="right"/>
    </xf>
    <xf numFmtId="0" fontId="2" fillId="7" borderId="30" xfId="44" applyNumberFormat="1" applyFont="1" applyFill="1" applyBorder="1" applyAlignment="1">
      <alignment horizontal="center"/>
    </xf>
    <xf numFmtId="0" fontId="2" fillId="7" borderId="0" xfId="44" applyNumberFormat="1" applyFont="1" applyFill="1" applyBorder="1" applyAlignment="1">
      <alignment horizontal="center"/>
    </xf>
    <xf numFmtId="0" fontId="2" fillId="7" borderId="6" xfId="44" applyNumberFormat="1" applyFont="1" applyFill="1" applyBorder="1" applyAlignment="1">
      <alignment horizontal="center"/>
    </xf>
    <xf numFmtId="0" fontId="2" fillId="7" borderId="7" xfId="44" applyNumberFormat="1" applyFont="1" applyFill="1" applyBorder="1" applyAlignment="1">
      <alignment horizontal="center"/>
    </xf>
    <xf numFmtId="0" fontId="2" fillId="0" borderId="0" xfId="44" applyNumberFormat="1" applyFont="1" applyFill="1" applyBorder="1" applyAlignment="1">
      <alignment horizontal="right"/>
    </xf>
    <xf numFmtId="2" fontId="2" fillId="4" borderId="0" xfId="44" applyNumberFormat="1" applyFont="1" applyFill="1" applyBorder="1" applyAlignment="1">
      <alignment horizontal="center"/>
    </xf>
    <xf numFmtId="185" fontId="2" fillId="0" borderId="0" xfId="44" applyNumberFormat="1" applyFont="1" applyFill="1" applyBorder="1" applyAlignment="1">
      <alignment horizontal="center"/>
    </xf>
    <xf numFmtId="0" fontId="2" fillId="0" borderId="0" xfId="44" applyNumberFormat="1" applyFont="1" applyFill="1" applyBorder="1" applyAlignment="1" applyProtection="1">
      <alignment horizontal="right"/>
      <protection locked="0"/>
    </xf>
    <xf numFmtId="2" fontId="2" fillId="0" borderId="0" xfId="44" applyNumberFormat="1" applyFont="1" applyAlignment="1">
      <alignment horizontal="center"/>
    </xf>
    <xf numFmtId="185" fontId="2" fillId="0" borderId="0" xfId="44" applyNumberFormat="1" applyFont="1" applyAlignment="1">
      <alignment horizontal="center"/>
    </xf>
    <xf numFmtId="0" fontId="12" fillId="0" borderId="0" xfId="44" applyNumberFormat="1" applyFont="1" applyFill="1" applyBorder="1"/>
    <xf numFmtId="0" fontId="13" fillId="0" borderId="0" xfId="44" applyNumberFormat="1" applyFont="1" applyFill="1" applyBorder="1"/>
    <xf numFmtId="0" fontId="2" fillId="0" borderId="0" xfId="44" applyNumberFormat="1" applyFont="1" applyFill="1" applyBorder="1" applyAlignment="1">
      <alignment horizontal="center" wrapText="1"/>
    </xf>
    <xf numFmtId="1" fontId="2" fillId="0" borderId="0" xfId="44" applyNumberFormat="1" applyFont="1" applyFill="1" applyBorder="1" applyAlignment="1">
      <alignment horizontal="center"/>
    </xf>
    <xf numFmtId="0" fontId="21" fillId="0" borderId="0" xfId="44" applyNumberFormat="1" applyFont="1" applyFill="1" applyBorder="1"/>
    <xf numFmtId="0" fontId="21" fillId="0" borderId="0" xfId="44" applyNumberFormat="1" applyFont="1" applyFill="1" applyBorder="1" applyAlignment="1">
      <alignment horizontal="right"/>
    </xf>
    <xf numFmtId="0" fontId="21" fillId="0" borderId="0" xfId="52" applyNumberFormat="1" applyFont="1" applyFill="1" applyBorder="1" applyAlignment="1">
      <alignment horizontal="right"/>
    </xf>
    <xf numFmtId="1" fontId="2" fillId="0" borderId="0" xfId="44" applyNumberFormat="1" applyFont="1" applyAlignment="1">
      <alignment horizontal="center"/>
    </xf>
    <xf numFmtId="0" fontId="22" fillId="0" borderId="0" xfId="44" applyNumberFormat="1" applyFont="1" applyFill="1" applyBorder="1"/>
    <xf numFmtId="0" fontId="21" fillId="0" borderId="0" xfId="52" applyNumberFormat="1" applyFont="1" applyFill="1" applyBorder="1"/>
    <xf numFmtId="0" fontId="21" fillId="0" borderId="0" xfId="53" applyNumberFormat="1" applyFont="1" applyFill="1" applyBorder="1"/>
    <xf numFmtId="181" fontId="5" fillId="0" borderId="0" xfId="44" applyFont="1" applyBorder="1" applyProtection="1"/>
    <xf numFmtId="181" fontId="2" fillId="0" borderId="0" xfId="44" applyFont="1" applyBorder="1" applyProtection="1"/>
    <xf numFmtId="181" fontId="2" fillId="0" borderId="0" xfId="44" applyFont="1" applyFill="1" applyBorder="1" applyProtection="1"/>
    <xf numFmtId="181" fontId="2" fillId="0" borderId="0" xfId="44" applyFont="1" applyProtection="1"/>
    <xf numFmtId="0" fontId="7" fillId="6" borderId="0" xfId="44" applyNumberFormat="1" applyFont="1" applyFill="1" applyAlignment="1" applyProtection="1">
      <alignment horizontal="left"/>
    </xf>
    <xf numFmtId="0" fontId="6" fillId="6" borderId="0" xfId="44" applyNumberFormat="1" applyFont="1" applyFill="1" applyProtection="1"/>
    <xf numFmtId="0" fontId="3" fillId="0" borderId="8" xfId="44" applyNumberFormat="1" applyFont="1" applyBorder="1" applyAlignment="1" applyProtection="1">
      <alignment horizontal="center"/>
    </xf>
    <xf numFmtId="0" fontId="26" fillId="0" borderId="0" xfId="44" applyNumberFormat="1" applyFont="1" applyAlignment="1" applyProtection="1">
      <alignment horizontal="right"/>
    </xf>
    <xf numFmtId="0" fontId="2" fillId="0" borderId="8" xfId="44" applyNumberFormat="1" applyFont="1" applyFill="1" applyBorder="1" applyProtection="1"/>
    <xf numFmtId="0" fontId="2" fillId="0" borderId="29" xfId="44" applyNumberFormat="1" applyFont="1" applyFill="1" applyBorder="1" applyProtection="1"/>
    <xf numFmtId="0" fontId="2" fillId="0" borderId="29" xfId="44" applyNumberFormat="1" applyFont="1" applyFill="1" applyBorder="1" applyAlignment="1" applyProtection="1">
      <alignment horizontal="right"/>
    </xf>
    <xf numFmtId="195" fontId="2" fillId="4" borderId="1" xfId="8" applyNumberFormat="1" applyFont="1" applyFill="1" applyBorder="1" applyProtection="1">
      <protection locked="0"/>
    </xf>
    <xf numFmtId="10" fontId="2" fillId="4" borderId="1" xfId="11" applyNumberFormat="1" applyFont="1" applyFill="1" applyBorder="1" applyProtection="1">
      <protection locked="0"/>
    </xf>
    <xf numFmtId="0" fontId="2" fillId="0" borderId="2" xfId="44" applyNumberFormat="1" applyFont="1" applyFill="1" applyBorder="1" applyProtection="1"/>
    <xf numFmtId="0" fontId="2" fillId="0" borderId="19" xfId="44" applyNumberFormat="1" applyFont="1" applyFill="1" applyBorder="1" applyProtection="1"/>
    <xf numFmtId="0" fontId="2" fillId="0" borderId="19" xfId="44" applyNumberFormat="1" applyFont="1" applyFill="1" applyBorder="1" applyAlignment="1" applyProtection="1">
      <alignment horizontal="right"/>
    </xf>
    <xf numFmtId="0" fontId="2" fillId="0" borderId="19" xfId="44" applyNumberFormat="1" applyFont="1" applyFill="1" applyBorder="1" applyAlignment="1" applyProtection="1">
      <alignment horizontal="center" vertical="center" wrapText="1"/>
    </xf>
    <xf numFmtId="0" fontId="2" fillId="0" borderId="1" xfId="44" applyNumberFormat="1" applyFont="1" applyFill="1" applyBorder="1" applyAlignment="1" applyProtection="1">
      <alignment horizontal="center" vertical="center" wrapText="1"/>
    </xf>
    <xf numFmtId="195" fontId="2" fillId="4" borderId="1" xfId="8" applyNumberFormat="1" applyFont="1" applyFill="1" applyBorder="1" applyAlignment="1" applyProtection="1">
      <alignment horizontal="right" vertical="center" wrapText="1"/>
      <protection locked="0"/>
    </xf>
    <xf numFmtId="0" fontId="2" fillId="0" borderId="1" xfId="44" applyNumberFormat="1" applyFont="1" applyFill="1" applyBorder="1" applyProtection="1"/>
    <xf numFmtId="0" fontId="2" fillId="0" borderId="32" xfId="44" applyNumberFormat="1" applyFont="1" applyFill="1" applyBorder="1" applyProtection="1"/>
    <xf numFmtId="0" fontId="2" fillId="0" borderId="3" xfId="44" applyNumberFormat="1" applyFont="1" applyFill="1" applyBorder="1" applyProtection="1"/>
    <xf numFmtId="0" fontId="2" fillId="0" borderId="3" xfId="44" applyNumberFormat="1" applyFont="1" applyFill="1" applyBorder="1" applyAlignment="1" applyProtection="1">
      <alignment horizontal="right"/>
    </xf>
    <xf numFmtId="0" fontId="2" fillId="0" borderId="3" xfId="44" applyNumberFormat="1" applyFont="1" applyFill="1" applyBorder="1" applyAlignment="1" applyProtection="1">
      <alignment horizontal="center" vertical="center" wrapText="1"/>
    </xf>
    <xf numFmtId="180" fontId="2" fillId="4" borderId="1" xfId="8" applyFont="1" applyFill="1" applyBorder="1" applyAlignment="1" applyProtection="1">
      <alignment horizontal="right" vertical="center" wrapText="1"/>
      <protection locked="0"/>
    </xf>
    <xf numFmtId="0" fontId="2" fillId="0" borderId="29" xfId="44" applyNumberFormat="1" applyFont="1" applyBorder="1" applyProtection="1"/>
    <xf numFmtId="0" fontId="2" fillId="0" borderId="29" xfId="44" applyNumberFormat="1" applyFont="1" applyBorder="1" applyAlignment="1" applyProtection="1">
      <alignment horizontal="right"/>
    </xf>
    <xf numFmtId="187" fontId="2" fillId="4" borderId="1" xfId="4" applyNumberFormat="1" applyFont="1" applyFill="1" applyBorder="1" applyProtection="1">
      <protection locked="0"/>
    </xf>
    <xf numFmtId="0" fontId="10" fillId="0" borderId="32" xfId="44" applyNumberFormat="1" applyFont="1" applyBorder="1" applyProtection="1"/>
    <xf numFmtId="0" fontId="2" fillId="0" borderId="3" xfId="44" applyNumberFormat="1" applyFont="1" applyBorder="1" applyAlignment="1" applyProtection="1">
      <alignment horizontal="right"/>
    </xf>
    <xf numFmtId="195" fontId="2" fillId="0" borderId="1" xfId="8" applyNumberFormat="1" applyFont="1" applyFill="1" applyBorder="1" applyProtection="1"/>
    <xf numFmtId="195" fontId="2" fillId="0" borderId="1" xfId="8" applyNumberFormat="1" applyFont="1" applyFill="1" applyBorder="1" applyAlignment="1" applyProtection="1">
      <alignment horizontal="right"/>
    </xf>
    <xf numFmtId="0" fontId="2" fillId="0" borderId="7" xfId="44" applyNumberFormat="1" applyFont="1" applyFill="1" applyBorder="1" applyProtection="1"/>
    <xf numFmtId="187" fontId="2" fillId="0" borderId="1" xfId="4" applyNumberFormat="1" applyFont="1" applyFill="1" applyBorder="1" applyProtection="1"/>
    <xf numFmtId="10" fontId="2" fillId="0" borderId="1" xfId="11" applyNumberFormat="1" applyFont="1" applyFill="1" applyBorder="1" applyAlignment="1" applyProtection="1">
      <alignment horizontal="center"/>
    </xf>
    <xf numFmtId="10" fontId="2" fillId="0" borderId="1" xfId="11" applyNumberFormat="1" applyFont="1" applyBorder="1" applyProtection="1"/>
    <xf numFmtId="10" fontId="5" fillId="4" borderId="1" xfId="11" applyNumberFormat="1" applyFont="1" applyFill="1" applyBorder="1" applyAlignment="1" applyProtection="1">
      <alignment horizontal="center"/>
      <protection locked="0"/>
    </xf>
    <xf numFmtId="0" fontId="2" fillId="0" borderId="1" xfId="44" applyNumberFormat="1" applyFont="1" applyFill="1" applyBorder="1" applyAlignment="1" applyProtection="1">
      <alignment horizontal="center"/>
    </xf>
    <xf numFmtId="195" fontId="5" fillId="0" borderId="1" xfId="8" applyNumberFormat="1" applyFont="1" applyFill="1" applyBorder="1" applyAlignment="1" applyProtection="1">
      <alignment horizontal="right"/>
    </xf>
    <xf numFmtId="0" fontId="2" fillId="0" borderId="8" xfId="44" applyNumberFormat="1" applyFont="1" applyFill="1" applyBorder="1" applyAlignment="1" applyProtection="1">
      <alignment horizontal="right"/>
    </xf>
    <xf numFmtId="0" fontId="2" fillId="0" borderId="4" xfId="44" applyNumberFormat="1" applyFont="1" applyFill="1" applyBorder="1" applyProtection="1"/>
    <xf numFmtId="179" fontId="2" fillId="4" borderId="1" xfId="11" applyNumberFormat="1" applyFont="1" applyFill="1" applyBorder="1" applyProtection="1">
      <protection locked="0"/>
    </xf>
    <xf numFmtId="0" fontId="10" fillId="0" borderId="32" xfId="44" applyNumberFormat="1" applyFont="1" applyFill="1" applyBorder="1" applyProtection="1"/>
    <xf numFmtId="0" fontId="2" fillId="0" borderId="30" xfId="44" applyNumberFormat="1" applyFont="1" applyFill="1" applyBorder="1" applyProtection="1"/>
    <xf numFmtId="9" fontId="2" fillId="0" borderId="1" xfId="11" applyFont="1" applyFill="1" applyBorder="1" applyProtection="1"/>
    <xf numFmtId="10" fontId="2" fillId="0" borderId="1" xfId="44" applyNumberFormat="1" applyFont="1" applyFill="1" applyBorder="1" applyProtection="1"/>
    <xf numFmtId="0" fontId="2" fillId="0" borderId="1" xfId="44" applyNumberFormat="1" applyFont="1" applyFill="1" applyBorder="1" applyAlignment="1" applyProtection="1">
      <alignment horizontal="right"/>
    </xf>
    <xf numFmtId="0" fontId="8" fillId="0" borderId="0" xfId="14" applyNumberFormat="1" applyFont="1" applyBorder="1" applyAlignment="1" applyProtection="1">
      <alignment horizontal="left"/>
    </xf>
    <xf numFmtId="0" fontId="18" fillId="3" borderId="0" xfId="44" applyNumberFormat="1" applyFont="1" applyFill="1" applyBorder="1" applyAlignment="1" applyProtection="1">
      <alignment horizontal="left"/>
    </xf>
    <xf numFmtId="181" fontId="6" fillId="3" borderId="0" xfId="44" applyFont="1" applyFill="1" applyBorder="1" applyProtection="1"/>
    <xf numFmtId="0" fontId="12" fillId="3" borderId="0" xfId="44" applyNumberFormat="1" applyFont="1" applyFill="1" applyBorder="1" applyAlignment="1" applyProtection="1">
      <alignment horizontal="center"/>
    </xf>
    <xf numFmtId="197" fontId="2" fillId="0" borderId="0" xfId="44" applyNumberFormat="1" applyFont="1" applyProtection="1"/>
    <xf numFmtId="181" fontId="19" fillId="3" borderId="0" xfId="44" applyFont="1" applyFill="1" applyBorder="1" applyProtection="1"/>
    <xf numFmtId="0" fontId="2" fillId="9" borderId="0" xfId="44" applyNumberFormat="1" applyFont="1" applyFill="1" applyBorder="1" applyAlignment="1" applyProtection="1">
      <alignment horizontal="right"/>
    </xf>
    <xf numFmtId="0" fontId="2" fillId="9" borderId="7" xfId="44" applyNumberFormat="1" applyFont="1" applyFill="1" applyBorder="1" applyAlignment="1" applyProtection="1">
      <alignment horizontal="center"/>
    </xf>
    <xf numFmtId="0" fontId="2" fillId="7" borderId="0" xfId="44" applyNumberFormat="1" applyFont="1" applyFill="1" applyAlignment="1" applyProtection="1">
      <alignment horizontal="center"/>
    </xf>
    <xf numFmtId="0" fontId="2" fillId="4" borderId="0" xfId="44" applyNumberFormat="1" applyFont="1" applyFill="1" applyBorder="1" applyAlignment="1" applyProtection="1">
      <alignment horizontal="right"/>
      <protection locked="0"/>
    </xf>
    <xf numFmtId="185" fontId="2" fillId="4" borderId="0" xfId="44" applyNumberFormat="1" applyFont="1" applyFill="1" applyBorder="1" applyAlignment="1" applyProtection="1">
      <alignment horizontal="center"/>
      <protection locked="0"/>
    </xf>
    <xf numFmtId="0" fontId="7" fillId="3" borderId="0" xfId="44" applyNumberFormat="1" applyFont="1" applyFill="1" applyBorder="1" applyAlignment="1" applyProtection="1">
      <alignment horizontal="center"/>
    </xf>
    <xf numFmtId="181" fontId="27" fillId="3" borderId="0" xfId="44" applyFont="1" applyFill="1" applyBorder="1" applyProtection="1"/>
    <xf numFmtId="0" fontId="28" fillId="3" borderId="0" xfId="44" applyNumberFormat="1" applyFont="1" applyFill="1" applyBorder="1" applyProtection="1"/>
    <xf numFmtId="0" fontId="28" fillId="3" borderId="0" xfId="44" applyNumberFormat="1" applyFont="1" applyFill="1" applyBorder="1" applyAlignment="1" applyProtection="1">
      <alignment horizontal="center"/>
    </xf>
    <xf numFmtId="0" fontId="3" fillId="3" borderId="0" xfId="44" applyNumberFormat="1" applyFont="1" applyFill="1" applyBorder="1" applyAlignment="1" applyProtection="1">
      <alignment horizontal="center"/>
    </xf>
    <xf numFmtId="0" fontId="28" fillId="0" borderId="0" xfId="44" applyNumberFormat="1" applyFont="1" applyFill="1" applyBorder="1" applyProtection="1"/>
    <xf numFmtId="0" fontId="3" fillId="0" borderId="8" xfId="44" applyNumberFormat="1" applyFont="1" applyBorder="1" applyProtection="1"/>
    <xf numFmtId="195" fontId="2" fillId="0" borderId="1" xfId="8" applyNumberFormat="1" applyFont="1" applyBorder="1" applyProtection="1"/>
    <xf numFmtId="9" fontId="2" fillId="4" borderId="1" xfId="44" applyNumberFormat="1" applyFont="1" applyFill="1" applyBorder="1" applyProtection="1"/>
    <xf numFmtId="10" fontId="2" fillId="0" borderId="1" xfId="44" applyNumberFormat="1" applyFont="1" applyBorder="1" applyProtection="1"/>
    <xf numFmtId="195" fontId="2" fillId="0" borderId="1" xfId="44" applyNumberFormat="1" applyFont="1" applyBorder="1" applyProtection="1"/>
    <xf numFmtId="0" fontId="2" fillId="0" borderId="0" xfId="44" applyNumberFormat="1" applyFont="1" applyFill="1" applyBorder="1" applyAlignment="1" applyProtection="1">
      <alignment wrapText="1"/>
    </xf>
    <xf numFmtId="181" fontId="5" fillId="0" borderId="0" xfId="44" applyFont="1" applyProtection="1"/>
    <xf numFmtId="181" fontId="12" fillId="0" borderId="0" xfId="44" applyFont="1" applyFill="1" applyBorder="1" applyProtection="1"/>
    <xf numFmtId="0" fontId="2" fillId="0" borderId="0" xfId="11" applyNumberFormat="1" applyFont="1" applyFill="1" applyBorder="1" applyAlignment="1" applyProtection="1">
      <alignment horizontal="center"/>
    </xf>
    <xf numFmtId="0" fontId="7" fillId="6" borderId="0" xfId="44" applyNumberFormat="1" applyFont="1" applyFill="1" applyBorder="1" applyAlignment="1" applyProtection="1">
      <alignment horizontal="center"/>
    </xf>
    <xf numFmtId="0" fontId="25" fillId="6" borderId="0" xfId="44" applyNumberFormat="1" applyFont="1" applyFill="1" applyBorder="1" applyProtection="1"/>
    <xf numFmtId="181" fontId="2" fillId="0" borderId="0" xfId="44" applyFont="1" applyAlignment="1" applyProtection="1">
      <alignment horizontal="right"/>
    </xf>
    <xf numFmtId="176" fontId="2" fillId="0" borderId="0" xfId="44" applyNumberFormat="1" applyFont="1" applyBorder="1" applyAlignment="1" applyProtection="1">
      <alignment horizontal="center"/>
    </xf>
    <xf numFmtId="0" fontId="25" fillId="0" borderId="0" xfId="44" applyNumberFormat="1" applyFont="1" applyFill="1" applyBorder="1" applyProtection="1"/>
    <xf numFmtId="0" fontId="1" fillId="0" borderId="0" xfId="44" applyNumberFormat="1" applyFont="1" applyFill="1" applyBorder="1" applyAlignment="1" applyProtection="1">
      <alignment horizontal="center"/>
    </xf>
    <xf numFmtId="176" fontId="1" fillId="0" borderId="0" xfId="44" applyNumberFormat="1" applyFill="1" applyBorder="1" applyProtection="1"/>
    <xf numFmtId="176" fontId="1" fillId="0" borderId="0" xfId="44" applyNumberFormat="1" applyBorder="1" applyProtection="1"/>
    <xf numFmtId="10" fontId="5" fillId="0" borderId="0" xfId="11" applyNumberFormat="1" applyFont="1" applyFill="1" applyBorder="1" applyAlignment="1" applyProtection="1">
      <alignment horizontal="center"/>
    </xf>
    <xf numFmtId="0" fontId="18" fillId="0" borderId="0" xfId="44" applyNumberFormat="1" applyFont="1" applyFill="1" applyAlignment="1" applyProtection="1">
      <alignment horizontal="center"/>
    </xf>
    <xf numFmtId="0" fontId="18" fillId="0" borderId="0" xfId="44" applyNumberFormat="1" applyFont="1" applyFill="1" applyBorder="1" applyProtection="1"/>
    <xf numFmtId="181" fontId="6" fillId="0" borderId="0" xfId="44" applyFont="1" applyFill="1" applyBorder="1" applyProtection="1"/>
    <xf numFmtId="0" fontId="29" fillId="0" borderId="0" xfId="44" applyNumberFormat="1" applyFont="1" applyBorder="1" applyAlignment="1" applyProtection="1">
      <alignment horizontal="left"/>
    </xf>
    <xf numFmtId="181" fontId="8" fillId="0" borderId="0" xfId="44" applyFont="1" applyFill="1" applyBorder="1" applyAlignment="1" applyProtection="1">
      <alignment horizontal="center"/>
    </xf>
    <xf numFmtId="181" fontId="8" fillId="0" borderId="0" xfId="44" applyFont="1" applyFill="1" applyBorder="1" applyProtection="1"/>
    <xf numFmtId="181" fontId="1" fillId="0" borderId="0" xfId="44" applyFont="1" applyFill="1" applyBorder="1" applyProtection="1"/>
    <xf numFmtId="181" fontId="3" fillId="0" borderId="0" xfId="44" applyFont="1" applyFill="1" applyBorder="1" applyAlignment="1" applyProtection="1">
      <alignment horizontal="center"/>
    </xf>
    <xf numFmtId="181" fontId="3" fillId="0" borderId="0" xfId="44" applyFont="1" applyFill="1" applyBorder="1" applyProtection="1"/>
    <xf numFmtId="181" fontId="3" fillId="0" borderId="0" xfId="44" applyFont="1" applyFill="1" applyBorder="1" applyAlignment="1" applyProtection="1">
      <alignment horizontal="left"/>
    </xf>
    <xf numFmtId="181" fontId="2" fillId="0" borderId="0" xfId="44" applyFont="1" applyFill="1" applyBorder="1" applyAlignment="1" applyProtection="1">
      <alignment horizontal="left"/>
    </xf>
    <xf numFmtId="181" fontId="2" fillId="0" borderId="0" xfId="44" applyFont="1" applyFill="1" applyBorder="1" applyAlignment="1" applyProtection="1">
      <alignment horizontal="center"/>
    </xf>
    <xf numFmtId="178" fontId="3" fillId="0" borderId="0" xfId="52" applyFont="1" applyFill="1" applyBorder="1" applyAlignment="1" applyProtection="1">
      <alignment horizontal="center"/>
    </xf>
    <xf numFmtId="193" fontId="2" fillId="0" borderId="0" xfId="52" applyNumberFormat="1" applyFont="1" applyFill="1" applyBorder="1" applyProtection="1"/>
    <xf numFmtId="193" fontId="2" fillId="0" borderId="0" xfId="52" applyNumberFormat="1" applyFont="1" applyFill="1" applyBorder="1" applyAlignment="1" applyProtection="1">
      <alignment horizontal="center"/>
    </xf>
    <xf numFmtId="38" fontId="2" fillId="0" borderId="0" xfId="14" applyNumberFormat="1" applyFont="1" applyFill="1" applyBorder="1" applyAlignment="1" applyProtection="1">
      <alignment horizontal="center"/>
    </xf>
    <xf numFmtId="2" fontId="2" fillId="0" borderId="0" xfId="44" applyNumberFormat="1" applyFont="1" applyFill="1" applyBorder="1" applyAlignment="1" applyProtection="1">
      <alignment horizontal="center"/>
    </xf>
    <xf numFmtId="193" fontId="2" fillId="0" borderId="0" xfId="44" applyNumberFormat="1" applyFont="1" applyFill="1" applyBorder="1" applyProtection="1"/>
    <xf numFmtId="9" fontId="30" fillId="0" borderId="0" xfId="44" applyNumberFormat="1" applyFont="1" applyFill="1" applyBorder="1" applyAlignment="1" applyProtection="1">
      <alignment horizontal="left"/>
    </xf>
    <xf numFmtId="0" fontId="22" fillId="0" borderId="0" xfId="53" applyNumberFormat="1" applyFont="1" applyFill="1" applyBorder="1" applyProtection="1"/>
    <xf numFmtId="0" fontId="2" fillId="0" borderId="0" xfId="52" applyNumberFormat="1" applyFont="1" applyFill="1" applyBorder="1" applyAlignment="1" applyProtection="1"/>
    <xf numFmtId="0" fontId="2" fillId="0" borderId="0" xfId="52" applyNumberFormat="1" applyFont="1" applyFill="1" applyBorder="1" applyProtection="1"/>
    <xf numFmtId="181" fontId="2" fillId="0" borderId="0" xfId="44" applyFont="1" applyFill="1" applyBorder="1" applyAlignment="1" applyProtection="1">
      <alignment horizontal="right"/>
    </xf>
    <xf numFmtId="40" fontId="2" fillId="0" borderId="0" xfId="14" applyFont="1" applyFill="1" applyBorder="1" applyAlignment="1" applyProtection="1">
      <alignment horizontal="center"/>
    </xf>
    <xf numFmtId="0" fontId="0" fillId="0" borderId="0" xfId="0" applyFill="1"/>
    <xf numFmtId="2" fontId="0" fillId="0" borderId="0" xfId="0" applyNumberFormat="1"/>
    <xf numFmtId="1" fontId="0" fillId="0" borderId="0" xfId="0" applyNumberFormat="1"/>
    <xf numFmtId="0" fontId="31" fillId="0" borderId="0" xfId="0" applyFont="1"/>
    <xf numFmtId="176" fontId="18" fillId="10" borderId="0" xfId="0" applyNumberFormat="1" applyFont="1" applyFill="1" applyAlignment="1">
      <alignment horizontal="center"/>
    </xf>
    <xf numFmtId="0" fontId="18" fillId="10" borderId="0" xfId="0" applyFont="1" applyFill="1"/>
    <xf numFmtId="0" fontId="31" fillId="10" borderId="0" xfId="0" applyFont="1" applyFill="1"/>
    <xf numFmtId="0" fontId="0" fillId="10" borderId="0" xfId="0" applyFill="1"/>
    <xf numFmtId="0" fontId="31" fillId="0" borderId="1" xfId="0" applyFont="1" applyBorder="1" applyAlignment="1">
      <alignment horizontal="center"/>
    </xf>
    <xf numFmtId="0" fontId="31" fillId="0" borderId="1" xfId="0" applyFont="1" applyBorder="1"/>
    <xf numFmtId="0" fontId="32" fillId="0" borderId="1" xfId="0" applyFont="1" applyFill="1" applyBorder="1" applyAlignment="1">
      <alignment horizontal="center"/>
    </xf>
    <xf numFmtId="0" fontId="33" fillId="0" borderId="1" xfId="0" applyFont="1" applyFill="1" applyBorder="1" applyAlignment="1">
      <alignment horizontal="center"/>
    </xf>
    <xf numFmtId="0" fontId="0" fillId="0" borderId="1" xfId="0" applyBorder="1" applyAlignment="1">
      <alignment horizontal="center"/>
    </xf>
    <xf numFmtId="0" fontId="34" fillId="0" borderId="1" xfId="0" applyFont="1" applyBorder="1" applyAlignment="1">
      <alignment horizontal="center"/>
    </xf>
    <xf numFmtId="0" fontId="0" fillId="0" borderId="1" xfId="0" applyFont="1" applyBorder="1" applyAlignment="1">
      <alignment horizontal="center"/>
    </xf>
    <xf numFmtId="0" fontId="0" fillId="0" borderId="8" xfId="0" applyBorder="1" applyAlignment="1">
      <alignment horizontal="center"/>
    </xf>
    <xf numFmtId="0" fontId="34" fillId="0" borderId="8" xfId="0" applyFont="1" applyBorder="1" applyAlignment="1">
      <alignment horizontal="center"/>
    </xf>
    <xf numFmtId="0" fontId="31" fillId="0" borderId="8" xfId="0" applyFont="1" applyBorder="1" applyAlignment="1">
      <alignment horizontal="center"/>
    </xf>
    <xf numFmtId="0" fontId="0" fillId="0" borderId="8" xfId="0" applyFont="1" applyBorder="1" applyAlignment="1">
      <alignment horizontal="center"/>
    </xf>
    <xf numFmtId="2" fontId="34" fillId="4" borderId="29" xfId="0" applyNumberFormat="1" applyFont="1" applyFill="1" applyBorder="1" applyAlignment="1">
      <alignment horizontal="center"/>
    </xf>
    <xf numFmtId="188" fontId="34" fillId="4" borderId="29" xfId="0" applyNumberFormat="1" applyFont="1" applyFill="1" applyBorder="1" applyAlignment="1">
      <alignment horizontal="center"/>
    </xf>
    <xf numFmtId="2" fontId="34" fillId="4" borderId="0" xfId="0" applyNumberFormat="1" applyFont="1" applyFill="1" applyBorder="1" applyAlignment="1">
      <alignment horizontal="center"/>
    </xf>
    <xf numFmtId="188" fontId="34" fillId="4" borderId="0" xfId="0" applyNumberFormat="1" applyFont="1" applyFill="1" applyBorder="1" applyAlignment="1">
      <alignment horizontal="center"/>
    </xf>
    <xf numFmtId="0" fontId="35" fillId="0" borderId="0" xfId="0" applyFont="1"/>
    <xf numFmtId="176" fontId="0" fillId="0" borderId="0" xfId="0" applyNumberFormat="1"/>
    <xf numFmtId="0" fontId="19" fillId="10" borderId="0" xfId="0" applyFont="1" applyFill="1"/>
    <xf numFmtId="176" fontId="18" fillId="0" borderId="0" xfId="0" applyNumberFormat="1" applyFont="1" applyFill="1" applyAlignment="1">
      <alignment horizontal="center"/>
    </xf>
    <xf numFmtId="0" fontId="18" fillId="0" borderId="0" xfId="0" applyFont="1" applyFill="1"/>
    <xf numFmtId="0" fontId="36" fillId="0" borderId="0" xfId="0" applyFont="1" applyFill="1" applyAlignment="1">
      <alignment horizontal="center"/>
    </xf>
    <xf numFmtId="0" fontId="32" fillId="0" borderId="0" xfId="0" applyFont="1" applyFill="1" applyAlignment="1">
      <alignment horizontal="center"/>
    </xf>
    <xf numFmtId="0" fontId="37" fillId="0" borderId="0" xfId="0" applyFont="1" applyFill="1" applyAlignment="1">
      <alignment horizontal="center"/>
    </xf>
    <xf numFmtId="0" fontId="38" fillId="11" borderId="0" xfId="0" applyFont="1" applyFill="1"/>
    <xf numFmtId="0" fontId="38" fillId="11" borderId="6" xfId="0" applyFont="1" applyFill="1" applyBorder="1"/>
    <xf numFmtId="0" fontId="11" fillId="0" borderId="0" xfId="0" applyFont="1"/>
    <xf numFmtId="0" fontId="0" fillId="0" borderId="0" xfId="0" applyBorder="1"/>
    <xf numFmtId="0" fontId="0" fillId="0" borderId="6" xfId="0" applyBorder="1"/>
    <xf numFmtId="0" fontId="38" fillId="0" borderId="0" xfId="0" applyFont="1"/>
    <xf numFmtId="0" fontId="38" fillId="0" borderId="6" xfId="0" applyFont="1" applyBorder="1"/>
    <xf numFmtId="179" fontId="0" fillId="0" borderId="1" xfId="0" applyNumberFormat="1" applyBorder="1" applyAlignment="1">
      <alignment horizontal="center"/>
    </xf>
    <xf numFmtId="179" fontId="0" fillId="0" borderId="8" xfId="0" applyNumberFormat="1" applyBorder="1" applyAlignment="1">
      <alignment horizontal="center"/>
    </xf>
    <xf numFmtId="179" fontId="0" fillId="0" borderId="0" xfId="0" applyNumberFormat="1"/>
    <xf numFmtId="0" fontId="36" fillId="0" borderId="0" xfId="0" applyFont="1" applyFill="1" applyAlignment="1"/>
    <xf numFmtId="0" fontId="11" fillId="0" borderId="0" xfId="0" applyFont="1" applyFill="1"/>
    <xf numFmtId="0" fontId="38" fillId="11" borderId="6" xfId="0" applyNumberFormat="1" applyFont="1" applyFill="1" applyBorder="1"/>
    <xf numFmtId="0" fontId="38" fillId="0" borderId="6" xfId="0" applyNumberFormat="1" applyFont="1" applyBorder="1"/>
    <xf numFmtId="0" fontId="8" fillId="11" borderId="6" xfId="44" applyNumberFormat="1" applyFont="1" applyFill="1" applyBorder="1"/>
    <xf numFmtId="10" fontId="0" fillId="0" borderId="0" xfId="0" applyNumberFormat="1"/>
    <xf numFmtId="10" fontId="38" fillId="0" borderId="6" xfId="0" applyNumberFormat="1" applyFont="1" applyBorder="1"/>
    <xf numFmtId="0" fontId="38" fillId="0" borderId="0" xfId="0" applyFont="1" applyFill="1"/>
    <xf numFmtId="0" fontId="38" fillId="0" borderId="6" xfId="0" applyNumberFormat="1" applyFont="1" applyFill="1" applyBorder="1"/>
    <xf numFmtId="10" fontId="0" fillId="0" borderId="0" xfId="0" applyNumberFormat="1" applyFill="1"/>
    <xf numFmtId="10" fontId="38" fillId="0" borderId="6" xfId="0" applyNumberFormat="1" applyFont="1" applyFill="1" applyBorder="1"/>
    <xf numFmtId="10" fontId="38" fillId="0" borderId="0" xfId="0" applyNumberFormat="1" applyFont="1" applyFill="1"/>
    <xf numFmtId="0" fontId="38" fillId="0" borderId="6" xfId="0" applyFont="1" applyFill="1" applyBorder="1"/>
    <xf numFmtId="0" fontId="39" fillId="11" borderId="6" xfId="44" applyNumberFormat="1" applyFont="1" applyFill="1" applyBorder="1" applyAlignment="1">
      <alignment horizontal="left"/>
    </xf>
    <xf numFmtId="0" fontId="39" fillId="0" borderId="6" xfId="44" applyNumberFormat="1" applyFont="1" applyFill="1" applyBorder="1" applyAlignment="1">
      <alignment horizontal="left" vertical="center"/>
    </xf>
    <xf numFmtId="0" fontId="0" fillId="0" borderId="0" xfId="0" applyFont="1" applyFill="1"/>
    <xf numFmtId="0" fontId="0" fillId="0" borderId="6" xfId="0" applyFont="1" applyFill="1" applyBorder="1"/>
    <xf numFmtId="0" fontId="2" fillId="0" borderId="0" xfId="44" applyNumberFormat="1" applyFont="1" applyBorder="1" applyAlignment="1">
      <alignment horizontal="left"/>
    </xf>
    <xf numFmtId="0" fontId="0" fillId="0" borderId="0" xfId="0" applyFont="1"/>
    <xf numFmtId="0" fontId="18" fillId="10" borderId="0" xfId="0" applyFont="1" applyFill="1" applyAlignment="1">
      <alignment horizontal="center"/>
    </xf>
    <xf numFmtId="0" fontId="7" fillId="0" borderId="0" xfId="44" applyNumberFormat="1" applyFont="1" applyFill="1" applyAlignment="1">
      <alignment horizontal="center" vertical="center"/>
    </xf>
    <xf numFmtId="0" fontId="7" fillId="0" borderId="0" xfId="44" applyNumberFormat="1" applyFont="1" applyFill="1" applyAlignment="1">
      <alignment horizontal="left"/>
    </xf>
    <xf numFmtId="0" fontId="2" fillId="0" borderId="2" xfId="44" applyNumberFormat="1" applyFont="1" applyBorder="1"/>
    <xf numFmtId="0" fontId="3" fillId="0" borderId="33" xfId="44" applyNumberFormat="1" applyFont="1" applyBorder="1" applyAlignment="1">
      <alignment horizontal="center"/>
    </xf>
    <xf numFmtId="0" fontId="3" fillId="0" borderId="0" xfId="44" applyNumberFormat="1" applyFont="1" applyFill="1" applyBorder="1" applyAlignment="1">
      <alignment horizontal="center"/>
    </xf>
    <xf numFmtId="0" fontId="13" fillId="0" borderId="0" xfId="44" applyNumberFormat="1" applyFont="1" applyBorder="1" applyAlignment="1">
      <alignment horizontal="center"/>
    </xf>
    <xf numFmtId="186" fontId="2" fillId="0" borderId="34" xfId="44" applyNumberFormat="1" applyFont="1" applyBorder="1" applyAlignment="1"/>
    <xf numFmtId="186" fontId="2" fillId="0" borderId="35" xfId="44" applyNumberFormat="1" applyFont="1" applyBorder="1"/>
    <xf numFmtId="0" fontId="2" fillId="0" borderId="0" xfId="44" applyNumberFormat="1" applyFont="1" applyFill="1" applyBorder="1" applyAlignment="1"/>
    <xf numFmtId="0" fontId="2" fillId="0" borderId="0" xfId="14" applyNumberFormat="1" applyFont="1" applyFill="1" applyBorder="1" applyAlignment="1"/>
    <xf numFmtId="186" fontId="2" fillId="0" borderId="35" xfId="44" applyNumberFormat="1" applyFont="1" applyBorder="1" applyAlignment="1"/>
    <xf numFmtId="38" fontId="2" fillId="0" borderId="0" xfId="14" applyNumberFormat="1" applyFont="1" applyBorder="1" applyAlignment="1">
      <alignment horizontal="left"/>
    </xf>
    <xf numFmtId="186" fontId="2" fillId="0" borderId="35" xfId="14" applyNumberFormat="1" applyFont="1" applyBorder="1" applyAlignment="1"/>
    <xf numFmtId="38" fontId="2" fillId="0" borderId="0" xfId="14" applyNumberFormat="1" applyFont="1" applyFill="1" applyBorder="1" applyAlignment="1"/>
    <xf numFmtId="193" fontId="2" fillId="0" borderId="0" xfId="52" applyNumberFormat="1" applyFont="1" applyFill="1" applyBorder="1" applyAlignment="1"/>
    <xf numFmtId="38" fontId="2" fillId="0" borderId="0" xfId="14" applyNumberFormat="1" applyFont="1"/>
    <xf numFmtId="186" fontId="2" fillId="0" borderId="35" xfId="14" applyNumberFormat="1" applyFont="1" applyFill="1" applyBorder="1" applyAlignment="1">
      <alignment horizontal="center"/>
    </xf>
    <xf numFmtId="186" fontId="2" fillId="0" borderId="35" xfId="44" applyNumberFormat="1" applyFont="1" applyBorder="1" applyAlignment="1">
      <alignment horizontal="center"/>
    </xf>
    <xf numFmtId="193" fontId="3" fillId="0" borderId="0" xfId="44" applyNumberFormat="1" applyFont="1" applyBorder="1" applyAlignment="1">
      <alignment horizontal="left"/>
    </xf>
    <xf numFmtId="0" fontId="2" fillId="0" borderId="0" xfId="52" applyNumberFormat="1" applyFont="1" applyFill="1" applyBorder="1" applyAlignment="1"/>
    <xf numFmtId="0" fontId="2" fillId="0" borderId="0" xfId="44" applyNumberFormat="1" applyFont="1" applyBorder="1"/>
    <xf numFmtId="186" fontId="2" fillId="0" borderId="35" xfId="44" applyNumberFormat="1" applyFont="1" applyFill="1" applyBorder="1" applyAlignment="1"/>
    <xf numFmtId="186" fontId="3" fillId="0" borderId="35" xfId="44" applyNumberFormat="1" applyFont="1" applyBorder="1" applyAlignment="1"/>
    <xf numFmtId="190" fontId="2" fillId="0" borderId="0" xfId="4" applyNumberFormat="1" applyFont="1" applyFill="1" applyBorder="1" applyAlignment="1"/>
    <xf numFmtId="0" fontId="2" fillId="0" borderId="0" xfId="14" applyNumberFormat="1" applyFont="1"/>
    <xf numFmtId="0" fontId="3" fillId="0" borderId="0" xfId="44" applyNumberFormat="1" applyFont="1" applyBorder="1" applyAlignment="1">
      <alignment horizontal="left"/>
    </xf>
    <xf numFmtId="0" fontId="2" fillId="0" borderId="35" xfId="44" applyNumberFormat="1" applyFont="1" applyBorder="1" applyAlignment="1"/>
    <xf numFmtId="193" fontId="3" fillId="0" borderId="0" xfId="44" applyNumberFormat="1" applyFont="1" applyBorder="1" applyAlignment="1"/>
    <xf numFmtId="178" fontId="3" fillId="0" borderId="0" xfId="44" applyNumberFormat="1" applyFont="1" applyBorder="1" applyAlignment="1"/>
    <xf numFmtId="193" fontId="2" fillId="0" borderId="0" xfId="52" applyNumberFormat="1" applyFont="1" applyFill="1" applyBorder="1"/>
    <xf numFmtId="0" fontId="3" fillId="0" borderId="0" xfId="44" applyNumberFormat="1" applyFont="1" applyBorder="1"/>
    <xf numFmtId="0" fontId="3" fillId="0" borderId="0" xfId="44" applyNumberFormat="1" applyFont="1" applyBorder="1" applyAlignment="1">
      <alignment horizontal="center"/>
    </xf>
    <xf numFmtId="0" fontId="8" fillId="0" borderId="0" xfId="44" applyNumberFormat="1" applyFont="1" applyFill="1" applyBorder="1" applyAlignment="1">
      <alignment horizontal="left"/>
    </xf>
    <xf numFmtId="0" fontId="8" fillId="0" borderId="0" xfId="44" applyNumberFormat="1" applyFont="1" applyFill="1" applyBorder="1" applyAlignment="1">
      <alignment horizontal="center"/>
    </xf>
    <xf numFmtId="0" fontId="2" fillId="0" borderId="0" xfId="52" applyNumberFormat="1" applyFont="1" applyFill="1" applyBorder="1"/>
    <xf numFmtId="0" fontId="7" fillId="0" borderId="0" xfId="44" applyNumberFormat="1" applyFont="1" applyFill="1" applyBorder="1" applyAlignment="1">
      <alignment horizontal="center"/>
    </xf>
    <xf numFmtId="0" fontId="40" fillId="0" borderId="0" xfId="0" applyFont="1"/>
    <xf numFmtId="0" fontId="1" fillId="0" borderId="0" xfId="44" applyNumberFormat="1" applyFont="1" applyFill="1" applyBorder="1" applyAlignment="1">
      <alignment horizontal="center"/>
    </xf>
    <xf numFmtId="0" fontId="1" fillId="0" borderId="0" xfId="44" applyNumberFormat="1" applyFont="1" applyFill="1" applyBorder="1" applyAlignment="1">
      <alignment horizontal="left"/>
    </xf>
    <xf numFmtId="0" fontId="1" fillId="0" borderId="0" xfId="44" applyNumberFormat="1" applyFont="1" applyFill="1" applyBorder="1"/>
    <xf numFmtId="0" fontId="2" fillId="0" borderId="0" xfId="44" applyNumberFormat="1" applyFont="1" applyFill="1" applyBorder="1" applyAlignment="1">
      <alignment horizontal="center" vertical="center"/>
    </xf>
    <xf numFmtId="0" fontId="8" fillId="0" borderId="0" xfId="44" applyNumberFormat="1" applyFont="1" applyFill="1" applyBorder="1"/>
    <xf numFmtId="0" fontId="3" fillId="0" borderId="0" xfId="44" applyNumberFormat="1" applyFont="1" applyFill="1" applyBorder="1" applyAlignment="1">
      <alignment horizontal="center" vertical="center"/>
    </xf>
    <xf numFmtId="0" fontId="41" fillId="0" borderId="0" xfId="44" applyNumberFormat="1" applyFont="1" applyFill="1" applyBorder="1" applyAlignment="1">
      <alignment horizontal="center"/>
    </xf>
    <xf numFmtId="178" fontId="2" fillId="0" borderId="0" xfId="52" applyFont="1" applyFill="1" applyBorder="1" applyAlignment="1"/>
    <xf numFmtId="38" fontId="1" fillId="0" borderId="0" xfId="14" applyNumberFormat="1" applyFont="1" applyFill="1" applyBorder="1" applyAlignment="1">
      <alignment horizontal="left"/>
    </xf>
    <xf numFmtId="0" fontId="28" fillId="0" borderId="0" xfId="44" applyNumberFormat="1" applyFont="1" applyFill="1" applyBorder="1" applyAlignment="1">
      <alignment horizontal="left"/>
    </xf>
    <xf numFmtId="0" fontId="28" fillId="0" borderId="0" xfId="14" applyNumberFormat="1" applyFont="1" applyFill="1" applyBorder="1" applyAlignment="1">
      <alignment horizontal="left"/>
    </xf>
    <xf numFmtId="0" fontId="42" fillId="0" borderId="0" xfId="0" applyFont="1"/>
    <xf numFmtId="193" fontId="28" fillId="0" borderId="0" xfId="52" applyNumberFormat="1" applyFont="1" applyFill="1" applyBorder="1" applyAlignment="1"/>
    <xf numFmtId="9" fontId="0" fillId="0" borderId="0" xfId="0" applyNumberFormat="1"/>
    <xf numFmtId="0" fontId="0" fillId="0" borderId="36" xfId="0" applyFill="1" applyBorder="1"/>
    <xf numFmtId="0" fontId="0" fillId="0" borderId="0" xfId="0" applyFill="1" applyBorder="1"/>
    <xf numFmtId="0" fontId="0" fillId="12" borderId="19" xfId="0" applyNumberFormat="1" applyFill="1" applyBorder="1"/>
    <xf numFmtId="0" fontId="0" fillId="0" borderId="0" xfId="0" applyNumberFormat="1"/>
    <xf numFmtId="3" fontId="0" fillId="0" borderId="0" xfId="0" applyNumberFormat="1"/>
    <xf numFmtId="184" fontId="0" fillId="0" borderId="0" xfId="0" applyNumberFormat="1"/>
    <xf numFmtId="0" fontId="0" fillId="0" borderId="0" xfId="0" applyNumberFormat="1" applyFill="1"/>
    <xf numFmtId="0" fontId="32" fillId="0" borderId="3" xfId="0" applyFont="1" applyBorder="1" applyAlignment="1">
      <alignment horizontal="left"/>
    </xf>
    <xf numFmtId="0" fontId="43" fillId="13" borderId="6" xfId="0" applyFont="1" applyFill="1" applyBorder="1" applyAlignment="1">
      <alignment horizontal="right"/>
    </xf>
    <xf numFmtId="0" fontId="3" fillId="4" borderId="27" xfId="44" applyNumberFormat="1" applyFont="1" applyFill="1" applyBorder="1" applyAlignment="1">
      <alignment horizontal="center"/>
    </xf>
    <xf numFmtId="0" fontId="3" fillId="14" borderId="1" xfId="44" applyNumberFormat="1" applyFont="1" applyFill="1" applyBorder="1" applyAlignment="1">
      <alignment horizontal="center"/>
    </xf>
    <xf numFmtId="0" fontId="3" fillId="15" borderId="1" xfId="44" applyNumberFormat="1" applyFont="1" applyFill="1" applyBorder="1" applyAlignment="1">
      <alignment horizontal="center"/>
    </xf>
    <xf numFmtId="0" fontId="3" fillId="16" borderId="1" xfId="44" applyNumberFormat="1" applyFont="1" applyFill="1" applyBorder="1" applyAlignment="1">
      <alignment horizontal="center"/>
    </xf>
    <xf numFmtId="0" fontId="3" fillId="17" borderId="1" xfId="44" applyNumberFormat="1" applyFont="1" applyFill="1" applyBorder="1" applyAlignment="1">
      <alignment horizontal="center"/>
    </xf>
    <xf numFmtId="0" fontId="3" fillId="18" borderId="1" xfId="44" applyNumberFormat="1" applyFont="1" applyFill="1" applyBorder="1" applyAlignment="1">
      <alignment horizontal="center"/>
    </xf>
    <xf numFmtId="40" fontId="3" fillId="0" borderId="36" xfId="14" applyFont="1" applyBorder="1" applyAlignment="1">
      <alignment horizontal="center"/>
    </xf>
    <xf numFmtId="0" fontId="44" fillId="0" borderId="37" xfId="44" applyNumberFormat="1" applyFont="1" applyFill="1" applyBorder="1" applyAlignment="1">
      <alignment horizontal="left"/>
    </xf>
    <xf numFmtId="0" fontId="3" fillId="13" borderId="36" xfId="44" applyNumberFormat="1" applyFont="1" applyFill="1" applyBorder="1"/>
    <xf numFmtId="0" fontId="3" fillId="4" borderId="36" xfId="44" applyNumberFormat="1" applyFont="1" applyFill="1" applyBorder="1"/>
    <xf numFmtId="0" fontId="3" fillId="0" borderId="36" xfId="44" applyNumberFormat="1" applyFont="1" applyFill="1" applyBorder="1"/>
    <xf numFmtId="40" fontId="3" fillId="0" borderId="0" xfId="14" applyFont="1" applyFill="1" applyBorder="1" applyAlignment="1">
      <alignment horizontal="center"/>
    </xf>
    <xf numFmtId="0" fontId="45" fillId="0" borderId="6" xfId="44" applyNumberFormat="1" applyFont="1" applyFill="1" applyBorder="1" applyAlignment="1">
      <alignment horizontal="left"/>
    </xf>
    <xf numFmtId="0" fontId="38" fillId="12" borderId="19" xfId="0" applyNumberFormat="1" applyFont="1" applyFill="1" applyBorder="1" applyAlignment="1">
      <alignment horizontal="right"/>
    </xf>
    <xf numFmtId="0" fontId="43" fillId="12" borderId="27" xfId="0" applyNumberFormat="1" applyFont="1" applyFill="1" applyBorder="1"/>
    <xf numFmtId="0" fontId="38" fillId="0" borderId="0" xfId="0" applyNumberFormat="1" applyFont="1"/>
    <xf numFmtId="38" fontId="0" fillId="0" borderId="0" xfId="0" applyNumberFormat="1"/>
    <xf numFmtId="183" fontId="0" fillId="0" borderId="0" xfId="0" applyNumberFormat="1"/>
    <xf numFmtId="0" fontId="38" fillId="12" borderId="27" xfId="0" applyNumberFormat="1" applyFont="1" applyFill="1" applyBorder="1"/>
    <xf numFmtId="191" fontId="0" fillId="12" borderId="19" xfId="0" applyNumberFormat="1" applyFill="1" applyBorder="1"/>
    <xf numFmtId="0" fontId="0" fillId="4" borderId="0" xfId="0" applyFill="1"/>
    <xf numFmtId="0" fontId="3" fillId="19" borderId="1" xfId="44" applyNumberFormat="1" applyFont="1" applyFill="1" applyBorder="1" applyAlignment="1">
      <alignment horizontal="center"/>
    </xf>
    <xf numFmtId="0" fontId="3" fillId="20" borderId="1" xfId="44" applyNumberFormat="1" applyFont="1" applyFill="1" applyBorder="1" applyAlignment="1">
      <alignment horizontal="center"/>
    </xf>
    <xf numFmtId="0" fontId="0" fillId="21" borderId="0" xfId="0" applyFill="1"/>
    <xf numFmtId="0" fontId="0" fillId="22" borderId="0" xfId="0" applyFill="1"/>
    <xf numFmtId="0" fontId="0" fillId="23" borderId="0" xfId="0" applyFill="1"/>
    <xf numFmtId="0" fontId="0" fillId="20" borderId="0" xfId="0" applyFill="1"/>
    <xf numFmtId="0" fontId="0" fillId="24" borderId="0" xfId="0" applyFill="1"/>
    <xf numFmtId="176" fontId="38" fillId="0" borderId="0" xfId="0" applyNumberFormat="1" applyFont="1"/>
    <xf numFmtId="197" fontId="0" fillId="0" borderId="0" xfId="0" applyNumberFormat="1"/>
    <xf numFmtId="197" fontId="0" fillId="4" borderId="0" xfId="0" applyNumberFormat="1" applyFill="1"/>
    <xf numFmtId="197" fontId="0" fillId="15" borderId="0" xfId="0" applyNumberFormat="1" applyFill="1"/>
    <xf numFmtId="0" fontId="0" fillId="4" borderId="0" xfId="0" applyNumberFormat="1" applyFill="1"/>
    <xf numFmtId="0" fontId="0" fillId="15" borderId="0" xfId="0" applyNumberFormat="1" applyFill="1"/>
    <xf numFmtId="0" fontId="8" fillId="0" borderId="6" xfId="44" applyNumberFormat="1" applyFont="1" applyBorder="1"/>
    <xf numFmtId="197" fontId="0" fillId="22" borderId="0" xfId="0" applyNumberFormat="1" applyFill="1"/>
    <xf numFmtId="0" fontId="0" fillId="23" borderId="0" xfId="0" applyNumberFormat="1" applyFill="1"/>
    <xf numFmtId="0" fontId="0" fillId="21" borderId="0" xfId="0" applyNumberFormat="1" applyFill="1"/>
    <xf numFmtId="0" fontId="0" fillId="25" borderId="0" xfId="0" applyNumberFormat="1" applyFill="1"/>
    <xf numFmtId="0" fontId="0" fillId="26" borderId="0" xfId="0" applyNumberFormat="1" applyFill="1"/>
    <xf numFmtId="0" fontId="0" fillId="23" borderId="0" xfId="0" applyFill="1"/>
    <xf numFmtId="0" fontId="0" fillId="25" borderId="0" xfId="0" applyFill="1"/>
    <xf numFmtId="0" fontId="0" fillId="22" borderId="0" xfId="0" applyNumberFormat="1" applyFill="1"/>
    <xf numFmtId="0" fontId="38" fillId="0" borderId="0" xfId="0" applyNumberFormat="1" applyFont="1" applyFill="1"/>
    <xf numFmtId="197" fontId="0" fillId="14" borderId="0" xfId="0" applyNumberFormat="1" applyFill="1"/>
    <xf numFmtId="197" fontId="0" fillId="16" borderId="0" xfId="0" applyNumberFormat="1" applyFill="1"/>
    <xf numFmtId="0" fontId="0" fillId="16" borderId="0" xfId="0" applyNumberFormat="1" applyFill="1"/>
    <xf numFmtId="2" fontId="38" fillId="0" borderId="0" xfId="0" applyNumberFormat="1" applyFont="1"/>
    <xf numFmtId="188" fontId="38" fillId="0" borderId="0" xfId="0" applyNumberFormat="1" applyFont="1"/>
    <xf numFmtId="10" fontId="0" fillId="4" borderId="0" xfId="0" applyNumberFormat="1" applyFill="1"/>
    <xf numFmtId="0" fontId="0" fillId="26" borderId="0" xfId="0" applyFill="1"/>
    <xf numFmtId="0" fontId="0" fillId="27" borderId="0" xfId="0" applyNumberFormat="1" applyFill="1"/>
    <xf numFmtId="0" fontId="0" fillId="28" borderId="0" xfId="0" applyNumberFormat="1" applyFill="1"/>
    <xf numFmtId="0" fontId="0" fillId="25" borderId="0" xfId="0" applyNumberFormat="1" applyFill="1"/>
    <xf numFmtId="0" fontId="0" fillId="28" borderId="0" xfId="0" applyFill="1"/>
    <xf numFmtId="197" fontId="0" fillId="27" borderId="0" xfId="0" applyNumberFormat="1" applyFill="1"/>
    <xf numFmtId="0" fontId="0" fillId="29" borderId="0" xfId="0" applyNumberFormat="1" applyFill="1"/>
    <xf numFmtId="0" fontId="0" fillId="29" borderId="0" xfId="0" applyFill="1"/>
    <xf numFmtId="10" fontId="0" fillId="21" borderId="0" xfId="0" applyNumberFormat="1" applyFill="1"/>
    <xf numFmtId="2" fontId="0" fillId="14" borderId="0" xfId="0" applyNumberFormat="1" applyFill="1"/>
    <xf numFmtId="0" fontId="0" fillId="14" borderId="0" xfId="0" applyNumberFormat="1" applyFill="1"/>
    <xf numFmtId="185" fontId="0" fillId="14" borderId="0" xfId="0" applyNumberFormat="1" applyFill="1"/>
    <xf numFmtId="0" fontId="0" fillId="17" borderId="0" xfId="0" applyNumberFormat="1" applyFill="1"/>
    <xf numFmtId="0" fontId="0" fillId="28" borderId="0" xfId="0" applyNumberFormat="1" applyFill="1"/>
    <xf numFmtId="2" fontId="0" fillId="27" borderId="0" xfId="0" applyNumberFormat="1" applyFill="1"/>
    <xf numFmtId="0" fontId="0" fillId="30" borderId="0" xfId="0" applyNumberFormat="1" applyFill="1"/>
    <xf numFmtId="2" fontId="0" fillId="4" borderId="0" xfId="0" applyNumberFormat="1" applyFill="1"/>
    <xf numFmtId="0" fontId="0" fillId="21" borderId="0" xfId="0" applyFill="1"/>
    <xf numFmtId="0" fontId="0" fillId="18" borderId="0" xfId="0" applyNumberFormat="1" applyFill="1"/>
    <xf numFmtId="0" fontId="0" fillId="31" borderId="0" xfId="0" applyNumberFormat="1" applyFill="1"/>
    <xf numFmtId="0" fontId="0" fillId="21" borderId="0" xfId="0" applyNumberFormat="1" applyFill="1"/>
    <xf numFmtId="0" fontId="0" fillId="31" borderId="0" xfId="0" applyNumberFormat="1" applyFill="1"/>
    <xf numFmtId="0" fontId="39" fillId="0" borderId="6" xfId="44" applyNumberFormat="1" applyFont="1" applyFill="1" applyBorder="1" applyAlignment="1">
      <alignment horizontal="left"/>
    </xf>
    <xf numFmtId="181" fontId="2" fillId="0" borderId="0" xfId="44" applyFont="1" applyFill="1" applyProtection="1"/>
    <xf numFmtId="0" fontId="7" fillId="32" borderId="0" xfId="44" applyNumberFormat="1" applyFont="1" applyFill="1" applyAlignment="1" applyProtection="1">
      <alignment horizontal="center"/>
    </xf>
    <xf numFmtId="0" fontId="7" fillId="32" borderId="0" xfId="44" applyNumberFormat="1" applyFont="1" applyFill="1" applyProtection="1"/>
    <xf numFmtId="0" fontId="7" fillId="0" borderId="0" xfId="44" applyNumberFormat="1" applyFont="1" applyFill="1" applyAlignment="1" applyProtection="1">
      <alignment horizontal="center"/>
    </xf>
    <xf numFmtId="0" fontId="2" fillId="0" borderId="38" xfId="44" applyNumberFormat="1" applyFont="1" applyBorder="1" applyProtection="1"/>
    <xf numFmtId="0" fontId="2" fillId="0" borderId="38" xfId="44" applyNumberFormat="1" applyFont="1" applyFill="1" applyBorder="1" applyProtection="1"/>
    <xf numFmtId="181" fontId="2" fillId="0" borderId="38" xfId="44" applyFont="1" applyFill="1" applyBorder="1" applyProtection="1"/>
    <xf numFmtId="10" fontId="2" fillId="0" borderId="39" xfId="44" applyNumberFormat="1" applyFont="1" applyFill="1" applyBorder="1" applyAlignment="1" applyProtection="1">
      <alignment horizontal="center"/>
    </xf>
    <xf numFmtId="0" fontId="2" fillId="33" borderId="40" xfId="44" applyNumberFormat="1" applyFont="1" applyFill="1" applyBorder="1" applyAlignment="1" applyProtection="1">
      <alignment horizontal="left"/>
    </xf>
    <xf numFmtId="0" fontId="2" fillId="33" borderId="41" xfId="44" applyNumberFormat="1" applyFont="1" applyFill="1" applyBorder="1" applyAlignment="1" applyProtection="1">
      <alignment horizontal="left"/>
    </xf>
    <xf numFmtId="0" fontId="2" fillId="33" borderId="42" xfId="44" applyNumberFormat="1" applyFont="1" applyFill="1" applyBorder="1" applyAlignment="1" applyProtection="1">
      <alignment horizontal="left"/>
    </xf>
    <xf numFmtId="0" fontId="3" fillId="33" borderId="43" xfId="44" applyNumberFormat="1" applyFont="1" applyFill="1" applyBorder="1" applyAlignment="1" applyProtection="1">
      <alignment horizontal="center"/>
    </xf>
    <xf numFmtId="0" fontId="2" fillId="33" borderId="44" xfId="44" applyNumberFormat="1" applyFont="1" applyFill="1" applyBorder="1" applyAlignment="1" applyProtection="1">
      <alignment horizontal="left"/>
    </xf>
    <xf numFmtId="0" fontId="2" fillId="33" borderId="45" xfId="44" applyNumberFormat="1" applyFont="1" applyFill="1" applyBorder="1" applyAlignment="1" applyProtection="1">
      <alignment horizontal="left"/>
    </xf>
    <xf numFmtId="0" fontId="2" fillId="33" borderId="46" xfId="44" applyNumberFormat="1" applyFont="1" applyFill="1" applyBorder="1" applyAlignment="1" applyProtection="1">
      <alignment horizontal="left"/>
    </xf>
    <xf numFmtId="0" fontId="2" fillId="33" borderId="47" xfId="44" applyNumberFormat="1" applyFont="1" applyFill="1" applyBorder="1" applyAlignment="1" applyProtection="1">
      <alignment horizontal="center"/>
    </xf>
    <xf numFmtId="0" fontId="2" fillId="0" borderId="47" xfId="44" applyNumberFormat="1" applyFont="1" applyFill="1" applyBorder="1" applyProtection="1"/>
    <xf numFmtId="10" fontId="2" fillId="0" borderId="47" xfId="44" applyNumberFormat="1" applyFont="1" applyFill="1" applyBorder="1" applyAlignment="1" applyProtection="1">
      <alignment horizontal="center"/>
    </xf>
    <xf numFmtId="0" fontId="2" fillId="33" borderId="48" xfId="44" applyNumberFormat="1" applyFont="1" applyFill="1" applyBorder="1" applyAlignment="1" applyProtection="1">
      <alignment horizontal="left"/>
    </xf>
    <xf numFmtId="0" fontId="2" fillId="33" borderId="49" xfId="44" applyNumberFormat="1" applyFont="1" applyFill="1" applyBorder="1" applyAlignment="1" applyProtection="1">
      <alignment horizontal="left"/>
    </xf>
    <xf numFmtId="0" fontId="2" fillId="33" borderId="50" xfId="44" applyNumberFormat="1" applyFont="1" applyFill="1" applyBorder="1" applyAlignment="1" applyProtection="1">
      <alignment horizontal="left"/>
    </xf>
    <xf numFmtId="0" fontId="2" fillId="33" borderId="51" xfId="44" applyNumberFormat="1" applyFont="1" applyFill="1" applyBorder="1" applyAlignment="1" applyProtection="1">
      <alignment horizontal="center"/>
    </xf>
    <xf numFmtId="0" fontId="2" fillId="0" borderId="51" xfId="44" applyNumberFormat="1" applyFont="1" applyFill="1" applyBorder="1" applyAlignment="1" applyProtection="1">
      <alignment horizontal="center"/>
    </xf>
    <xf numFmtId="0" fontId="2" fillId="33" borderId="52" xfId="44" applyNumberFormat="1" applyFont="1" applyFill="1" applyBorder="1" applyAlignment="1" applyProtection="1">
      <alignment horizontal="left"/>
    </xf>
    <xf numFmtId="0" fontId="2" fillId="33" borderId="53" xfId="44" applyNumberFormat="1" applyFont="1" applyFill="1" applyBorder="1" applyAlignment="1" applyProtection="1">
      <alignment horizontal="left"/>
    </xf>
    <xf numFmtId="0" fontId="2" fillId="33" borderId="54" xfId="44" applyNumberFormat="1" applyFont="1" applyFill="1" applyBorder="1" applyAlignment="1" applyProtection="1">
      <alignment horizontal="left"/>
    </xf>
    <xf numFmtId="0" fontId="2" fillId="33" borderId="55" xfId="44" applyNumberFormat="1" applyFont="1" applyFill="1" applyBorder="1" applyAlignment="1" applyProtection="1">
      <alignment horizontal="center"/>
    </xf>
    <xf numFmtId="0" fontId="2" fillId="0" borderId="55" xfId="44" applyNumberFormat="1" applyFont="1" applyFill="1" applyBorder="1" applyAlignment="1" applyProtection="1">
      <alignment horizontal="center"/>
    </xf>
    <xf numFmtId="0" fontId="7" fillId="0" borderId="0" xfId="44" applyNumberFormat="1" applyFont="1" applyFill="1" applyProtection="1"/>
    <xf numFmtId="10" fontId="2" fillId="0" borderId="56" xfId="44" applyNumberFormat="1" applyFont="1" applyFill="1" applyBorder="1" applyAlignment="1" applyProtection="1">
      <alignment horizontal="center"/>
    </xf>
    <xf numFmtId="0" fontId="2" fillId="34" borderId="57" xfId="44" applyNumberFormat="1" applyFont="1" applyFill="1" applyBorder="1" applyAlignment="1" applyProtection="1">
      <alignment horizontal="left"/>
    </xf>
    <xf numFmtId="0" fontId="2" fillId="34" borderId="58" xfId="44" applyNumberFormat="1" applyFont="1" applyFill="1" applyBorder="1" applyAlignment="1" applyProtection="1">
      <alignment horizontal="left"/>
    </xf>
    <xf numFmtId="0" fontId="3" fillId="0" borderId="58" xfId="44" applyNumberFormat="1" applyFont="1" applyBorder="1" applyAlignment="1" applyProtection="1">
      <alignment horizontal="center"/>
    </xf>
    <xf numFmtId="0" fontId="2" fillId="34" borderId="59" xfId="44" applyNumberFormat="1" applyFont="1" applyFill="1" applyBorder="1" applyAlignment="1" applyProtection="1">
      <alignment horizontal="left"/>
    </xf>
    <xf numFmtId="0" fontId="2" fillId="34" borderId="60" xfId="44" applyNumberFormat="1" applyFont="1" applyFill="1" applyBorder="1" applyAlignment="1" applyProtection="1">
      <alignment horizontal="left"/>
    </xf>
    <xf numFmtId="0" fontId="2" fillId="34" borderId="60" xfId="44" applyNumberFormat="1" applyFont="1" applyFill="1" applyBorder="1" applyAlignment="1" applyProtection="1">
      <alignment horizontal="center"/>
    </xf>
    <xf numFmtId="0" fontId="2" fillId="0" borderId="60" xfId="44" applyNumberFormat="1" applyFont="1" applyBorder="1" applyProtection="1"/>
    <xf numFmtId="10" fontId="2" fillId="0" borderId="60" xfId="44" applyNumberFormat="1" applyFont="1" applyFill="1" applyBorder="1" applyAlignment="1" applyProtection="1">
      <alignment horizontal="center"/>
    </xf>
    <xf numFmtId="0" fontId="2" fillId="34" borderId="61" xfId="44" applyNumberFormat="1" applyFont="1" applyFill="1" applyBorder="1" applyAlignment="1" applyProtection="1">
      <alignment horizontal="left"/>
    </xf>
    <xf numFmtId="0" fontId="2" fillId="34" borderId="62" xfId="44" applyNumberFormat="1" applyFont="1" applyFill="1" applyBorder="1" applyAlignment="1" applyProtection="1">
      <alignment horizontal="left"/>
    </xf>
    <xf numFmtId="0" fontId="2" fillId="34" borderId="62" xfId="44" applyNumberFormat="1" applyFont="1" applyFill="1" applyBorder="1" applyAlignment="1" applyProtection="1">
      <alignment horizontal="center"/>
    </xf>
    <xf numFmtId="0" fontId="2" fillId="0" borderId="62" xfId="44" applyNumberFormat="1" applyFont="1" applyFill="1" applyBorder="1" applyAlignment="1" applyProtection="1">
      <alignment horizontal="center"/>
    </xf>
    <xf numFmtId="0" fontId="2" fillId="34" borderId="63" xfId="44" applyNumberFormat="1" applyFont="1" applyFill="1" applyBorder="1" applyAlignment="1" applyProtection="1">
      <alignment horizontal="left"/>
    </xf>
    <xf numFmtId="0" fontId="2" fillId="34" borderId="64" xfId="44" applyNumberFormat="1" applyFont="1" applyFill="1" applyBorder="1" applyAlignment="1" applyProtection="1">
      <alignment horizontal="left"/>
    </xf>
    <xf numFmtId="0" fontId="2" fillId="34" borderId="64" xfId="44" applyNumberFormat="1" applyFont="1" applyFill="1" applyBorder="1" applyAlignment="1" applyProtection="1">
      <alignment horizontal="center"/>
    </xf>
    <xf numFmtId="0" fontId="2" fillId="0" borderId="64" xfId="44" applyNumberFormat="1" applyFont="1" applyFill="1" applyBorder="1" applyAlignment="1" applyProtection="1">
      <alignment horizontal="center"/>
    </xf>
    <xf numFmtId="0" fontId="7" fillId="32" borderId="0" xfId="44" applyNumberFormat="1" applyFont="1" applyFill="1" applyAlignment="1" applyProtection="1">
      <alignment horizontal="left"/>
    </xf>
    <xf numFmtId="0" fontId="2" fillId="33" borderId="65" xfId="44" applyNumberFormat="1" applyFont="1" applyFill="1" applyBorder="1" applyAlignment="1" applyProtection="1">
      <alignment horizontal="center" vertical="center"/>
    </xf>
    <xf numFmtId="0" fontId="2" fillId="33" borderId="66" xfId="44" applyNumberFormat="1" applyFont="1" applyFill="1" applyBorder="1" applyAlignment="1" applyProtection="1">
      <alignment horizontal="center" vertical="center"/>
    </xf>
    <xf numFmtId="0" fontId="2" fillId="33" borderId="67" xfId="44" applyNumberFormat="1" applyFont="1" applyFill="1" applyBorder="1" applyAlignment="1" applyProtection="1">
      <alignment horizontal="center" vertical="center"/>
    </xf>
    <xf numFmtId="0" fontId="3" fillId="33" borderId="68" xfId="44" applyNumberFormat="1" applyFont="1" applyFill="1" applyBorder="1" applyAlignment="1" applyProtection="1">
      <alignment horizontal="center"/>
    </xf>
    <xf numFmtId="0" fontId="46" fillId="0" borderId="0" xfId="44" applyNumberFormat="1" applyFont="1" applyAlignment="1" applyProtection="1">
      <alignment horizontal="right"/>
    </xf>
    <xf numFmtId="0" fontId="2" fillId="33" borderId="69" xfId="44" applyNumberFormat="1" applyFont="1" applyFill="1" applyBorder="1" applyAlignment="1" applyProtection="1">
      <alignment horizontal="left" vertical="center"/>
    </xf>
    <xf numFmtId="0" fontId="2" fillId="33" borderId="47" xfId="44" applyNumberFormat="1" applyFont="1" applyFill="1" applyBorder="1" applyAlignment="1" applyProtection="1">
      <alignment horizontal="left" vertical="center"/>
    </xf>
    <xf numFmtId="0" fontId="2" fillId="33" borderId="47" xfId="44" applyNumberFormat="1" applyFont="1" applyFill="1" applyBorder="1" applyAlignment="1" applyProtection="1">
      <alignment horizontal="center" vertical="center"/>
    </xf>
    <xf numFmtId="195" fontId="2" fillId="0" borderId="47" xfId="8" applyNumberFormat="1" applyFont="1" applyFill="1" applyBorder="1" applyProtection="1"/>
    <xf numFmtId="9" fontId="2" fillId="0" borderId="47" xfId="11" applyFont="1" applyFill="1" applyBorder="1" applyProtection="1"/>
    <xf numFmtId="0" fontId="2" fillId="33" borderId="70" xfId="44" applyNumberFormat="1" applyFont="1" applyFill="1" applyBorder="1" applyAlignment="1" applyProtection="1">
      <alignment horizontal="left" vertical="center"/>
    </xf>
    <xf numFmtId="0" fontId="2" fillId="33" borderId="51" xfId="44" applyNumberFormat="1" applyFont="1" applyFill="1" applyBorder="1" applyAlignment="1" applyProtection="1">
      <alignment horizontal="left" vertical="center"/>
    </xf>
    <xf numFmtId="0" fontId="2" fillId="33" borderId="51" xfId="44" applyNumberFormat="1" applyFont="1" applyFill="1" applyBorder="1" applyAlignment="1" applyProtection="1">
      <alignment horizontal="center" vertical="center" wrapText="1"/>
    </xf>
    <xf numFmtId="195" fontId="2" fillId="0" borderId="51" xfId="8" applyNumberFormat="1" applyFont="1" applyFill="1" applyBorder="1" applyProtection="1"/>
    <xf numFmtId="0" fontId="2" fillId="0" borderId="51" xfId="44" applyNumberFormat="1" applyFont="1" applyFill="1" applyBorder="1" applyProtection="1"/>
    <xf numFmtId="0" fontId="2" fillId="33" borderId="51" xfId="44" applyNumberFormat="1" applyFont="1" applyFill="1" applyBorder="1" applyAlignment="1" applyProtection="1">
      <alignment horizontal="center" vertical="center"/>
    </xf>
    <xf numFmtId="196" fontId="2" fillId="0" borderId="51" xfId="8" applyNumberFormat="1" applyFont="1" applyFill="1" applyBorder="1" applyProtection="1"/>
    <xf numFmtId="9" fontId="2" fillId="0" borderId="51" xfId="11" applyFont="1" applyFill="1" applyBorder="1" applyProtection="1"/>
    <xf numFmtId="195" fontId="2" fillId="0" borderId="51" xfId="8" applyNumberFormat="1" applyFont="1" applyFill="1" applyBorder="1" applyAlignment="1" applyProtection="1">
      <alignment horizontal="right"/>
    </xf>
    <xf numFmtId="187" fontId="2" fillId="0" borderId="51" xfId="4" applyNumberFormat="1" applyFont="1" applyFill="1" applyBorder="1" applyProtection="1"/>
    <xf numFmtId="10" fontId="2" fillId="0" borderId="51" xfId="11" applyNumberFormat="1" applyFont="1" applyFill="1" applyBorder="1" applyAlignment="1" applyProtection="1">
      <alignment horizontal="center"/>
    </xf>
    <xf numFmtId="10" fontId="2" fillId="0" borderId="51" xfId="11" applyNumberFormat="1" applyFont="1" applyFill="1" applyBorder="1" applyProtection="1"/>
    <xf numFmtId="10" fontId="5" fillId="0" borderId="51" xfId="11" applyNumberFormat="1" applyFont="1" applyFill="1" applyBorder="1" applyAlignment="1" applyProtection="1">
      <alignment horizontal="center"/>
    </xf>
    <xf numFmtId="195" fontId="5" fillId="0" borderId="51" xfId="8" applyNumberFormat="1" applyFont="1" applyFill="1" applyBorder="1" applyAlignment="1" applyProtection="1">
      <alignment horizontal="right"/>
    </xf>
    <xf numFmtId="0" fontId="2" fillId="33" borderId="71" xfId="44" applyNumberFormat="1" applyFont="1" applyFill="1" applyBorder="1" applyAlignment="1" applyProtection="1">
      <alignment horizontal="left" vertical="center"/>
    </xf>
    <xf numFmtId="0" fontId="2" fillId="33" borderId="72" xfId="44" applyNumberFormat="1" applyFont="1" applyFill="1" applyBorder="1" applyAlignment="1" applyProtection="1">
      <alignment horizontal="left" vertical="center"/>
    </xf>
    <xf numFmtId="0" fontId="2" fillId="33" borderId="73" xfId="44" applyNumberFormat="1" applyFont="1" applyFill="1" applyBorder="1" applyAlignment="1" applyProtection="1">
      <alignment horizontal="left" vertical="center"/>
    </xf>
    <xf numFmtId="179" fontId="2" fillId="0" borderId="51" xfId="11" applyNumberFormat="1" applyFont="1" applyFill="1" applyBorder="1" applyProtection="1"/>
    <xf numFmtId="0" fontId="2" fillId="33" borderId="44" xfId="44" applyNumberFormat="1" applyFont="1" applyFill="1" applyBorder="1" applyAlignment="1" applyProtection="1">
      <alignment horizontal="left" vertical="center"/>
    </xf>
    <xf numFmtId="0" fontId="2" fillId="33" borderId="45" xfId="44" applyNumberFormat="1" applyFont="1" applyFill="1" applyBorder="1" applyAlignment="1" applyProtection="1">
      <alignment horizontal="left" vertical="center"/>
    </xf>
    <xf numFmtId="0" fontId="2" fillId="33" borderId="46" xfId="44" applyNumberFormat="1" applyFont="1" applyFill="1" applyBorder="1" applyAlignment="1" applyProtection="1">
      <alignment horizontal="left" vertical="center"/>
    </xf>
    <xf numFmtId="195" fontId="2" fillId="12" borderId="51" xfId="8" applyNumberFormat="1" applyFont="1" applyFill="1" applyBorder="1" applyProtection="1"/>
    <xf numFmtId="9" fontId="2" fillId="0" borderId="51" xfId="44" applyNumberFormat="1" applyFont="1" applyFill="1" applyBorder="1" applyProtection="1"/>
    <xf numFmtId="0" fontId="2" fillId="33" borderId="74" xfId="44" applyNumberFormat="1" applyFont="1" applyFill="1" applyBorder="1" applyAlignment="1" applyProtection="1">
      <alignment horizontal="left" vertical="center"/>
    </xf>
    <xf numFmtId="0" fontId="2" fillId="33" borderId="55" xfId="44" applyNumberFormat="1" applyFont="1" applyFill="1" applyBorder="1" applyAlignment="1" applyProtection="1">
      <alignment horizontal="left" vertical="center"/>
    </xf>
    <xf numFmtId="0" fontId="2" fillId="33" borderId="55" xfId="44" applyNumberFormat="1" applyFont="1" applyFill="1" applyBorder="1" applyAlignment="1" applyProtection="1">
      <alignment horizontal="center" vertical="center"/>
    </xf>
    <xf numFmtId="195" fontId="2" fillId="0" borderId="55" xfId="8" applyNumberFormat="1" applyFont="1" applyFill="1" applyBorder="1" applyProtection="1"/>
    <xf numFmtId="10" fontId="2" fillId="0" borderId="75" xfId="44" applyNumberFormat="1" applyFont="1" applyFill="1" applyBorder="1" applyAlignment="1" applyProtection="1">
      <alignment horizontal="center"/>
    </xf>
    <xf numFmtId="0" fontId="2" fillId="34" borderId="57" xfId="44" applyNumberFormat="1" applyFont="1" applyFill="1" applyBorder="1" applyAlignment="1" applyProtection="1">
      <alignment horizontal="center" vertical="center"/>
    </xf>
    <xf numFmtId="0" fontId="2" fillId="34" borderId="58" xfId="44" applyNumberFormat="1" applyFont="1" applyFill="1" applyBorder="1" applyAlignment="1" applyProtection="1">
      <alignment horizontal="center" vertical="center"/>
    </xf>
    <xf numFmtId="0" fontId="47" fillId="0" borderId="0" xfId="44" applyNumberFormat="1" applyFont="1" applyAlignment="1" applyProtection="1">
      <alignment horizontal="right"/>
    </xf>
    <xf numFmtId="0" fontId="2" fillId="34" borderId="59" xfId="44" applyNumberFormat="1" applyFont="1" applyFill="1" applyBorder="1" applyAlignment="1" applyProtection="1">
      <alignment horizontal="left" vertical="center"/>
    </xf>
    <xf numFmtId="0" fontId="2" fillId="34" borderId="60" xfId="44" applyNumberFormat="1" applyFont="1" applyFill="1" applyBorder="1" applyAlignment="1" applyProtection="1">
      <alignment horizontal="left" vertical="center"/>
    </xf>
    <xf numFmtId="0" fontId="2" fillId="34" borderId="60" xfId="44" applyNumberFormat="1" applyFont="1" applyFill="1" applyBorder="1" applyAlignment="1" applyProtection="1">
      <alignment horizontal="center" vertical="center"/>
    </xf>
    <xf numFmtId="195" fontId="2" fillId="0" borderId="60" xfId="8" applyNumberFormat="1" applyFont="1" applyFill="1" applyBorder="1" applyProtection="1"/>
    <xf numFmtId="9" fontId="2" fillId="0" borderId="60" xfId="11" applyFont="1" applyFill="1" applyBorder="1" applyProtection="1"/>
    <xf numFmtId="0" fontId="2" fillId="34" borderId="61" xfId="44" applyNumberFormat="1" applyFont="1" applyFill="1" applyBorder="1" applyAlignment="1" applyProtection="1">
      <alignment horizontal="left" vertical="center"/>
    </xf>
    <xf numFmtId="0" fontId="2" fillId="34" borderId="62" xfId="44" applyNumberFormat="1" applyFont="1" applyFill="1" applyBorder="1" applyAlignment="1" applyProtection="1">
      <alignment horizontal="left" vertical="center"/>
    </xf>
    <xf numFmtId="0" fontId="2" fillId="34" borderId="62" xfId="44" applyNumberFormat="1" applyFont="1" applyFill="1" applyBorder="1" applyAlignment="1" applyProtection="1">
      <alignment horizontal="center" vertical="center" wrapText="1"/>
    </xf>
    <xf numFmtId="0" fontId="2" fillId="0" borderId="62" xfId="44" applyNumberFormat="1" applyFont="1" applyFill="1" applyBorder="1" applyProtection="1"/>
    <xf numFmtId="0" fontId="2" fillId="34" borderId="62" xfId="44" applyNumberFormat="1" applyFont="1" applyFill="1" applyBorder="1" applyAlignment="1" applyProtection="1">
      <alignment horizontal="center" vertical="center"/>
    </xf>
    <xf numFmtId="195" fontId="2" fillId="0" borderId="62" xfId="8" applyNumberFormat="1" applyFont="1" applyFill="1" applyBorder="1" applyProtection="1"/>
    <xf numFmtId="195" fontId="2" fillId="0" borderId="62" xfId="8" applyNumberFormat="1" applyFont="1" applyFill="1" applyBorder="1" applyAlignment="1" applyProtection="1">
      <alignment horizontal="right"/>
    </xf>
    <xf numFmtId="187" fontId="2" fillId="0" borderId="62" xfId="4" applyNumberFormat="1" applyFont="1" applyFill="1" applyBorder="1" applyProtection="1"/>
    <xf numFmtId="10" fontId="2" fillId="0" borderId="62" xfId="11" applyNumberFormat="1" applyFont="1" applyFill="1" applyBorder="1" applyAlignment="1" applyProtection="1">
      <alignment horizontal="center"/>
    </xf>
    <xf numFmtId="10" fontId="2" fillId="0" borderId="62" xfId="11" applyNumberFormat="1" applyFont="1" applyFill="1" applyBorder="1" applyProtection="1"/>
    <xf numFmtId="9" fontId="5" fillId="0" borderId="62" xfId="11" applyFont="1" applyFill="1" applyBorder="1" applyAlignment="1" applyProtection="1">
      <alignment horizontal="right"/>
    </xf>
    <xf numFmtId="0" fontId="2" fillId="34" borderId="76" xfId="44" applyNumberFormat="1" applyFont="1" applyFill="1" applyBorder="1" applyAlignment="1" applyProtection="1">
      <alignment horizontal="left" vertical="center"/>
    </xf>
    <xf numFmtId="0" fontId="2" fillId="34" borderId="77" xfId="44" applyNumberFormat="1" applyFont="1" applyFill="1" applyBorder="1" applyAlignment="1" applyProtection="1">
      <alignment horizontal="left" vertical="center"/>
    </xf>
    <xf numFmtId="0" fontId="2" fillId="34" borderId="78" xfId="44" applyNumberFormat="1" applyFont="1" applyFill="1" applyBorder="1" applyAlignment="1" applyProtection="1">
      <alignment horizontal="left" vertical="center"/>
    </xf>
    <xf numFmtId="9" fontId="2" fillId="0" borderId="62" xfId="11" applyFont="1" applyFill="1" applyBorder="1" applyProtection="1"/>
    <xf numFmtId="0" fontId="2" fillId="34" borderId="79" xfId="44" applyNumberFormat="1" applyFont="1" applyFill="1" applyBorder="1" applyAlignment="1" applyProtection="1">
      <alignment horizontal="left" vertical="center"/>
    </xf>
    <xf numFmtId="0" fontId="2" fillId="34" borderId="80" xfId="44" applyNumberFormat="1" applyFont="1" applyFill="1" applyBorder="1" applyAlignment="1" applyProtection="1">
      <alignment horizontal="left" vertical="center"/>
    </xf>
    <xf numFmtId="0" fontId="2" fillId="34" borderId="81" xfId="44" applyNumberFormat="1" applyFont="1" applyFill="1" applyBorder="1" applyAlignment="1" applyProtection="1">
      <alignment horizontal="left" vertical="center"/>
    </xf>
    <xf numFmtId="0" fontId="20" fillId="0" borderId="0" xfId="44" applyNumberFormat="1" applyFont="1" applyFill="1" applyBorder="1" applyAlignment="1" applyProtection="1">
      <alignment horizontal="center" vertical="center" wrapText="1"/>
    </xf>
    <xf numFmtId="0" fontId="3" fillId="0" borderId="0" xfId="44" applyNumberFormat="1" applyFont="1" applyFill="1" applyBorder="1" applyAlignment="1" applyProtection="1">
      <alignment horizontal="center" vertical="center" wrapText="1"/>
    </xf>
    <xf numFmtId="0" fontId="3" fillId="33" borderId="82" xfId="44" applyNumberFormat="1" applyFont="1" applyFill="1" applyBorder="1" applyProtection="1"/>
    <xf numFmtId="10" fontId="2" fillId="0" borderId="83" xfId="44" applyNumberFormat="1" applyFont="1" applyFill="1" applyBorder="1" applyAlignment="1" applyProtection="1">
      <alignment horizontal="center"/>
    </xf>
    <xf numFmtId="2" fontId="2" fillId="0" borderId="84" xfId="44" applyNumberFormat="1" applyFont="1" applyBorder="1" applyAlignment="1" applyProtection="1">
      <alignment horizontal="center"/>
    </xf>
    <xf numFmtId="2" fontId="2" fillId="0" borderId="85" xfId="44" applyNumberFormat="1" applyFont="1" applyBorder="1" applyAlignment="1" applyProtection="1">
      <alignment horizontal="center"/>
    </xf>
    <xf numFmtId="0" fontId="3" fillId="0" borderId="86" xfId="44" applyNumberFormat="1" applyFont="1" applyBorder="1" applyProtection="1"/>
    <xf numFmtId="10" fontId="2" fillId="0" borderId="87" xfId="44" applyNumberFormat="1" applyFont="1" applyFill="1" applyBorder="1" applyAlignment="1" applyProtection="1">
      <alignment horizontal="center"/>
    </xf>
    <xf numFmtId="2" fontId="2" fillId="0" borderId="88" xfId="44" applyNumberFormat="1" applyFont="1" applyBorder="1" applyAlignment="1" applyProtection="1">
      <alignment horizontal="center"/>
    </xf>
    <xf numFmtId="2" fontId="2" fillId="0" borderId="89" xfId="44" applyNumberFormat="1" applyFont="1" applyBorder="1" applyAlignment="1" applyProtection="1">
      <alignment horizontal="center"/>
    </xf>
    <xf numFmtId="0" fontId="3" fillId="33" borderId="90" xfId="44" applyNumberFormat="1" applyFont="1" applyFill="1" applyBorder="1" applyProtection="1"/>
    <xf numFmtId="0" fontId="2" fillId="0" borderId="83" xfId="44" applyNumberFormat="1" applyFont="1" applyFill="1" applyBorder="1" applyProtection="1"/>
    <xf numFmtId="0" fontId="2" fillId="0" borderId="84" xfId="44" applyNumberFormat="1" applyFont="1" applyFill="1" applyBorder="1" applyProtection="1"/>
    <xf numFmtId="195" fontId="2" fillId="0" borderId="84" xfId="8" applyNumberFormat="1" applyFont="1" applyFill="1" applyBorder="1" applyProtection="1"/>
    <xf numFmtId="9" fontId="2" fillId="0" borderId="84" xfId="44" applyNumberFormat="1" applyFont="1" applyFill="1" applyBorder="1" applyProtection="1"/>
    <xf numFmtId="10" fontId="2" fillId="0" borderId="84" xfId="44" applyNumberFormat="1" applyFont="1" applyFill="1" applyBorder="1" applyProtection="1"/>
    <xf numFmtId="195" fontId="2" fillId="0" borderId="84" xfId="44" applyNumberFormat="1" applyFont="1" applyFill="1" applyBorder="1" applyProtection="1"/>
    <xf numFmtId="10" fontId="2" fillId="0" borderId="84" xfId="11" applyNumberFormat="1" applyFont="1" applyFill="1" applyBorder="1" applyProtection="1"/>
    <xf numFmtId="10" fontId="2" fillId="0" borderId="85" xfId="44" applyNumberFormat="1" applyFont="1" applyFill="1" applyBorder="1" applyProtection="1"/>
    <xf numFmtId="0" fontId="2" fillId="0" borderId="87" xfId="44" applyNumberFormat="1" applyFont="1" applyFill="1" applyBorder="1" applyProtection="1"/>
    <xf numFmtId="0" fontId="2" fillId="0" borderId="88" xfId="44" applyNumberFormat="1" applyFont="1" applyFill="1" applyBorder="1" applyProtection="1"/>
    <xf numFmtId="195" fontId="2" fillId="0" borderId="88" xfId="8" applyNumberFormat="1" applyFont="1" applyFill="1" applyBorder="1" applyProtection="1"/>
    <xf numFmtId="9" fontId="2" fillId="0" borderId="88" xfId="44" applyNumberFormat="1" applyFont="1" applyFill="1" applyBorder="1" applyProtection="1"/>
    <xf numFmtId="10" fontId="2" fillId="0" borderId="88" xfId="44" applyNumberFormat="1" applyFont="1" applyFill="1" applyBorder="1" applyProtection="1"/>
    <xf numFmtId="195" fontId="2" fillId="0" borderId="88" xfId="44" applyNumberFormat="1" applyFont="1" applyFill="1" applyBorder="1" applyProtection="1"/>
    <xf numFmtId="9" fontId="2" fillId="0" borderId="62" xfId="11" applyNumberFormat="1" applyFont="1" applyFill="1" applyBorder="1" applyProtection="1"/>
    <xf numFmtId="10" fontId="2" fillId="0" borderId="88" xfId="11" applyNumberFormat="1" applyFont="1" applyFill="1" applyBorder="1" applyProtection="1"/>
    <xf numFmtId="0" fontId="2" fillId="34" borderId="63" xfId="44" applyNumberFormat="1" applyFont="1" applyFill="1" applyBorder="1" applyAlignment="1" applyProtection="1">
      <alignment horizontal="left" vertical="center"/>
    </xf>
    <xf numFmtId="0" fontId="2" fillId="34" borderId="64" xfId="44" applyNumberFormat="1" applyFont="1" applyFill="1" applyBorder="1" applyAlignment="1" applyProtection="1">
      <alignment horizontal="left" vertical="center"/>
    </xf>
    <xf numFmtId="0" fontId="2" fillId="34" borderId="64" xfId="44" applyNumberFormat="1" applyFont="1" applyFill="1" applyBorder="1" applyAlignment="1" applyProtection="1">
      <alignment horizontal="center" vertical="center"/>
    </xf>
    <xf numFmtId="195" fontId="2" fillId="0" borderId="64" xfId="8" applyNumberFormat="1" applyFont="1" applyFill="1" applyBorder="1" applyProtection="1"/>
    <xf numFmtId="0" fontId="48" fillId="0" borderId="91" xfId="0" applyFont="1" applyBorder="1" applyAlignment="1" applyProtection="1">
      <alignment horizontal="center" vertical="center" readingOrder="1"/>
    </xf>
    <xf numFmtId="0" fontId="48" fillId="0" borderId="92" xfId="0" applyFont="1" applyBorder="1" applyAlignment="1" applyProtection="1">
      <alignment horizontal="center" vertical="center" readingOrder="1"/>
    </xf>
    <xf numFmtId="0" fontId="48" fillId="0" borderId="93" xfId="0" applyFont="1" applyBorder="1" applyAlignment="1" applyProtection="1">
      <alignment horizontal="center" vertical="center" readingOrder="1"/>
    </xf>
    <xf numFmtId="0" fontId="49" fillId="0" borderId="94" xfId="0" applyFont="1" applyBorder="1" applyAlignment="1" applyProtection="1">
      <alignment horizontal="center" vertical="center" readingOrder="1"/>
    </xf>
    <xf numFmtId="0" fontId="2" fillId="0" borderId="95" xfId="44" applyNumberFormat="1" applyFont="1" applyFill="1" applyBorder="1" applyAlignment="1" applyProtection="1">
      <alignment horizontal="center" vertical="center"/>
    </xf>
    <xf numFmtId="0" fontId="2" fillId="0" borderId="96" xfId="44" applyNumberFormat="1" applyFont="1" applyFill="1" applyBorder="1" applyAlignment="1" applyProtection="1">
      <alignment horizontal="center" vertical="center"/>
    </xf>
    <xf numFmtId="181" fontId="2" fillId="0" borderId="0" xfId="44" applyFont="1" applyFill="1" applyAlignment="1" applyProtection="1">
      <alignment horizontal="center" vertical="center"/>
    </xf>
    <xf numFmtId="0" fontId="2" fillId="0" borderId="97" xfId="44" applyNumberFormat="1" applyFont="1" applyFill="1" applyBorder="1" applyAlignment="1" applyProtection="1">
      <alignment horizontal="center" vertical="center"/>
    </xf>
    <xf numFmtId="0" fontId="2" fillId="0" borderId="98" xfId="44" applyNumberFormat="1" applyFont="1" applyFill="1" applyBorder="1" applyAlignment="1" applyProtection="1">
      <alignment horizontal="center" vertical="center"/>
    </xf>
    <xf numFmtId="181" fontId="2" fillId="33" borderId="99" xfId="44" applyFont="1" applyFill="1" applyBorder="1" applyProtection="1"/>
    <xf numFmtId="195" fontId="2" fillId="33" borderId="100" xfId="8" applyNumberFormat="1" applyFont="1" applyFill="1" applyBorder="1" applyAlignment="1" applyProtection="1">
      <alignment horizontal="right"/>
    </xf>
    <xf numFmtId="195" fontId="2" fillId="33" borderId="101" xfId="8" applyNumberFormat="1" applyFont="1" applyFill="1" applyBorder="1" applyAlignment="1" applyProtection="1">
      <alignment horizontal="right"/>
    </xf>
    <xf numFmtId="181" fontId="2" fillId="33" borderId="99" xfId="44" applyFont="1" applyFill="1" applyBorder="1" applyAlignment="1" applyProtection="1">
      <alignment horizontal="left"/>
    </xf>
    <xf numFmtId="181" fontId="2" fillId="33" borderId="100" xfId="44" applyFont="1" applyFill="1" applyBorder="1" applyAlignment="1" applyProtection="1">
      <alignment horizontal="left"/>
    </xf>
    <xf numFmtId="181" fontId="2" fillId="34" borderId="102" xfId="44" applyFont="1" applyFill="1" applyBorder="1" applyProtection="1"/>
    <xf numFmtId="195" fontId="2" fillId="34" borderId="103" xfId="44" applyNumberFormat="1" applyFont="1" applyFill="1" applyBorder="1" applyAlignment="1" applyProtection="1">
      <alignment horizontal="right"/>
    </xf>
    <xf numFmtId="195" fontId="2" fillId="34" borderId="104" xfId="44" applyNumberFormat="1" applyFont="1" applyFill="1" applyBorder="1" applyAlignment="1" applyProtection="1">
      <alignment horizontal="right"/>
    </xf>
    <xf numFmtId="181" fontId="2" fillId="34" borderId="102" xfId="44" applyFont="1" applyFill="1" applyBorder="1" applyAlignment="1" applyProtection="1">
      <alignment horizontal="left"/>
    </xf>
    <xf numFmtId="181" fontId="2" fillId="34" borderId="103" xfId="44" applyFont="1" applyFill="1" applyBorder="1" applyAlignment="1" applyProtection="1">
      <alignment horizontal="left"/>
    </xf>
    <xf numFmtId="181" fontId="2" fillId="0" borderId="105" xfId="44" applyFont="1" applyFill="1" applyBorder="1" applyProtection="1"/>
    <xf numFmtId="179" fontId="3" fillId="13" borderId="106" xfId="11" applyNumberFormat="1" applyFont="1" applyFill="1" applyBorder="1" applyAlignment="1" applyProtection="1">
      <alignment horizontal="right"/>
    </xf>
    <xf numFmtId="179" fontId="3" fillId="13" borderId="107" xfId="11" applyNumberFormat="1" applyFont="1" applyFill="1" applyBorder="1" applyAlignment="1" applyProtection="1">
      <alignment horizontal="right"/>
    </xf>
    <xf numFmtId="0" fontId="3" fillId="0" borderId="108" xfId="44" applyNumberFormat="1" applyFont="1" applyFill="1" applyBorder="1" applyAlignment="1" applyProtection="1">
      <alignment horizontal="center"/>
    </xf>
    <xf numFmtId="0" fontId="3" fillId="0" borderId="109" xfId="44" applyNumberFormat="1" applyFont="1" applyFill="1" applyBorder="1" applyAlignment="1" applyProtection="1">
      <alignment horizontal="center"/>
    </xf>
    <xf numFmtId="0" fontId="7" fillId="32" borderId="0" xfId="44" applyNumberFormat="1" applyFont="1" applyFill="1" applyAlignment="1" applyProtection="1">
      <alignment horizontal="center" vertical="center"/>
    </xf>
    <xf numFmtId="181" fontId="2" fillId="32" borderId="0" xfId="44" applyFont="1" applyFill="1" applyProtection="1"/>
    <xf numFmtId="0" fontId="28" fillId="0" borderId="0" xfId="44" applyNumberFormat="1" applyFont="1" applyProtection="1"/>
    <xf numFmtId="0" fontId="3" fillId="0" borderId="38" xfId="44" applyNumberFormat="1" applyFont="1" applyFill="1" applyBorder="1" applyAlignment="1" applyProtection="1">
      <alignment horizontal="right"/>
    </xf>
    <xf numFmtId="181" fontId="2" fillId="0" borderId="38" xfId="44" applyFont="1" applyBorder="1" applyProtection="1"/>
    <xf numFmtId="0" fontId="3" fillId="33" borderId="110" xfId="44" applyNumberFormat="1" applyFont="1" applyFill="1" applyBorder="1" applyProtection="1"/>
    <xf numFmtId="0" fontId="3" fillId="33" borderId="111" xfId="44" applyNumberFormat="1" applyFont="1" applyFill="1" applyBorder="1" applyAlignment="1" applyProtection="1">
      <alignment horizontal="center"/>
    </xf>
    <xf numFmtId="10" fontId="2" fillId="0" borderId="0" xfId="53" applyNumberFormat="1" applyFont="1" applyFill="1" applyBorder="1" applyAlignment="1" applyProtection="1">
      <alignment horizontal="center"/>
    </xf>
    <xf numFmtId="0" fontId="3" fillId="33" borderId="112" xfId="44" applyNumberFormat="1" applyFont="1" applyFill="1" applyBorder="1" applyAlignment="1" applyProtection="1">
      <alignment horizontal="center"/>
    </xf>
    <xf numFmtId="10" fontId="2" fillId="0" borderId="113" xfId="53" applyNumberFormat="1" applyFont="1" applyFill="1" applyBorder="1" applyAlignment="1" applyProtection="1">
      <alignment horizontal="center"/>
    </xf>
    <xf numFmtId="10" fontId="2" fillId="0" borderId="38" xfId="53" applyNumberFormat="1" applyFont="1" applyFill="1" applyBorder="1" applyAlignment="1" applyProtection="1">
      <alignment horizontal="center"/>
    </xf>
    <xf numFmtId="0" fontId="2" fillId="0" borderId="0" xfId="44" applyNumberFormat="1" applyFont="1" applyAlignment="1" applyProtection="1">
      <alignment horizontal="right"/>
    </xf>
    <xf numFmtId="0" fontId="3" fillId="33" borderId="114" xfId="44" applyNumberFormat="1" applyFont="1" applyFill="1" applyBorder="1" applyProtection="1"/>
    <xf numFmtId="10" fontId="2" fillId="0" borderId="0" xfId="53" applyNumberFormat="1" applyFont="1" applyAlignment="1" applyProtection="1">
      <alignment horizontal="center"/>
    </xf>
    <xf numFmtId="10" fontId="2" fillId="0" borderId="0" xfId="53" applyNumberFormat="1" applyFont="1" applyFill="1" applyAlignment="1" applyProtection="1">
      <alignment horizontal="center"/>
    </xf>
    <xf numFmtId="0" fontId="3" fillId="0" borderId="115" xfId="44" applyNumberFormat="1" applyFont="1" applyFill="1" applyBorder="1" applyProtection="1"/>
    <xf numFmtId="0" fontId="2" fillId="0" borderId="0" xfId="44" applyNumberFormat="1" applyFont="1" applyFill="1" applyAlignment="1" applyProtection="1">
      <alignment horizontal="center"/>
    </xf>
    <xf numFmtId="10" fontId="2" fillId="0" borderId="0" xfId="11" applyNumberFormat="1" applyFont="1" applyFill="1" applyAlignment="1" applyProtection="1">
      <alignment horizontal="center"/>
    </xf>
    <xf numFmtId="10" fontId="2" fillId="0" borderId="89" xfId="44" applyNumberFormat="1" applyFont="1" applyFill="1" applyBorder="1" applyProtection="1"/>
    <xf numFmtId="0" fontId="3" fillId="0" borderId="91" xfId="44" applyNumberFormat="1" applyFont="1" applyFill="1" applyBorder="1" applyAlignment="1" applyProtection="1">
      <alignment horizontal="center" vertical="center"/>
    </xf>
    <xf numFmtId="0" fontId="3" fillId="0" borderId="92" xfId="44" applyNumberFormat="1" applyFont="1" applyFill="1" applyBorder="1" applyAlignment="1" applyProtection="1">
      <alignment horizontal="center" vertical="center"/>
    </xf>
    <xf numFmtId="181" fontId="2" fillId="0" borderId="94" xfId="44" applyFont="1" applyFill="1" applyBorder="1" applyAlignment="1" applyProtection="1">
      <alignment horizontal="center" vertical="center"/>
    </xf>
    <xf numFmtId="181" fontId="2" fillId="0" borderId="95" xfId="44" applyFont="1" applyFill="1" applyBorder="1" applyAlignment="1" applyProtection="1">
      <alignment horizontal="center" vertical="center"/>
    </xf>
    <xf numFmtId="195" fontId="2" fillId="33" borderId="100" xfId="8" applyNumberFormat="1" applyFont="1" applyFill="1" applyBorder="1" applyAlignment="1" applyProtection="1">
      <alignment horizontal="center" vertical="center"/>
    </xf>
    <xf numFmtId="195" fontId="2" fillId="33" borderId="101" xfId="8" applyNumberFormat="1" applyFont="1" applyFill="1" applyBorder="1" applyAlignment="1" applyProtection="1">
      <alignment horizontal="center" vertical="center"/>
    </xf>
    <xf numFmtId="181" fontId="2" fillId="33" borderId="99" xfId="44" applyFont="1" applyFill="1" applyBorder="1" applyAlignment="1" applyProtection="1">
      <alignment horizontal="left" vertical="center"/>
    </xf>
    <xf numFmtId="181" fontId="2" fillId="33" borderId="100" xfId="44" applyFont="1" applyFill="1" applyBorder="1" applyAlignment="1" applyProtection="1">
      <alignment horizontal="left" vertical="center"/>
    </xf>
    <xf numFmtId="195" fontId="2" fillId="33" borderId="100" xfId="8" applyNumberFormat="1" applyFont="1" applyFill="1" applyBorder="1" applyAlignment="1" applyProtection="1">
      <alignment horizontal="right" vertical="center"/>
    </xf>
    <xf numFmtId="195" fontId="2" fillId="34" borderId="103" xfId="44" applyNumberFormat="1" applyFont="1" applyFill="1" applyBorder="1" applyProtection="1"/>
    <xf numFmtId="195" fontId="2" fillId="34" borderId="104" xfId="44" applyNumberFormat="1" applyFont="1" applyFill="1" applyBorder="1" applyProtection="1"/>
    <xf numFmtId="181" fontId="2" fillId="34" borderId="102" xfId="44" applyFont="1" applyFill="1" applyBorder="1" applyAlignment="1" applyProtection="1">
      <alignment horizontal="left" vertical="center"/>
    </xf>
    <xf numFmtId="181" fontId="2" fillId="34" borderId="103" xfId="44" applyFont="1" applyFill="1" applyBorder="1" applyAlignment="1" applyProtection="1">
      <alignment horizontal="left" vertical="center"/>
    </xf>
    <xf numFmtId="195" fontId="2" fillId="34" borderId="103" xfId="44" applyNumberFormat="1" applyFont="1" applyFill="1" applyBorder="1" applyAlignment="1" applyProtection="1">
      <alignment horizontal="right" vertical="center"/>
    </xf>
    <xf numFmtId="179" fontId="3" fillId="13" borderId="106" xfId="11" applyNumberFormat="1" applyFont="1" applyFill="1" applyBorder="1" applyProtection="1"/>
    <xf numFmtId="179" fontId="3" fillId="13" borderId="107" xfId="11" applyNumberFormat="1" applyFont="1" applyFill="1" applyBorder="1" applyProtection="1"/>
    <xf numFmtId="181" fontId="2" fillId="13" borderId="105" xfId="44" applyFont="1" applyFill="1" applyBorder="1" applyAlignment="1" applyProtection="1">
      <alignment horizontal="left" vertical="center"/>
    </xf>
    <xf numFmtId="181" fontId="2" fillId="13" borderId="106" xfId="44" applyFont="1" applyFill="1" applyBorder="1" applyAlignment="1" applyProtection="1">
      <alignment horizontal="left" vertical="center"/>
    </xf>
    <xf numFmtId="195" fontId="2" fillId="13" borderId="106" xfId="8" applyNumberFormat="1" applyFont="1" applyFill="1" applyBorder="1" applyAlignment="1" applyProtection="1">
      <alignment horizontal="right" vertical="center"/>
    </xf>
    <xf numFmtId="10" fontId="2" fillId="0" borderId="0" xfId="11" applyNumberFormat="1" applyFont="1" applyBorder="1" applyProtection="1"/>
    <xf numFmtId="10" fontId="2" fillId="0" borderId="0" xfId="44" applyNumberFormat="1" applyFont="1" applyBorder="1" applyProtection="1"/>
    <xf numFmtId="10" fontId="2" fillId="0" borderId="0" xfId="44" applyNumberFormat="1" applyFont="1" applyFill="1" applyProtection="1"/>
    <xf numFmtId="10" fontId="2" fillId="0" borderId="38" xfId="11" applyNumberFormat="1" applyFont="1" applyBorder="1" applyProtection="1"/>
    <xf numFmtId="10" fontId="2" fillId="0" borderId="38" xfId="44" applyNumberFormat="1" applyFont="1" applyBorder="1" applyProtection="1"/>
    <xf numFmtId="0" fontId="3" fillId="0" borderId="93" xfId="44" applyNumberFormat="1" applyFont="1" applyFill="1" applyBorder="1" applyAlignment="1" applyProtection="1">
      <alignment horizontal="center" vertical="center"/>
    </xf>
    <xf numFmtId="181" fontId="2" fillId="0" borderId="96" xfId="44" applyFont="1" applyFill="1" applyBorder="1" applyAlignment="1" applyProtection="1">
      <alignment horizontal="center" vertical="center"/>
    </xf>
    <xf numFmtId="195" fontId="2" fillId="33" borderId="101" xfId="8" applyNumberFormat="1" applyFont="1" applyFill="1" applyBorder="1" applyAlignment="1" applyProtection="1">
      <alignment horizontal="right" vertical="center"/>
    </xf>
    <xf numFmtId="195" fontId="2" fillId="34" borderId="104" xfId="44" applyNumberFormat="1" applyFont="1" applyFill="1" applyBorder="1" applyAlignment="1" applyProtection="1">
      <alignment horizontal="right" vertical="center"/>
    </xf>
    <xf numFmtId="195" fontId="2" fillId="13" borderId="107" xfId="8" applyNumberFormat="1" applyFont="1" applyFill="1" applyBorder="1" applyAlignment="1" applyProtection="1">
      <alignment horizontal="right" vertical="center"/>
    </xf>
    <xf numFmtId="10" fontId="2" fillId="0" borderId="0" xfId="44" applyNumberFormat="1" applyFont="1" applyFill="1" applyBorder="1" applyProtection="1"/>
    <xf numFmtId="49" fontId="50" fillId="0" borderId="116" xfId="44" applyNumberFormat="1" applyFont="1" applyBorder="1" applyProtection="1"/>
    <xf numFmtId="0" fontId="2" fillId="0" borderId="117" xfId="44" applyNumberFormat="1" applyFont="1" applyBorder="1" applyProtection="1"/>
    <xf numFmtId="0" fontId="3" fillId="0" borderId="117" xfId="44" applyNumberFormat="1" applyFont="1" applyFill="1" applyBorder="1" applyAlignment="1" applyProtection="1">
      <alignment horizontal="right"/>
    </xf>
    <xf numFmtId="0" fontId="2" fillId="0" borderId="117" xfId="44" applyNumberFormat="1" applyFont="1" applyFill="1" applyBorder="1" applyAlignment="1" applyProtection="1">
      <alignment horizontal="center"/>
    </xf>
    <xf numFmtId="0" fontId="2" fillId="0" borderId="118" xfId="44" applyNumberFormat="1" applyFont="1" applyFill="1" applyBorder="1" applyAlignment="1" applyProtection="1">
      <alignment horizontal="center"/>
    </xf>
    <xf numFmtId="0" fontId="3" fillId="0" borderId="119" xfId="44" applyNumberFormat="1" applyFont="1" applyBorder="1" applyProtection="1"/>
    <xf numFmtId="178" fontId="2" fillId="0" borderId="0" xfId="44" applyNumberFormat="1" applyFont="1" applyFill="1" applyBorder="1" applyAlignment="1" applyProtection="1">
      <alignment horizontal="center"/>
    </xf>
    <xf numFmtId="178" fontId="2" fillId="0" borderId="120" xfId="44" applyNumberFormat="1" applyFont="1" applyFill="1" applyBorder="1" applyAlignment="1" applyProtection="1">
      <alignment horizontal="center"/>
    </xf>
    <xf numFmtId="0" fontId="30" fillId="0" borderId="119" xfId="44" applyNumberFormat="1" applyFont="1" applyFill="1" applyBorder="1" applyAlignment="1" applyProtection="1">
      <alignment horizontal="left" wrapText="1"/>
    </xf>
    <xf numFmtId="0" fontId="30" fillId="0" borderId="0" xfId="44" applyNumberFormat="1" applyFont="1" applyFill="1" applyBorder="1" applyAlignment="1" applyProtection="1">
      <alignment horizontal="left" wrapText="1"/>
    </xf>
    <xf numFmtId="0" fontId="30" fillId="0" borderId="0" xfId="44" applyNumberFormat="1" applyFont="1" applyFill="1" applyBorder="1" applyAlignment="1" applyProtection="1"/>
    <xf numFmtId="178" fontId="2" fillId="0" borderId="120" xfId="52" applyFont="1" applyFill="1" applyBorder="1" applyAlignment="1" applyProtection="1">
      <alignment horizontal="center"/>
    </xf>
    <xf numFmtId="0" fontId="2" fillId="0" borderId="120" xfId="52" applyNumberFormat="1" applyFont="1" applyFill="1" applyBorder="1" applyAlignment="1" applyProtection="1">
      <alignment horizontal="center"/>
    </xf>
    <xf numFmtId="10" fontId="2" fillId="0" borderId="0" xfId="11" applyNumberFormat="1" applyFont="1" applyFill="1" applyBorder="1" applyProtection="1"/>
    <xf numFmtId="0" fontId="2" fillId="0" borderId="119" xfId="44" applyNumberFormat="1" applyFont="1" applyBorder="1" applyProtection="1"/>
    <xf numFmtId="0" fontId="2" fillId="0" borderId="0" xfId="44" applyNumberFormat="1" applyFont="1" applyBorder="1" applyAlignment="1" applyProtection="1">
      <alignment horizontal="right"/>
    </xf>
    <xf numFmtId="49" fontId="50" fillId="0" borderId="119" xfId="44" applyNumberFormat="1" applyFont="1" applyBorder="1" applyProtection="1"/>
    <xf numFmtId="0" fontId="30" fillId="0" borderId="119" xfId="44" applyNumberFormat="1" applyFont="1" applyFill="1" applyBorder="1" applyAlignment="1" applyProtection="1">
      <alignment horizontal="center" wrapText="1"/>
    </xf>
    <xf numFmtId="0" fontId="30" fillId="0" borderId="0" xfId="44" applyNumberFormat="1" applyFont="1" applyFill="1" applyBorder="1" applyAlignment="1" applyProtection="1">
      <alignment horizontal="center" wrapText="1"/>
    </xf>
    <xf numFmtId="178" fontId="2" fillId="0" borderId="0" xfId="52" applyNumberFormat="1" applyFont="1" applyFill="1" applyBorder="1" applyAlignment="1" applyProtection="1">
      <alignment horizontal="center"/>
    </xf>
    <xf numFmtId="178" fontId="2" fillId="0" borderId="120" xfId="52" applyNumberFormat="1" applyFont="1" applyFill="1" applyBorder="1" applyAlignment="1" applyProtection="1">
      <alignment horizontal="center"/>
    </xf>
    <xf numFmtId="0" fontId="30" fillId="0" borderId="0" xfId="44" applyNumberFormat="1" applyFont="1" applyFill="1" applyBorder="1" applyAlignment="1" applyProtection="1">
      <alignment wrapText="1"/>
    </xf>
    <xf numFmtId="0" fontId="30" fillId="0" borderId="119" xfId="44" applyNumberFormat="1" applyFont="1" applyFill="1" applyBorder="1" applyAlignment="1" applyProtection="1">
      <alignment wrapText="1"/>
    </xf>
    <xf numFmtId="0" fontId="21" fillId="0" borderId="119" xfId="44" applyNumberFormat="1" applyFont="1" applyFill="1" applyBorder="1" applyAlignment="1" applyProtection="1">
      <alignment horizontal="left" wrapText="1"/>
    </xf>
    <xf numFmtId="0" fontId="21" fillId="0" borderId="0" xfId="44" applyNumberFormat="1" applyFont="1" applyFill="1" applyBorder="1" applyAlignment="1" applyProtection="1">
      <alignment horizontal="left" wrapText="1"/>
    </xf>
    <xf numFmtId="0" fontId="21" fillId="0" borderId="0" xfId="44" applyNumberFormat="1" applyFont="1" applyFill="1" applyBorder="1" applyAlignment="1" applyProtection="1"/>
    <xf numFmtId="0" fontId="2" fillId="0" borderId="120" xfId="44" applyNumberFormat="1" applyFont="1" applyFill="1" applyBorder="1" applyAlignment="1" applyProtection="1">
      <alignment horizontal="center"/>
    </xf>
    <xf numFmtId="0" fontId="30" fillId="0" borderId="0" xfId="44" applyNumberFormat="1" applyFont="1" applyFill="1" applyProtection="1"/>
    <xf numFmtId="0" fontId="2" fillId="0" borderId="121" xfId="44" applyNumberFormat="1" applyFont="1" applyBorder="1" applyProtection="1"/>
    <xf numFmtId="0" fontId="2" fillId="0" borderId="122" xfId="44" applyNumberFormat="1" applyFont="1" applyBorder="1" applyAlignment="1" applyProtection="1">
      <alignment horizontal="center"/>
    </xf>
    <xf numFmtId="0" fontId="2" fillId="0" borderId="122" xfId="44" applyNumberFormat="1" applyFont="1" applyBorder="1" applyAlignment="1" applyProtection="1">
      <alignment horizontal="right"/>
    </xf>
    <xf numFmtId="0" fontId="2" fillId="0" borderId="122" xfId="44" applyNumberFormat="1" applyFont="1" applyFill="1" applyBorder="1" applyAlignment="1" applyProtection="1">
      <alignment horizontal="center"/>
    </xf>
    <xf numFmtId="0" fontId="2" fillId="0" borderId="123" xfId="44" applyNumberFormat="1" applyFont="1" applyFill="1" applyBorder="1" applyAlignment="1" applyProtection="1">
      <alignment horizontal="center"/>
    </xf>
    <xf numFmtId="49" fontId="50" fillId="0" borderId="124" xfId="44" applyNumberFormat="1" applyFont="1" applyBorder="1" applyProtection="1"/>
    <xf numFmtId="0" fontId="2" fillId="0" borderId="125" xfId="44" applyNumberFormat="1" applyFont="1" applyBorder="1" applyAlignment="1" applyProtection="1">
      <alignment horizontal="center"/>
    </xf>
    <xf numFmtId="0" fontId="2" fillId="0" borderId="125" xfId="44" applyNumberFormat="1" applyFont="1" applyBorder="1" applyAlignment="1" applyProtection="1">
      <alignment horizontal="right"/>
    </xf>
    <xf numFmtId="0" fontId="2" fillId="0" borderId="125" xfId="44" applyNumberFormat="1" applyFont="1" applyFill="1" applyBorder="1" applyAlignment="1" applyProtection="1">
      <alignment horizontal="center"/>
    </xf>
    <xf numFmtId="0" fontId="2" fillId="0" borderId="126" xfId="44" applyNumberFormat="1" applyFont="1" applyFill="1" applyBorder="1" applyAlignment="1" applyProtection="1">
      <alignment horizontal="center"/>
    </xf>
    <xf numFmtId="0" fontId="3" fillId="0" borderId="127" xfId="44" applyNumberFormat="1" applyFont="1" applyBorder="1" applyProtection="1"/>
    <xf numFmtId="178" fontId="2" fillId="0" borderId="128" xfId="44" applyNumberFormat="1" applyFont="1" applyFill="1" applyBorder="1" applyAlignment="1" applyProtection="1">
      <alignment horizontal="center"/>
    </xf>
    <xf numFmtId="0" fontId="30" fillId="0" borderId="127" xfId="44" applyNumberFormat="1" applyFont="1" applyFill="1" applyBorder="1" applyAlignment="1" applyProtection="1">
      <alignment horizontal="left" wrapText="1"/>
    </xf>
    <xf numFmtId="178" fontId="2" fillId="0" borderId="0" xfId="52" applyFont="1" applyFill="1" applyBorder="1" applyAlignment="1" applyProtection="1">
      <alignment horizontal="center"/>
    </xf>
    <xf numFmtId="178" fontId="2" fillId="0" borderId="128" xfId="52" applyFont="1" applyFill="1" applyBorder="1" applyAlignment="1" applyProtection="1">
      <alignment horizontal="center"/>
    </xf>
    <xf numFmtId="0" fontId="30" fillId="0" borderId="129" xfId="44" applyNumberFormat="1" applyFont="1" applyFill="1" applyBorder="1" applyAlignment="1" applyProtection="1">
      <alignment horizontal="left" wrapText="1"/>
    </xf>
    <xf numFmtId="0" fontId="30" fillId="0" borderId="130" xfId="44" applyNumberFormat="1" applyFont="1" applyFill="1" applyBorder="1" applyAlignment="1" applyProtection="1">
      <alignment horizontal="left" wrapText="1"/>
    </xf>
    <xf numFmtId="0" fontId="30" fillId="0" borderId="130" xfId="44" applyNumberFormat="1" applyFont="1" applyFill="1" applyBorder="1" applyAlignment="1" applyProtection="1"/>
    <xf numFmtId="0" fontId="2" fillId="0" borderId="131" xfId="52" applyNumberFormat="1" applyFont="1" applyFill="1" applyBorder="1" applyAlignment="1" applyProtection="1">
      <alignment horizontal="center"/>
    </xf>
    <xf numFmtId="0" fontId="2" fillId="0" borderId="0" xfId="53" applyNumberFormat="1" applyFont="1" applyFill="1" applyBorder="1" applyAlignment="1" applyProtection="1">
      <alignment horizontal="center"/>
    </xf>
    <xf numFmtId="0" fontId="7" fillId="32" borderId="0" xfId="44" applyNumberFormat="1" applyFont="1" applyFill="1" applyBorder="1" applyAlignment="1" applyProtection="1">
      <alignment horizontal="center"/>
    </xf>
    <xf numFmtId="0" fontId="7" fillId="32" borderId="0" xfId="44" applyNumberFormat="1" applyFont="1" applyFill="1" applyBorder="1" applyAlignment="1" applyProtection="1">
      <alignment horizontal="left"/>
    </xf>
    <xf numFmtId="0" fontId="2" fillId="0" borderId="132" xfId="44" applyNumberFormat="1" applyFont="1" applyFill="1" applyBorder="1" applyAlignment="1" applyProtection="1">
      <alignment vertical="center"/>
    </xf>
    <xf numFmtId="0" fontId="3" fillId="0" borderId="133" xfId="44" applyNumberFormat="1" applyFont="1" applyBorder="1" applyAlignment="1" applyProtection="1">
      <alignment horizontal="center" vertical="center"/>
    </xf>
    <xf numFmtId="0" fontId="3" fillId="0" borderId="134" xfId="44" applyNumberFormat="1" applyFont="1" applyBorder="1" applyAlignment="1" applyProtection="1">
      <alignment vertical="center" wrapText="1"/>
    </xf>
    <xf numFmtId="38" fontId="2" fillId="0" borderId="135" xfId="44" applyNumberFormat="1" applyFont="1" applyFill="1" applyBorder="1" applyAlignment="1" applyProtection="1">
      <alignment vertical="center"/>
    </xf>
    <xf numFmtId="187" fontId="2" fillId="0" borderId="136" xfId="4" applyNumberFormat="1" applyFont="1" applyFill="1" applyBorder="1" applyAlignment="1" applyProtection="1">
      <alignment vertical="center"/>
    </xf>
    <xf numFmtId="187" fontId="2" fillId="0" borderId="137" xfId="4" applyNumberFormat="1" applyFont="1" applyFill="1" applyBorder="1" applyAlignment="1" applyProtection="1">
      <alignment vertical="center"/>
    </xf>
    <xf numFmtId="38" fontId="2" fillId="0" borderId="11" xfId="44" applyNumberFormat="1" applyFont="1" applyFill="1" applyBorder="1" applyAlignment="1" applyProtection="1">
      <alignment vertical="center"/>
    </xf>
    <xf numFmtId="187" fontId="2" fillId="0" borderId="1" xfId="4" applyNumberFormat="1" applyFont="1" applyFill="1" applyBorder="1" applyAlignment="1" applyProtection="1">
      <alignment vertical="center"/>
    </xf>
    <xf numFmtId="187" fontId="2" fillId="0" borderId="12" xfId="4" applyNumberFormat="1" applyFont="1" applyFill="1" applyBorder="1" applyAlignment="1" applyProtection="1">
      <alignment vertical="center"/>
    </xf>
    <xf numFmtId="0" fontId="8" fillId="0" borderId="0" xfId="44" applyNumberFormat="1" applyFont="1" applyFill="1" applyBorder="1" applyAlignment="1" applyProtection="1">
      <alignment horizontal="left"/>
    </xf>
    <xf numFmtId="38" fontId="2" fillId="35" borderId="13" xfId="44" applyNumberFormat="1" applyFont="1" applyFill="1" applyBorder="1" applyAlignment="1" applyProtection="1">
      <alignment vertical="center"/>
    </xf>
    <xf numFmtId="187" fontId="2" fillId="0" borderId="138" xfId="4" applyNumberFormat="1" applyFont="1" applyFill="1" applyBorder="1" applyAlignment="1" applyProtection="1">
      <alignment vertical="center"/>
    </xf>
    <xf numFmtId="187" fontId="2" fillId="0" borderId="14" xfId="4" applyNumberFormat="1" applyFont="1" applyFill="1" applyBorder="1" applyAlignment="1" applyProtection="1">
      <alignment vertical="center"/>
    </xf>
    <xf numFmtId="0" fontId="51" fillId="0" borderId="0" xfId="44" applyNumberFormat="1" applyFont="1" applyFill="1" applyBorder="1" applyProtection="1"/>
    <xf numFmtId="0" fontId="2" fillId="0" borderId="139" xfId="44" applyNumberFormat="1" applyFont="1" applyFill="1" applyBorder="1" applyAlignment="1" applyProtection="1">
      <alignment vertical="center"/>
    </xf>
    <xf numFmtId="0" fontId="3" fillId="0" borderId="133" xfId="44" applyNumberFormat="1" applyFont="1" applyFill="1" applyBorder="1" applyAlignment="1" applyProtection="1">
      <alignment horizontal="center" vertical="center"/>
    </xf>
    <xf numFmtId="0" fontId="3" fillId="0" borderId="134" xfId="44" applyNumberFormat="1" applyFont="1" applyFill="1" applyBorder="1" applyAlignment="1" applyProtection="1">
      <alignment vertical="center" wrapText="1"/>
    </xf>
    <xf numFmtId="38" fontId="2" fillId="0" borderId="0" xfId="44" applyNumberFormat="1" applyFont="1" applyFill="1" applyBorder="1" applyAlignment="1" applyProtection="1">
      <alignment vertical="center"/>
    </xf>
    <xf numFmtId="38" fontId="2" fillId="35" borderId="140" xfId="44" applyNumberFormat="1" applyFont="1" applyFill="1" applyBorder="1" applyAlignment="1" applyProtection="1">
      <alignment vertical="center"/>
    </xf>
    <xf numFmtId="187" fontId="2" fillId="35" borderId="136" xfId="4" applyNumberFormat="1" applyFont="1" applyFill="1" applyBorder="1" applyAlignment="1" applyProtection="1">
      <alignment vertical="center"/>
    </xf>
    <xf numFmtId="187" fontId="2" fillId="35" borderId="137" xfId="44" applyNumberFormat="1" applyFont="1" applyFill="1" applyBorder="1" applyAlignment="1" applyProtection="1">
      <alignment vertical="center"/>
    </xf>
    <xf numFmtId="38" fontId="2" fillId="36" borderId="21" xfId="44" applyNumberFormat="1" applyFont="1" applyFill="1" applyBorder="1" applyAlignment="1" applyProtection="1">
      <alignment vertical="center"/>
    </xf>
    <xf numFmtId="187" fontId="2" fillId="35" borderId="138" xfId="4" applyNumberFormat="1" applyFont="1" applyFill="1" applyBorder="1" applyAlignment="1" applyProtection="1">
      <alignment vertical="center"/>
    </xf>
    <xf numFmtId="187" fontId="2" fillId="35" borderId="14" xfId="44" applyNumberFormat="1" applyFont="1" applyFill="1" applyBorder="1" applyAlignment="1" applyProtection="1">
      <alignment vertical="center"/>
    </xf>
    <xf numFmtId="38" fontId="2" fillId="36" borderId="140" xfId="44" applyNumberFormat="1" applyFont="1" applyFill="1" applyBorder="1" applyAlignment="1" applyProtection="1">
      <alignment vertical="center"/>
    </xf>
    <xf numFmtId="187" fontId="2" fillId="36" borderId="136" xfId="4" applyNumberFormat="1" applyFont="1" applyFill="1" applyBorder="1" applyAlignment="1" applyProtection="1">
      <alignment vertical="center"/>
    </xf>
    <xf numFmtId="187" fontId="2" fillId="0" borderId="0" xfId="4" applyNumberFormat="1" applyFont="1" applyFill="1" applyBorder="1" applyAlignment="1" applyProtection="1">
      <alignment vertical="center"/>
    </xf>
    <xf numFmtId="38" fontId="2" fillId="36" borderId="18" xfId="44" applyNumberFormat="1" applyFont="1" applyFill="1" applyBorder="1" applyAlignment="1" applyProtection="1">
      <alignment vertical="center"/>
    </xf>
    <xf numFmtId="187" fontId="2" fillId="36" borderId="1" xfId="4" applyNumberFormat="1" applyFont="1" applyFill="1" applyBorder="1" applyAlignment="1" applyProtection="1">
      <alignment vertical="center"/>
    </xf>
    <xf numFmtId="187" fontId="2" fillId="36" borderId="138" xfId="4" applyNumberFormat="1" applyFont="1" applyFill="1" applyBorder="1" applyAlignment="1" applyProtection="1">
      <alignment vertical="center"/>
    </xf>
    <xf numFmtId="0" fontId="52" fillId="0" borderId="0" xfId="44" applyNumberFormat="1" applyFont="1" applyFill="1" applyBorder="1" applyProtection="1"/>
    <xf numFmtId="0" fontId="30" fillId="0" borderId="0" xfId="44" applyNumberFormat="1" applyFont="1" applyFill="1" applyBorder="1" applyProtection="1"/>
    <xf numFmtId="0" fontId="21" fillId="0" borderId="0" xfId="44" applyNumberFormat="1" applyFont="1" applyFill="1" applyBorder="1" applyAlignment="1" applyProtection="1">
      <alignment wrapText="1"/>
    </xf>
    <xf numFmtId="0" fontId="53" fillId="0" borderId="0" xfId="44" applyNumberFormat="1" applyFont="1" applyAlignment="1" applyProtection="1">
      <alignment horizontal="left"/>
    </xf>
    <xf numFmtId="0" fontId="8" fillId="0" borderId="0" xfId="44" applyNumberFormat="1" applyFont="1" applyFill="1" applyBorder="1" applyAlignment="1" applyProtection="1">
      <alignment vertical="center" wrapText="1"/>
    </xf>
    <xf numFmtId="0" fontId="3" fillId="0" borderId="0" xfId="44" applyNumberFormat="1" applyFont="1" applyFill="1" applyBorder="1" applyAlignment="1" applyProtection="1">
      <alignment vertical="center"/>
    </xf>
    <xf numFmtId="0" fontId="21" fillId="0" borderId="0" xfId="44" applyNumberFormat="1" applyFont="1" applyFill="1" applyBorder="1" applyAlignment="1" applyProtection="1">
      <alignment horizontal="center" wrapText="1"/>
    </xf>
    <xf numFmtId="187" fontId="2" fillId="36" borderId="137" xfId="44" applyNumberFormat="1" applyFont="1" applyFill="1" applyBorder="1" applyAlignment="1" applyProtection="1">
      <alignment vertical="center"/>
    </xf>
    <xf numFmtId="187" fontId="2" fillId="36" borderId="12" xfId="44" applyNumberFormat="1" applyFont="1" applyFill="1" applyBorder="1" applyAlignment="1" applyProtection="1">
      <alignment vertical="center"/>
    </xf>
    <xf numFmtId="187" fontId="2" fillId="36" borderId="14" xfId="44" applyNumberFormat="1" applyFont="1" applyFill="1" applyBorder="1" applyAlignment="1" applyProtection="1">
      <alignment vertical="center"/>
    </xf>
    <xf numFmtId="0" fontId="3" fillId="0" borderId="15" xfId="44" applyNumberFormat="1" applyFont="1" applyFill="1" applyBorder="1" applyAlignment="1" applyProtection="1">
      <alignment horizontal="center"/>
    </xf>
    <xf numFmtId="0" fontId="3" fillId="0" borderId="16" xfId="44" applyNumberFormat="1" applyFont="1" applyFill="1" applyBorder="1" applyAlignment="1" applyProtection="1">
      <alignment horizontal="center"/>
    </xf>
    <xf numFmtId="0" fontId="3" fillId="0" borderId="141" xfId="44" applyNumberFormat="1" applyFont="1" applyFill="1" applyBorder="1" applyAlignment="1" applyProtection="1">
      <alignment horizontal="center"/>
    </xf>
    <xf numFmtId="0" fontId="3" fillId="0" borderId="11" xfId="44" applyNumberFormat="1" applyFont="1" applyFill="1" applyBorder="1" applyAlignment="1" applyProtection="1">
      <alignment horizontal="center"/>
    </xf>
    <xf numFmtId="0" fontId="3" fillId="0" borderId="1" xfId="44" applyNumberFormat="1" applyFont="1" applyFill="1" applyBorder="1" applyAlignment="1" applyProtection="1">
      <alignment horizontal="center"/>
    </xf>
    <xf numFmtId="0" fontId="3" fillId="0" borderId="12" xfId="44" applyNumberFormat="1" applyFont="1" applyFill="1" applyBorder="1" applyAlignment="1" applyProtection="1">
      <alignment horizontal="center"/>
    </xf>
    <xf numFmtId="0" fontId="2" fillId="0" borderId="142" xfId="44" applyNumberFormat="1" applyFont="1" applyFill="1" applyBorder="1" applyProtection="1"/>
    <xf numFmtId="193" fontId="2" fillId="0" borderId="11" xfId="44" applyNumberFormat="1" applyFont="1" applyFill="1" applyBorder="1" applyProtection="1"/>
    <xf numFmtId="0" fontId="2" fillId="0" borderId="143" xfId="44" applyNumberFormat="1" applyFont="1" applyFill="1" applyBorder="1" applyProtection="1"/>
    <xf numFmtId="0" fontId="2" fillId="0" borderId="144" xfId="44" applyNumberFormat="1" applyFont="1" applyFill="1" applyBorder="1" applyProtection="1"/>
    <xf numFmtId="0" fontId="2" fillId="37" borderId="145" xfId="44" applyNumberFormat="1" applyFont="1" applyFill="1" applyBorder="1" applyAlignment="1" applyProtection="1">
      <alignment horizontal="center" vertical="center" textRotation="135"/>
    </xf>
    <xf numFmtId="0" fontId="2" fillId="37" borderId="146" xfId="44" applyNumberFormat="1" applyFont="1" applyFill="1" applyBorder="1" applyAlignment="1" applyProtection="1">
      <alignment horizontal="center" vertical="center" textRotation="135"/>
    </xf>
    <xf numFmtId="0" fontId="2" fillId="37" borderId="147" xfId="44" applyNumberFormat="1" applyFont="1" applyFill="1" applyBorder="1" applyAlignment="1" applyProtection="1">
      <alignment horizontal="center" vertical="center" textRotation="135"/>
    </xf>
    <xf numFmtId="0" fontId="2" fillId="37" borderId="145" xfId="44" applyNumberFormat="1" applyFont="1" applyFill="1" applyBorder="1" applyAlignment="1" applyProtection="1">
      <alignment horizontal="center" vertical="center" textRotation="135" wrapText="1"/>
    </xf>
    <xf numFmtId="0" fontId="2" fillId="37" borderId="146" xfId="44" applyNumberFormat="1" applyFont="1" applyFill="1" applyBorder="1" applyAlignment="1" applyProtection="1">
      <alignment horizontal="center" vertical="center" textRotation="135" wrapText="1"/>
    </xf>
    <xf numFmtId="0" fontId="2" fillId="37" borderId="147" xfId="44" applyNumberFormat="1" applyFont="1" applyFill="1" applyBorder="1" applyAlignment="1" applyProtection="1">
      <alignment horizontal="center" vertical="center" textRotation="135" wrapText="1"/>
    </xf>
    <xf numFmtId="0" fontId="54" fillId="0" borderId="0" xfId="44" applyNumberFormat="1" applyFont="1" applyFill="1" applyBorder="1" applyProtection="1"/>
    <xf numFmtId="0" fontId="2" fillId="37" borderId="145" xfId="44" applyNumberFormat="1" applyFont="1" applyFill="1" applyBorder="1" applyAlignment="1" applyProtection="1">
      <alignment horizontal="center" vertical="center" textRotation="135" shrinkToFit="1"/>
    </xf>
    <xf numFmtId="0" fontId="2" fillId="37" borderId="146" xfId="44" applyNumberFormat="1" applyFont="1" applyFill="1" applyBorder="1" applyAlignment="1" applyProtection="1">
      <alignment horizontal="center" vertical="center" textRotation="135" shrinkToFit="1"/>
    </xf>
    <xf numFmtId="0" fontId="2" fillId="37" borderId="147" xfId="44" applyNumberFormat="1" applyFont="1" applyFill="1" applyBorder="1" applyAlignment="1" applyProtection="1">
      <alignment horizontal="center" vertical="center" textRotation="135" shrinkToFit="1"/>
    </xf>
    <xf numFmtId="181" fontId="2" fillId="0" borderId="0" xfId="44" applyFont="1" applyAlignment="1" applyProtection="1">
      <alignment horizontal="center"/>
    </xf>
    <xf numFmtId="1" fontId="2" fillId="0" borderId="0" xfId="44" applyNumberFormat="1" applyFont="1" applyProtection="1"/>
    <xf numFmtId="3" fontId="2" fillId="0" borderId="0" xfId="44" applyNumberFormat="1" applyFont="1" applyProtection="1"/>
    <xf numFmtId="179" fontId="2" fillId="0" borderId="0" xfId="44" applyNumberFormat="1" applyFont="1" applyProtection="1"/>
    <xf numFmtId="2" fontId="2" fillId="0" borderId="0" xfId="44" applyNumberFormat="1" applyFont="1" applyProtection="1"/>
    <xf numFmtId="0" fontId="2" fillId="33" borderId="148" xfId="44" applyNumberFormat="1" applyFont="1" applyFill="1" applyBorder="1" applyProtection="1"/>
    <xf numFmtId="0" fontId="2" fillId="33" borderId="115" xfId="44" applyNumberFormat="1" applyFont="1" applyFill="1" applyBorder="1" applyProtection="1"/>
    <xf numFmtId="181" fontId="2" fillId="33" borderId="149" xfId="44" applyFont="1" applyFill="1" applyBorder="1" applyProtection="1"/>
    <xf numFmtId="0" fontId="2" fillId="33" borderId="148" xfId="44" applyNumberFormat="1" applyFont="1" applyFill="1" applyBorder="1" applyAlignment="1" applyProtection="1"/>
    <xf numFmtId="0" fontId="2" fillId="33" borderId="115" xfId="44" applyNumberFormat="1" applyFont="1" applyFill="1" applyBorder="1" applyAlignment="1" applyProtection="1"/>
    <xf numFmtId="0" fontId="2" fillId="33" borderId="40" xfId="44" applyNumberFormat="1" applyFont="1" applyFill="1" applyBorder="1" applyProtection="1"/>
    <xf numFmtId="0" fontId="3" fillId="33" borderId="41" xfId="44" applyNumberFormat="1" applyFont="1" applyFill="1" applyBorder="1" applyProtection="1"/>
    <xf numFmtId="0" fontId="2" fillId="33" borderId="41" xfId="44" applyNumberFormat="1" applyFont="1" applyFill="1" applyBorder="1" applyProtection="1"/>
    <xf numFmtId="181" fontId="2" fillId="33" borderId="150" xfId="44" applyFont="1" applyFill="1" applyBorder="1" applyProtection="1"/>
    <xf numFmtId="0" fontId="2" fillId="0" borderId="41" xfId="44" applyNumberFormat="1" applyFont="1" applyFill="1" applyBorder="1" applyAlignment="1" applyProtection="1">
      <alignment horizontal="center"/>
    </xf>
    <xf numFmtId="0" fontId="3" fillId="33" borderId="151" xfId="44" applyNumberFormat="1" applyFont="1" applyFill="1" applyBorder="1" applyAlignment="1" applyProtection="1">
      <alignment horizontal="center"/>
    </xf>
    <xf numFmtId="0" fontId="3" fillId="33" borderId="0" xfId="44" applyNumberFormat="1" applyFont="1" applyFill="1" applyBorder="1" applyAlignment="1" applyProtection="1">
      <alignment horizontal="center"/>
    </xf>
    <xf numFmtId="0" fontId="2" fillId="33" borderId="0" xfId="44" applyNumberFormat="1" applyFont="1" applyFill="1" applyBorder="1" applyAlignment="1" applyProtection="1">
      <alignment horizontal="center"/>
    </xf>
    <xf numFmtId="178" fontId="2" fillId="0" borderId="152" xfId="44" applyNumberFormat="1" applyFont="1" applyBorder="1" applyProtection="1"/>
    <xf numFmtId="193" fontId="2" fillId="0" borderId="152" xfId="44" applyNumberFormat="1" applyFont="1" applyBorder="1" applyProtection="1"/>
    <xf numFmtId="0" fontId="2" fillId="33" borderId="151" xfId="44" applyNumberFormat="1" applyFont="1" applyFill="1" applyBorder="1" applyProtection="1"/>
    <xf numFmtId="0" fontId="3" fillId="33" borderId="0" xfId="44" applyNumberFormat="1" applyFont="1" applyFill="1" applyBorder="1" applyAlignment="1" applyProtection="1">
      <alignment horizontal="right"/>
    </xf>
    <xf numFmtId="0" fontId="2" fillId="33" borderId="0" xfId="44" applyNumberFormat="1" applyFont="1" applyFill="1" applyBorder="1" applyProtection="1"/>
    <xf numFmtId="0" fontId="2" fillId="0" borderId="152" xfId="44" applyNumberFormat="1" applyFont="1" applyBorder="1" applyProtection="1"/>
    <xf numFmtId="0" fontId="13" fillId="33" borderId="113" xfId="44" applyNumberFormat="1" applyFont="1" applyFill="1" applyBorder="1" applyAlignment="1" applyProtection="1">
      <alignment horizontal="center"/>
    </xf>
    <xf numFmtId="0" fontId="13" fillId="33" borderId="38" xfId="44" applyNumberFormat="1" applyFont="1" applyFill="1" applyBorder="1" applyAlignment="1" applyProtection="1">
      <alignment horizontal="center"/>
    </xf>
    <xf numFmtId="0" fontId="13" fillId="33" borderId="38" xfId="44" applyNumberFormat="1" applyFont="1" applyFill="1" applyBorder="1" applyProtection="1"/>
    <xf numFmtId="40" fontId="13" fillId="0" borderId="153" xfId="14" applyFont="1" applyBorder="1" applyProtection="1"/>
    <xf numFmtId="40" fontId="13" fillId="0" borderId="38" xfId="14" applyFont="1" applyFill="1" applyBorder="1" applyProtection="1"/>
    <xf numFmtId="0" fontId="2" fillId="0" borderId="0" xfId="14" applyNumberFormat="1" applyFont="1" applyProtection="1"/>
    <xf numFmtId="0" fontId="3" fillId="0" borderId="92" xfId="44" applyNumberFormat="1" applyFont="1" applyFill="1" applyBorder="1" applyAlignment="1" applyProtection="1">
      <alignment horizontal="left"/>
    </xf>
    <xf numFmtId="40" fontId="2" fillId="0" borderId="93" xfId="14" applyNumberFormat="1" applyFont="1" applyFill="1" applyBorder="1" applyProtection="1"/>
    <xf numFmtId="0" fontId="55" fillId="0" borderId="0" xfId="44" applyNumberFormat="1" applyFont="1" applyAlignment="1" applyProtection="1">
      <alignment horizontal="left"/>
    </xf>
    <xf numFmtId="0" fontId="3" fillId="0" borderId="102" xfId="44" applyNumberFormat="1" applyFont="1" applyFill="1" applyBorder="1" applyAlignment="1" applyProtection="1">
      <alignment horizontal="center" vertical="center"/>
    </xf>
    <xf numFmtId="0" fontId="3" fillId="0" borderId="103" xfId="44" applyNumberFormat="1" applyFont="1" applyFill="1" applyBorder="1" applyAlignment="1" applyProtection="1">
      <alignment horizontal="center" vertical="center"/>
    </xf>
    <xf numFmtId="0" fontId="3" fillId="0" borderId="103" xfId="44" applyNumberFormat="1" applyFont="1" applyFill="1" applyBorder="1" applyAlignment="1" applyProtection="1">
      <alignment horizontal="left"/>
    </xf>
    <xf numFmtId="193" fontId="2" fillId="0" borderId="104" xfId="44" applyNumberFormat="1" applyFont="1" applyFill="1" applyBorder="1" applyProtection="1"/>
    <xf numFmtId="0" fontId="55" fillId="0" borderId="0" xfId="44" applyNumberFormat="1" applyFont="1" applyProtection="1"/>
    <xf numFmtId="0" fontId="2" fillId="0" borderId="154" xfId="44" applyNumberFormat="1" applyFont="1" applyFill="1" applyBorder="1" applyAlignment="1" applyProtection="1">
      <alignment horizontal="center"/>
    </xf>
    <xf numFmtId="0" fontId="2" fillId="0" borderId="155" xfId="44" applyNumberFormat="1" applyFont="1" applyFill="1" applyBorder="1" applyAlignment="1" applyProtection="1">
      <alignment horizontal="center"/>
    </xf>
    <xf numFmtId="0" fontId="2" fillId="0" borderId="156" xfId="44" applyNumberFormat="1" applyFont="1" applyFill="1" applyBorder="1" applyAlignment="1" applyProtection="1">
      <alignment horizontal="center"/>
    </xf>
    <xf numFmtId="0" fontId="2" fillId="0" borderId="102" xfId="44" applyNumberFormat="1" applyFont="1" applyFill="1" applyBorder="1" applyAlignment="1" applyProtection="1">
      <alignment horizontal="center"/>
    </xf>
    <xf numFmtId="0" fontId="2" fillId="0" borderId="103" xfId="44" applyNumberFormat="1" applyFont="1" applyFill="1" applyBorder="1" applyAlignment="1" applyProtection="1">
      <alignment horizontal="center"/>
    </xf>
    <xf numFmtId="38" fontId="2" fillId="0" borderId="103" xfId="14" applyNumberFormat="1" applyFont="1" applyFill="1" applyBorder="1" applyProtection="1"/>
    <xf numFmtId="40" fontId="2" fillId="0" borderId="104" xfId="14" applyNumberFormat="1" applyFont="1" applyFill="1" applyBorder="1" applyProtection="1"/>
    <xf numFmtId="193" fontId="2" fillId="0" borderId="103" xfId="44" applyNumberFormat="1" applyFont="1" applyFill="1" applyBorder="1" applyProtection="1"/>
    <xf numFmtId="193" fontId="2" fillId="0" borderId="103" xfId="52" applyNumberFormat="1" applyFont="1" applyFill="1" applyBorder="1" applyProtection="1"/>
    <xf numFmtId="38" fontId="2" fillId="0" borderId="104" xfId="14" applyNumberFormat="1" applyFont="1" applyFill="1" applyBorder="1" applyProtection="1"/>
    <xf numFmtId="0" fontId="2" fillId="0" borderId="0" xfId="52" applyNumberFormat="1" applyFont="1" applyFill="1" applyProtection="1"/>
    <xf numFmtId="0" fontId="2" fillId="0" borderId="0" xfId="52" applyNumberFormat="1" applyFont="1" applyProtection="1"/>
    <xf numFmtId="0" fontId="2" fillId="0" borderId="105" xfId="44" applyNumberFormat="1" applyFont="1" applyFill="1" applyBorder="1" applyAlignment="1" applyProtection="1">
      <alignment horizontal="center"/>
    </xf>
    <xf numFmtId="0" fontId="2" fillId="0" borderId="106" xfId="44" applyNumberFormat="1" applyFont="1" applyFill="1" applyBorder="1" applyAlignment="1" applyProtection="1">
      <alignment horizontal="center"/>
    </xf>
    <xf numFmtId="193" fontId="2" fillId="0" borderId="106" xfId="44" applyNumberFormat="1" applyFont="1" applyFill="1" applyBorder="1" applyProtection="1"/>
    <xf numFmtId="38" fontId="2" fillId="0" borderId="107" xfId="14" applyNumberFormat="1" applyFont="1" applyFill="1" applyBorder="1" applyProtection="1"/>
    <xf numFmtId="178" fontId="2" fillId="0" borderId="0" xfId="44" applyNumberFormat="1" applyFont="1" applyFill="1" applyBorder="1" applyProtection="1"/>
    <xf numFmtId="0" fontId="56" fillId="0" borderId="0" xfId="44" applyNumberFormat="1" applyFont="1" applyAlignment="1" applyProtection="1">
      <alignment horizontal="left" vertical="center"/>
    </xf>
    <xf numFmtId="0" fontId="56" fillId="0" borderId="0" xfId="44" applyNumberFormat="1" applyFont="1" applyAlignment="1" applyProtection="1">
      <alignment vertical="center"/>
    </xf>
    <xf numFmtId="0" fontId="3" fillId="33" borderId="40" xfId="44" applyNumberFormat="1" applyFont="1" applyFill="1" applyBorder="1" applyProtection="1"/>
    <xf numFmtId="0" fontId="3" fillId="0" borderId="0" xfId="44" applyNumberFormat="1" applyFont="1" applyFill="1" applyBorder="1" applyAlignment="1" applyProtection="1">
      <alignment horizontal="left" vertical="center" wrapText="1"/>
    </xf>
    <xf numFmtId="2" fontId="1" fillId="0" borderId="0" xfId="44" applyNumberFormat="1" applyBorder="1" applyProtection="1"/>
    <xf numFmtId="2" fontId="1" fillId="0" borderId="0" xfId="44" applyNumberFormat="1" applyFill="1" applyBorder="1" applyProtection="1"/>
    <xf numFmtId="2" fontId="1" fillId="0" borderId="0" xfId="44" applyNumberFormat="1" applyProtection="1"/>
    <xf numFmtId="2" fontId="8" fillId="0" borderId="0" xfId="44" applyNumberFormat="1" applyFont="1" applyProtection="1"/>
    <xf numFmtId="2" fontId="3" fillId="0" borderId="0" xfId="44" applyNumberFormat="1" applyFont="1" applyProtection="1"/>
    <xf numFmtId="2" fontId="2" fillId="33" borderId="115" xfId="44" applyNumberFormat="1" applyFont="1" applyFill="1" applyBorder="1" applyAlignment="1" applyProtection="1"/>
    <xf numFmtId="181" fontId="2" fillId="0" borderId="41" xfId="44" applyNumberFormat="1" applyFont="1" applyFill="1" applyBorder="1" applyAlignment="1" applyProtection="1">
      <alignment horizontal="left"/>
    </xf>
    <xf numFmtId="181" fontId="2" fillId="0" borderId="41" xfId="44" applyFont="1" applyFill="1" applyBorder="1" applyProtection="1"/>
    <xf numFmtId="0" fontId="2" fillId="0" borderId="41" xfId="44" applyNumberFormat="1" applyFont="1" applyFill="1" applyBorder="1" applyProtection="1"/>
    <xf numFmtId="2" fontId="2" fillId="0" borderId="41" xfId="44" applyNumberFormat="1" applyFont="1" applyFill="1" applyBorder="1" applyProtection="1"/>
    <xf numFmtId="2" fontId="2" fillId="0" borderId="0" xfId="44" applyNumberFormat="1" applyFont="1" applyFill="1" applyBorder="1" applyProtection="1"/>
    <xf numFmtId="38" fontId="2" fillId="0" borderId="0" xfId="44" applyNumberFormat="1" applyFont="1" applyFill="1" applyBorder="1" applyProtection="1"/>
    <xf numFmtId="2" fontId="13" fillId="0" borderId="38" xfId="14" applyNumberFormat="1" applyFont="1" applyFill="1" applyBorder="1" applyProtection="1"/>
    <xf numFmtId="40" fontId="55" fillId="0" borderId="0" xfId="14" applyNumberFormat="1" applyFont="1" applyProtection="1"/>
    <xf numFmtId="38" fontId="57" fillId="0" borderId="0" xfId="14" applyNumberFormat="1" applyFont="1" applyProtection="1"/>
    <xf numFmtId="2" fontId="57" fillId="0" borderId="0" xfId="14" applyNumberFormat="1" applyFont="1" applyProtection="1"/>
    <xf numFmtId="0" fontId="57" fillId="0" borderId="0" xfId="44" applyNumberFormat="1" applyFont="1" applyProtection="1"/>
    <xf numFmtId="193" fontId="55" fillId="0" borderId="0" xfId="44" applyNumberFormat="1" applyFont="1" applyProtection="1"/>
    <xf numFmtId="2" fontId="57" fillId="0" borderId="0" xfId="44" applyNumberFormat="1" applyFont="1" applyProtection="1"/>
    <xf numFmtId="2" fontId="2" fillId="0" borderId="0" xfId="14" applyNumberFormat="1" applyFont="1" applyProtection="1"/>
    <xf numFmtId="2" fontId="2" fillId="0" borderId="0" xfId="52" applyNumberFormat="1" applyFont="1" applyProtection="1"/>
    <xf numFmtId="181" fontId="2" fillId="0" borderId="0" xfId="44" applyNumberFormat="1" applyFont="1" applyFill="1" applyBorder="1" applyAlignment="1" applyProtection="1">
      <alignment horizontal="left"/>
    </xf>
    <xf numFmtId="2" fontId="3" fillId="0" borderId="0" xfId="44" applyNumberFormat="1" applyFont="1" applyAlignment="1" applyProtection="1">
      <alignment horizontal="left"/>
    </xf>
    <xf numFmtId="0" fontId="13" fillId="33" borderId="151" xfId="44" applyNumberFormat="1" applyFont="1" applyFill="1" applyBorder="1" applyProtection="1"/>
    <xf numFmtId="193" fontId="13" fillId="0" borderId="152" xfId="44" applyNumberFormat="1" applyFont="1" applyBorder="1" applyProtection="1"/>
    <xf numFmtId="178" fontId="2" fillId="0" borderId="0" xfId="52" applyFont="1" applyFill="1" applyBorder="1" applyProtection="1"/>
    <xf numFmtId="10" fontId="2" fillId="0" borderId="152" xfId="53" applyNumberFormat="1" applyFont="1" applyBorder="1" applyProtection="1"/>
    <xf numFmtId="10" fontId="2" fillId="0" borderId="0" xfId="53" applyNumberFormat="1" applyFont="1" applyFill="1" applyBorder="1" applyProtection="1"/>
    <xf numFmtId="38" fontId="55" fillId="0" borderId="0" xfId="14" applyNumberFormat="1" applyFont="1" applyFill="1" applyBorder="1" applyProtection="1"/>
    <xf numFmtId="0" fontId="2" fillId="0" borderId="152" xfId="53" applyNumberFormat="1" applyFont="1" applyBorder="1" applyProtection="1"/>
    <xf numFmtId="0" fontId="2" fillId="33" borderId="113" xfId="44" applyNumberFormat="1" applyFont="1" applyFill="1" applyBorder="1" applyProtection="1"/>
    <xf numFmtId="0" fontId="2" fillId="33" borderId="38" xfId="44" applyNumberFormat="1" applyFont="1" applyFill="1" applyBorder="1" applyAlignment="1" applyProtection="1">
      <alignment horizontal="center"/>
    </xf>
    <xf numFmtId="0" fontId="2" fillId="0" borderId="153" xfId="44" applyNumberFormat="1" applyFont="1" applyBorder="1" applyProtection="1"/>
    <xf numFmtId="10" fontId="2" fillId="0" borderId="38" xfId="53" applyNumberFormat="1" applyFont="1" applyFill="1" applyBorder="1" applyProtection="1"/>
    <xf numFmtId="0" fontId="13" fillId="0" borderId="0" xfId="44" applyNumberFormat="1" applyFont="1" applyAlignment="1" applyProtection="1">
      <alignment horizontal="right"/>
    </xf>
    <xf numFmtId="0" fontId="13" fillId="0" borderId="157" xfId="44" applyNumberFormat="1" applyFont="1" applyFill="1" applyBorder="1" applyProtection="1"/>
    <xf numFmtId="0" fontId="2" fillId="0" borderId="158" xfId="44" applyNumberFormat="1" applyFont="1" applyFill="1" applyBorder="1" applyAlignment="1" applyProtection="1">
      <alignment horizontal="center"/>
    </xf>
    <xf numFmtId="193" fontId="13" fillId="4" borderId="159" xfId="44" applyNumberFormat="1" applyFont="1" applyFill="1" applyBorder="1" applyProtection="1">
      <protection locked="0"/>
    </xf>
    <xf numFmtId="0" fontId="2" fillId="0" borderId="158" xfId="44" applyNumberFormat="1" applyFont="1" applyFill="1" applyBorder="1" applyProtection="1"/>
    <xf numFmtId="0" fontId="2" fillId="0" borderId="160" xfId="44" applyNumberFormat="1" applyFont="1" applyFill="1" applyBorder="1" applyProtection="1"/>
    <xf numFmtId="0" fontId="2" fillId="0" borderId="161" xfId="44" applyNumberFormat="1" applyFont="1" applyFill="1" applyBorder="1" applyProtection="1"/>
    <xf numFmtId="10" fontId="2" fillId="0" borderId="161" xfId="53" applyNumberFormat="1" applyFont="1" applyFill="1" applyBorder="1" applyProtection="1"/>
    <xf numFmtId="193" fontId="2" fillId="0" borderId="161" xfId="44" applyNumberFormat="1" applyFont="1" applyFill="1" applyBorder="1" applyProtection="1"/>
    <xf numFmtId="0" fontId="2" fillId="0" borderId="161" xfId="53" applyNumberFormat="1" applyFont="1" applyFill="1" applyBorder="1" applyProtection="1"/>
    <xf numFmtId="0" fontId="55" fillId="0" borderId="160" xfId="44" applyNumberFormat="1" applyFont="1" applyFill="1" applyBorder="1" applyAlignment="1" applyProtection="1">
      <alignment horizontal="left"/>
    </xf>
    <xf numFmtId="0" fontId="55" fillId="0" borderId="0" xfId="44" applyNumberFormat="1" applyFont="1" applyFill="1" applyBorder="1" applyAlignment="1" applyProtection="1">
      <alignment horizontal="left"/>
    </xf>
    <xf numFmtId="2" fontId="55" fillId="0" borderId="161" xfId="44" applyNumberFormat="1" applyFont="1" applyFill="1" applyBorder="1" applyAlignment="1" applyProtection="1">
      <alignment horizontal="right"/>
    </xf>
    <xf numFmtId="0" fontId="55" fillId="0" borderId="162" xfId="44" applyNumberFormat="1" applyFont="1" applyFill="1" applyBorder="1" applyProtection="1"/>
    <xf numFmtId="0" fontId="55" fillId="0" borderId="163" xfId="44" applyNumberFormat="1" applyFont="1" applyFill="1" applyBorder="1" applyAlignment="1" applyProtection="1">
      <alignment horizontal="left"/>
    </xf>
    <xf numFmtId="193" fontId="55" fillId="0" borderId="164" xfId="44" applyNumberFormat="1" applyFont="1" applyFill="1" applyBorder="1" applyAlignment="1" applyProtection="1">
      <alignment horizontal="right"/>
    </xf>
    <xf numFmtId="181" fontId="2" fillId="0" borderId="163" xfId="44" applyFont="1" applyFill="1" applyBorder="1" applyProtection="1"/>
    <xf numFmtId="0" fontId="2" fillId="0" borderId="163" xfId="44" applyNumberFormat="1" applyFont="1" applyFill="1" applyBorder="1" applyProtection="1"/>
    <xf numFmtId="0" fontId="55" fillId="0" borderId="0" xfId="44" applyNumberFormat="1" applyFont="1" applyFill="1" applyBorder="1" applyProtection="1"/>
    <xf numFmtId="193" fontId="55" fillId="0" borderId="0" xfId="44" applyNumberFormat="1" applyFont="1" applyFill="1" applyBorder="1" applyAlignment="1" applyProtection="1">
      <alignment horizontal="right"/>
    </xf>
    <xf numFmtId="0" fontId="13" fillId="0" borderId="157" xfId="44" applyNumberFormat="1" applyFont="1" applyBorder="1" applyProtection="1"/>
    <xf numFmtId="0" fontId="2" fillId="0" borderId="158" xfId="44" applyNumberFormat="1" applyFont="1" applyBorder="1" applyAlignment="1" applyProtection="1">
      <alignment horizontal="center"/>
    </xf>
    <xf numFmtId="0" fontId="2" fillId="0" borderId="158" xfId="44" applyNumberFormat="1" applyFont="1" applyBorder="1" applyProtection="1"/>
    <xf numFmtId="0" fontId="2" fillId="0" borderId="160" xfId="44" applyNumberFormat="1" applyFont="1" applyBorder="1" applyProtection="1"/>
    <xf numFmtId="0" fontId="2" fillId="0" borderId="161" xfId="44" applyNumberFormat="1" applyFont="1" applyBorder="1" applyProtection="1"/>
    <xf numFmtId="10" fontId="2" fillId="0" borderId="161" xfId="53" applyNumberFormat="1" applyFont="1" applyBorder="1" applyProtection="1"/>
    <xf numFmtId="193" fontId="2" fillId="0" borderId="161" xfId="44" applyNumberFormat="1" applyFont="1" applyBorder="1" applyProtection="1"/>
    <xf numFmtId="0" fontId="2" fillId="0" borderId="161" xfId="53" applyNumberFormat="1" applyFont="1" applyBorder="1" applyProtection="1"/>
    <xf numFmtId="0" fontId="55" fillId="0" borderId="160" xfId="44" applyNumberFormat="1" applyFont="1" applyBorder="1" applyAlignment="1" applyProtection="1">
      <alignment horizontal="left"/>
    </xf>
    <xf numFmtId="0" fontId="55" fillId="0" borderId="0" xfId="44" applyNumberFormat="1" applyFont="1" applyBorder="1" applyAlignment="1" applyProtection="1">
      <alignment horizontal="left"/>
    </xf>
    <xf numFmtId="2" fontId="55" fillId="0" borderId="161" xfId="44" applyNumberFormat="1" applyFont="1" applyBorder="1" applyAlignment="1" applyProtection="1">
      <alignment horizontal="right"/>
    </xf>
    <xf numFmtId="0" fontId="55" fillId="0" borderId="162" xfId="44" applyNumberFormat="1" applyFont="1" applyBorder="1" applyProtection="1"/>
    <xf numFmtId="0" fontId="55" fillId="0" borderId="163" xfId="44" applyNumberFormat="1" applyFont="1" applyBorder="1" applyAlignment="1" applyProtection="1">
      <alignment horizontal="left"/>
    </xf>
    <xf numFmtId="193" fontId="55" fillId="0" borderId="164" xfId="44" applyNumberFormat="1" applyFont="1" applyBorder="1" applyAlignment="1" applyProtection="1">
      <alignment horizontal="right"/>
    </xf>
    <xf numFmtId="0" fontId="3" fillId="0" borderId="163" xfId="44" applyNumberFormat="1" applyFont="1" applyFill="1" applyBorder="1" applyAlignment="1" applyProtection="1">
      <alignment horizontal="center"/>
    </xf>
    <xf numFmtId="193" fontId="55" fillId="0" borderId="0" xfId="44" applyNumberFormat="1" applyFont="1" applyAlignment="1" applyProtection="1">
      <alignment horizontal="right"/>
    </xf>
    <xf numFmtId="0" fontId="58" fillId="0" borderId="0" xfId="44" applyNumberFormat="1" applyFont="1" applyAlignment="1" applyProtection="1">
      <alignment vertical="center"/>
    </xf>
    <xf numFmtId="178" fontId="22" fillId="0" borderId="0" xfId="52" applyFont="1" applyFill="1" applyBorder="1" applyProtection="1"/>
    <xf numFmtId="0" fontId="2" fillId="0" borderId="157" xfId="44" applyNumberFormat="1" applyFont="1" applyBorder="1" applyProtection="1"/>
    <xf numFmtId="193" fontId="2" fillId="0" borderId="159" xfId="44" applyNumberFormat="1" applyFont="1" applyBorder="1" applyProtection="1"/>
    <xf numFmtId="0" fontId="13" fillId="0" borderId="160" xfId="44" applyNumberFormat="1" applyFont="1" applyBorder="1" applyProtection="1"/>
    <xf numFmtId="178" fontId="22" fillId="4" borderId="0" xfId="52" applyFont="1" applyFill="1" applyBorder="1" applyProtection="1">
      <protection locked="0"/>
    </xf>
    <xf numFmtId="181" fontId="2" fillId="0" borderId="158" xfId="44" applyFont="1" applyFill="1" applyBorder="1" applyProtection="1"/>
    <xf numFmtId="2" fontId="2" fillId="0" borderId="163" xfId="44" applyNumberFormat="1" applyFont="1" applyFill="1" applyBorder="1" applyProtection="1"/>
    <xf numFmtId="181" fontId="2" fillId="0" borderId="158" xfId="44" applyFont="1" applyBorder="1" applyProtection="1"/>
    <xf numFmtId="2" fontId="55" fillId="0" borderId="0" xfId="44" applyNumberFormat="1" applyFont="1" applyFill="1" applyBorder="1" applyAlignment="1" applyProtection="1">
      <alignment horizontal="right"/>
    </xf>
    <xf numFmtId="2" fontId="55" fillId="0" borderId="163" xfId="44" applyNumberFormat="1" applyFont="1" applyFill="1" applyBorder="1" applyAlignment="1" applyProtection="1">
      <alignment horizontal="right"/>
    </xf>
    <xf numFmtId="2" fontId="55" fillId="0" borderId="0" xfId="44" applyNumberFormat="1" applyFont="1" applyAlignment="1" applyProtection="1">
      <alignment horizontal="right"/>
    </xf>
    <xf numFmtId="178" fontId="22" fillId="0" borderId="0" xfId="52" applyFont="1" applyFill="1" applyBorder="1" applyProtection="1">
      <protection locked="0"/>
    </xf>
    <xf numFmtId="2" fontId="2" fillId="0" borderId="0" xfId="44" applyNumberFormat="1" applyFont="1" applyProtection="1">
      <protection locked="0"/>
    </xf>
    <xf numFmtId="38" fontId="55" fillId="0" borderId="0" xfId="14" applyNumberFormat="1" applyFont="1" applyBorder="1" applyProtection="1"/>
    <xf numFmtId="0" fontId="2" fillId="0" borderId="0" xfId="52" applyNumberFormat="1" applyFont="1" applyBorder="1" applyProtection="1"/>
    <xf numFmtId="178" fontId="2" fillId="0" borderId="0" xfId="52" applyFont="1" applyBorder="1" applyProtection="1"/>
    <xf numFmtId="2" fontId="55" fillId="0" borderId="0" xfId="44" applyNumberFormat="1" applyFont="1" applyProtection="1"/>
    <xf numFmtId="0" fontId="58" fillId="0" borderId="0" xfId="44" applyNumberFormat="1" applyFont="1" applyAlignment="1" applyProtection="1">
      <alignment vertical="center" wrapText="1"/>
    </xf>
    <xf numFmtId="0" fontId="2" fillId="0" borderId="148" xfId="44" applyNumberFormat="1" applyFont="1" applyFill="1" applyBorder="1" applyAlignment="1" applyProtection="1"/>
    <xf numFmtId="0" fontId="2" fillId="0" borderId="115" xfId="44" applyNumberFormat="1" applyFont="1" applyFill="1" applyBorder="1" applyAlignment="1" applyProtection="1"/>
    <xf numFmtId="0" fontId="22" fillId="33" borderId="151" xfId="44" applyNumberFormat="1" applyFont="1" applyFill="1" applyBorder="1" applyProtection="1"/>
    <xf numFmtId="0" fontId="22" fillId="0" borderId="0" xfId="44" applyNumberFormat="1" applyFont="1" applyAlignment="1" applyProtection="1">
      <alignment horizontal="right"/>
    </xf>
    <xf numFmtId="0" fontId="22" fillId="0" borderId="160" xfId="44" applyNumberFormat="1" applyFont="1" applyBorder="1" applyProtection="1"/>
    <xf numFmtId="187" fontId="55" fillId="0" borderId="164" xfId="4" applyNumberFormat="1" applyFont="1" applyBorder="1" applyAlignment="1" applyProtection="1">
      <alignment horizontal="right"/>
    </xf>
    <xf numFmtId="2" fontId="55" fillId="0" borderId="161" xfId="14" applyNumberFormat="1" applyFont="1" applyBorder="1" applyProtection="1"/>
    <xf numFmtId="187" fontId="55" fillId="0" borderId="164" xfId="4" applyNumberFormat="1" applyFont="1" applyBorder="1" applyProtection="1"/>
    <xf numFmtId="0" fontId="3" fillId="33" borderId="40" xfId="44" applyNumberFormat="1" applyFont="1" applyFill="1" applyBorder="1" applyAlignment="1" applyProtection="1">
      <alignment horizontal="center"/>
    </xf>
    <xf numFmtId="0" fontId="2" fillId="33" borderId="41" xfId="44" applyNumberFormat="1" applyFont="1" applyFill="1" applyBorder="1" applyAlignment="1" applyProtection="1">
      <alignment horizontal="center"/>
    </xf>
    <xf numFmtId="181" fontId="2" fillId="33" borderId="150" xfId="44" applyFont="1" applyFill="1" applyBorder="1" applyAlignment="1" applyProtection="1">
      <alignment horizontal="center"/>
    </xf>
    <xf numFmtId="38" fontId="2" fillId="0" borderId="152" xfId="44" applyNumberFormat="1" applyFont="1" applyBorder="1" applyProtection="1"/>
    <xf numFmtId="193" fontId="2" fillId="0" borderId="153" xfId="44" applyNumberFormat="1" applyFont="1" applyBorder="1" applyProtection="1"/>
    <xf numFmtId="193" fontId="2" fillId="0" borderId="38" xfId="44" applyNumberFormat="1" applyFont="1" applyFill="1" applyBorder="1" applyProtection="1"/>
    <xf numFmtId="0" fontId="2" fillId="0" borderId="159" xfId="14" applyNumberFormat="1" applyFont="1" applyFill="1" applyBorder="1" applyProtection="1"/>
    <xf numFmtId="185" fontId="2" fillId="4" borderId="158" xfId="52" applyNumberFormat="1" applyFont="1" applyFill="1" applyBorder="1" applyProtection="1">
      <protection locked="0"/>
    </xf>
    <xf numFmtId="0" fontId="2" fillId="0" borderId="161" xfId="14" applyNumberFormat="1" applyFont="1" applyFill="1" applyBorder="1" applyProtection="1"/>
    <xf numFmtId="185" fontId="22" fillId="0" borderId="0" xfId="52" applyNumberFormat="1" applyFont="1" applyFill="1" applyBorder="1" applyProtection="1">
      <protection locked="0"/>
    </xf>
    <xf numFmtId="185" fontId="2" fillId="4" borderId="0" xfId="52" applyNumberFormat="1" applyFont="1" applyFill="1" applyBorder="1" applyProtection="1">
      <protection locked="0"/>
    </xf>
    <xf numFmtId="185" fontId="2" fillId="0" borderId="0" xfId="44" applyNumberFormat="1" applyFont="1" applyBorder="1" applyProtection="1">
      <protection locked="0"/>
    </xf>
    <xf numFmtId="0" fontId="2" fillId="0" borderId="0" xfId="44" applyNumberFormat="1" applyFont="1" applyBorder="1" applyProtection="1">
      <protection locked="0"/>
    </xf>
    <xf numFmtId="0" fontId="2" fillId="4" borderId="161" xfId="14" applyNumberFormat="1" applyFont="1" applyFill="1" applyBorder="1" applyProtection="1">
      <protection locked="0"/>
    </xf>
    <xf numFmtId="38" fontId="2" fillId="0" borderId="161" xfId="44" applyNumberFormat="1" applyFont="1" applyBorder="1" applyProtection="1"/>
    <xf numFmtId="1" fontId="2" fillId="0" borderId="0" xfId="14" applyNumberFormat="1" applyFont="1" applyFill="1" applyBorder="1" applyProtection="1"/>
    <xf numFmtId="1" fontId="2" fillId="0" borderId="161" xfId="14" applyNumberFormat="1" applyFont="1" applyFill="1" applyBorder="1" applyProtection="1"/>
    <xf numFmtId="0" fontId="22" fillId="0" borderId="0" xfId="44" applyNumberFormat="1" applyFont="1" applyBorder="1" applyAlignment="1" applyProtection="1">
      <alignment horizontal="center"/>
    </xf>
    <xf numFmtId="2" fontId="2" fillId="0" borderId="0" xfId="14" applyNumberFormat="1" applyFont="1" applyFill="1" applyBorder="1" applyProtection="1"/>
    <xf numFmtId="0" fontId="22" fillId="0" borderId="0" xfId="14" applyNumberFormat="1" applyFont="1" applyFill="1" applyBorder="1" applyProtection="1"/>
    <xf numFmtId="0" fontId="22" fillId="0" borderId="0" xfId="14" applyNumberFormat="1" applyFont="1" applyFill="1" applyBorder="1" applyAlignment="1" applyProtection="1">
      <alignment horizontal="center"/>
    </xf>
    <xf numFmtId="187" fontId="2" fillId="0" borderId="161" xfId="14" applyNumberFormat="1" applyFont="1" applyFill="1" applyBorder="1" applyProtection="1"/>
    <xf numFmtId="187" fontId="2" fillId="0" borderId="0" xfId="4" applyNumberFormat="1" applyFont="1" applyFill="1" applyBorder="1" applyAlignment="1" applyProtection="1"/>
    <xf numFmtId="0" fontId="2" fillId="0" borderId="162" xfId="44" applyNumberFormat="1" applyFont="1" applyBorder="1" applyProtection="1"/>
    <xf numFmtId="0" fontId="2" fillId="0" borderId="163" xfId="44" applyNumberFormat="1" applyFont="1" applyBorder="1" applyProtection="1"/>
    <xf numFmtId="193" fontId="2" fillId="0" borderId="164" xfId="14" applyNumberFormat="1" applyFont="1" applyFill="1" applyBorder="1" applyProtection="1"/>
    <xf numFmtId="2" fontId="2" fillId="0" borderId="163" xfId="52" applyNumberFormat="1" applyFont="1" applyFill="1" applyBorder="1" applyProtection="1"/>
    <xf numFmtId="0" fontId="2" fillId="0" borderId="163" xfId="14" applyNumberFormat="1" applyFont="1" applyFill="1" applyBorder="1" applyProtection="1"/>
    <xf numFmtId="0" fontId="3" fillId="33" borderId="151" xfId="44" applyNumberFormat="1" applyFont="1" applyFill="1" applyBorder="1" applyProtection="1"/>
    <xf numFmtId="181" fontId="2" fillId="33" borderId="152" xfId="44" applyFont="1" applyFill="1" applyBorder="1" applyProtection="1"/>
    <xf numFmtId="2" fontId="2" fillId="0" borderId="0" xfId="44" applyNumberFormat="1" applyFont="1" applyAlignment="1" applyProtection="1">
      <alignment horizontal="center"/>
    </xf>
    <xf numFmtId="2" fontId="2" fillId="0" borderId="38" xfId="44" applyNumberFormat="1" applyFont="1" applyFill="1" applyBorder="1" applyProtection="1"/>
    <xf numFmtId="2" fontId="2" fillId="0" borderId="0" xfId="14" applyNumberFormat="1" applyFont="1" applyFill="1" applyProtection="1">
      <protection locked="0"/>
    </xf>
    <xf numFmtId="2" fontId="2" fillId="0" borderId="0" xfId="52" applyNumberFormat="1" applyFont="1" applyProtection="1">
      <protection locked="0"/>
    </xf>
    <xf numFmtId="185" fontId="2" fillId="0" borderId="0" xfId="52" applyNumberFormat="1" applyFont="1" applyFill="1" applyBorder="1" applyProtection="1">
      <protection locked="0"/>
    </xf>
    <xf numFmtId="2" fontId="2" fillId="0" borderId="0" xfId="14" applyNumberFormat="1" applyFont="1" applyFill="1" applyProtection="1"/>
    <xf numFmtId="2" fontId="2" fillId="0" borderId="0" xfId="52" applyNumberFormat="1" applyFont="1" applyFill="1" applyBorder="1" applyProtection="1"/>
    <xf numFmtId="0" fontId="2" fillId="0" borderId="0" xfId="14" applyNumberFormat="1" applyFont="1" applyBorder="1" applyProtection="1"/>
    <xf numFmtId="193" fontId="2" fillId="0" borderId="163" xfId="52" applyNumberFormat="1" applyFont="1" applyBorder="1" applyProtection="1"/>
    <xf numFmtId="2" fontId="2" fillId="0" borderId="0" xfId="52" applyNumberFormat="1" applyFont="1" applyFill="1" applyProtection="1"/>
    <xf numFmtId="0" fontId="2" fillId="0" borderId="0" xfId="14" applyNumberFormat="1" applyFont="1" applyFill="1" applyProtection="1"/>
    <xf numFmtId="0" fontId="2" fillId="0" borderId="0" xfId="44" applyNumberFormat="1" applyFont="1" applyProtection="1">
      <protection locked="0"/>
    </xf>
    <xf numFmtId="181" fontId="2" fillId="0" borderId="159" xfId="44" applyFont="1" applyBorder="1" applyProtection="1"/>
    <xf numFmtId="181" fontId="2" fillId="0" borderId="161" xfId="44" applyFont="1" applyBorder="1" applyProtection="1"/>
    <xf numFmtId="181" fontId="59" fillId="0" borderId="0" xfId="44" applyFont="1" applyBorder="1" applyProtection="1"/>
    <xf numFmtId="10" fontId="2" fillId="4" borderId="161" xfId="11" applyNumberFormat="1" applyFont="1" applyFill="1" applyBorder="1" applyProtection="1">
      <protection locked="0"/>
    </xf>
    <xf numFmtId="3" fontId="2" fillId="0" borderId="0" xfId="44" applyNumberFormat="1" applyFont="1" applyBorder="1" applyProtection="1"/>
    <xf numFmtId="10" fontId="22" fillId="0" borderId="161" xfId="11" applyNumberFormat="1" applyFont="1" applyBorder="1" applyProtection="1"/>
    <xf numFmtId="193" fontId="2" fillId="0" borderId="161" xfId="14" applyNumberFormat="1" applyFont="1" applyFill="1" applyBorder="1" applyProtection="1"/>
    <xf numFmtId="185" fontId="2" fillId="0" borderId="0" xfId="4" applyNumberFormat="1" applyFont="1" applyFill="1" applyBorder="1" applyProtection="1"/>
    <xf numFmtId="190" fontId="2" fillId="4" borderId="161" xfId="14" applyNumberFormat="1" applyFont="1" applyFill="1" applyBorder="1" applyProtection="1">
      <protection locked="0"/>
    </xf>
    <xf numFmtId="0" fontId="22" fillId="0" borderId="0" xfId="44" applyNumberFormat="1" applyFont="1" applyProtection="1"/>
    <xf numFmtId="10" fontId="2" fillId="0" borderId="0" xfId="11" applyNumberFormat="1" applyFont="1" applyProtection="1"/>
    <xf numFmtId="185" fontId="2" fillId="4" borderId="158" xfId="44" applyNumberFormat="1" applyFont="1" applyFill="1" applyBorder="1" applyProtection="1">
      <protection locked="0"/>
    </xf>
    <xf numFmtId="178" fontId="2" fillId="4" borderId="158" xfId="14" applyNumberFormat="1" applyFont="1" applyFill="1" applyBorder="1" applyProtection="1">
      <protection locked="0"/>
    </xf>
    <xf numFmtId="2" fontId="22" fillId="0" borderId="0" xfId="52" applyNumberFormat="1" applyFont="1" applyFill="1" applyBorder="1" applyProtection="1">
      <protection locked="0"/>
    </xf>
    <xf numFmtId="185" fontId="2" fillId="4" borderId="0" xfId="44" applyNumberFormat="1" applyFont="1" applyFill="1" applyBorder="1" applyProtection="1">
      <protection locked="0"/>
    </xf>
    <xf numFmtId="178" fontId="2" fillId="4" borderId="0" xfId="14" applyNumberFormat="1" applyFont="1" applyFill="1" applyBorder="1" applyProtection="1">
      <protection locked="0"/>
    </xf>
    <xf numFmtId="0" fontId="2" fillId="0" borderId="0" xfId="14" applyNumberFormat="1" applyFont="1" applyFill="1" applyBorder="1" applyProtection="1">
      <protection locked="0"/>
    </xf>
    <xf numFmtId="0" fontId="22" fillId="0" borderId="0" xfId="14" applyNumberFormat="1" applyFont="1" applyFill="1" applyAlignment="1" applyProtection="1">
      <alignment horizontal="center"/>
    </xf>
    <xf numFmtId="0" fontId="3" fillId="0" borderId="0" xfId="44" applyNumberFormat="1" applyFont="1" applyAlignment="1" applyProtection="1">
      <alignment horizontal="right"/>
    </xf>
    <xf numFmtId="1" fontId="2" fillId="0" borderId="0" xfId="44" applyNumberFormat="1" applyFont="1" applyFill="1" applyProtection="1"/>
    <xf numFmtId="1" fontId="2" fillId="4" borderId="0" xfId="44" applyNumberFormat="1" applyFont="1" applyFill="1" applyProtection="1">
      <protection locked="0"/>
    </xf>
    <xf numFmtId="179" fontId="2" fillId="0" borderId="0" xfId="11" applyNumberFormat="1" applyFont="1" applyProtection="1"/>
    <xf numFmtId="190" fontId="2" fillId="0" borderId="0" xfId="11" applyNumberFormat="1" applyFont="1" applyProtection="1"/>
    <xf numFmtId="4" fontId="2" fillId="0" borderId="0" xfId="44" applyNumberFormat="1" applyFont="1" applyProtection="1"/>
    <xf numFmtId="181" fontId="2" fillId="0" borderId="0" xfId="44" applyFont="1" applyFill="1"/>
    <xf numFmtId="193" fontId="2" fillId="0" borderId="0" xfId="52" applyNumberFormat="1" applyFont="1"/>
    <xf numFmtId="181" fontId="2" fillId="0" borderId="0" xfId="44" applyFont="1" applyBorder="1"/>
    <xf numFmtId="1" fontId="2" fillId="0" borderId="0" xfId="44" applyNumberFormat="1" applyFont="1"/>
    <xf numFmtId="0" fontId="28" fillId="0" borderId="0" xfId="44" applyNumberFormat="1" applyFont="1"/>
    <xf numFmtId="0" fontId="8" fillId="0" borderId="0" xfId="44" applyNumberFormat="1" applyFont="1" applyFill="1"/>
    <xf numFmtId="0" fontId="7" fillId="32" borderId="0" xfId="44" applyNumberFormat="1" applyFont="1" applyFill="1" applyAlignment="1">
      <alignment horizontal="center"/>
    </xf>
    <xf numFmtId="0" fontId="7" fillId="32" borderId="0" xfId="44" applyNumberFormat="1" applyFont="1" applyFill="1"/>
    <xf numFmtId="0" fontId="2" fillId="32" borderId="0" xfId="44" applyNumberFormat="1" applyFont="1" applyFill="1"/>
    <xf numFmtId="0" fontId="3" fillId="0" borderId="0" xfId="44" applyNumberFormat="1" applyFont="1"/>
    <xf numFmtId="0" fontId="3" fillId="0" borderId="165" xfId="44" applyNumberFormat="1" applyFont="1" applyBorder="1" applyAlignment="1">
      <alignment horizontal="center"/>
    </xf>
    <xf numFmtId="0" fontId="2" fillId="0" borderId="34" xfId="44" applyNumberFormat="1" applyFont="1" applyBorder="1"/>
    <xf numFmtId="0" fontId="2" fillId="0" borderId="166" xfId="44" applyNumberFormat="1" applyFont="1" applyBorder="1" applyAlignment="1">
      <alignment horizontal="center"/>
    </xf>
    <xf numFmtId="0" fontId="2" fillId="0" borderId="167" xfId="44" applyNumberFormat="1" applyFont="1" applyBorder="1" applyAlignment="1">
      <alignment horizontal="center"/>
    </xf>
    <xf numFmtId="0" fontId="3" fillId="0" borderId="145" xfId="44" applyNumberFormat="1" applyFont="1" applyBorder="1"/>
    <xf numFmtId="0" fontId="2" fillId="0" borderId="168" xfId="44" applyNumberFormat="1" applyFont="1" applyBorder="1"/>
    <xf numFmtId="0" fontId="3" fillId="0" borderId="146" xfId="44" applyNumberFormat="1" applyFont="1" applyFill="1" applyBorder="1" applyAlignment="1">
      <alignment horizontal="center"/>
    </xf>
    <xf numFmtId="38" fontId="3" fillId="12" borderId="169" xfId="44" applyNumberFormat="1" applyFont="1" applyFill="1" applyBorder="1" applyAlignment="1">
      <alignment horizontal="center"/>
    </xf>
    <xf numFmtId="38" fontId="2" fillId="12" borderId="0" xfId="14" applyNumberFormat="1" applyFont="1" applyFill="1" applyBorder="1" applyAlignment="1">
      <alignment horizontal="center"/>
    </xf>
    <xf numFmtId="38" fontId="3" fillId="38" borderId="169" xfId="44" applyNumberFormat="1" applyFont="1" applyFill="1" applyBorder="1" applyAlignment="1">
      <alignment horizontal="center"/>
    </xf>
    <xf numFmtId="38" fontId="2" fillId="38" borderId="0" xfId="14" applyNumberFormat="1" applyFont="1" applyFill="1" applyBorder="1" applyAlignment="1">
      <alignment horizontal="center"/>
    </xf>
    <xf numFmtId="0" fontId="3" fillId="12" borderId="169" xfId="44" applyNumberFormat="1" applyFont="1" applyFill="1" applyBorder="1" applyAlignment="1">
      <alignment horizontal="center"/>
    </xf>
    <xf numFmtId="0" fontId="3" fillId="38" borderId="169" xfId="44" applyNumberFormat="1" applyFont="1" applyFill="1" applyBorder="1" applyAlignment="1">
      <alignment horizontal="center"/>
    </xf>
    <xf numFmtId="0" fontId="3" fillId="0" borderId="169" xfId="44" applyNumberFormat="1" applyFont="1" applyFill="1" applyBorder="1" applyAlignment="1">
      <alignment horizontal="center"/>
    </xf>
    <xf numFmtId="38" fontId="2" fillId="0" borderId="0" xfId="14" applyNumberFormat="1" applyFont="1" applyFill="1" applyBorder="1" applyAlignment="1">
      <alignment horizontal="center"/>
    </xf>
    <xf numFmtId="0" fontId="3" fillId="0" borderId="145" xfId="44" applyNumberFormat="1" applyFont="1" applyFill="1" applyBorder="1" applyAlignment="1">
      <alignment horizontal="left"/>
    </xf>
    <xf numFmtId="0" fontId="3" fillId="0" borderId="170" xfId="44" applyNumberFormat="1" applyFont="1" applyFill="1" applyBorder="1" applyAlignment="1">
      <alignment horizontal="center"/>
    </xf>
    <xf numFmtId="38" fontId="2" fillId="0" borderId="26" xfId="14" applyNumberFormat="1" applyFont="1" applyFill="1" applyBorder="1" applyAlignment="1">
      <alignment horizontal="center"/>
    </xf>
    <xf numFmtId="38" fontId="2" fillId="0" borderId="171" xfId="14" applyNumberFormat="1" applyFont="1" applyFill="1" applyBorder="1" applyAlignment="1">
      <alignment horizontal="center"/>
    </xf>
    <xf numFmtId="0" fontId="3" fillId="0" borderId="146" xfId="44" applyNumberFormat="1" applyFont="1" applyFill="1" applyBorder="1" applyAlignment="1">
      <alignment horizontal="left"/>
    </xf>
    <xf numFmtId="0" fontId="3" fillId="0" borderId="166" xfId="44" applyNumberFormat="1" applyFont="1" applyFill="1" applyBorder="1" applyAlignment="1">
      <alignment horizontal="center"/>
    </xf>
    <xf numFmtId="38" fontId="2" fillId="0" borderId="167" xfId="14" applyNumberFormat="1" applyFont="1" applyFill="1" applyBorder="1" applyAlignment="1">
      <alignment horizontal="center"/>
    </xf>
    <xf numFmtId="0" fontId="2" fillId="0" borderId="147" xfId="44" applyNumberFormat="1" applyFont="1" applyFill="1" applyBorder="1"/>
    <xf numFmtId="0" fontId="3" fillId="0" borderId="23" xfId="44" applyNumberFormat="1" applyFont="1" applyFill="1" applyBorder="1" applyAlignment="1">
      <alignment horizontal="center"/>
    </xf>
    <xf numFmtId="38" fontId="2" fillId="0" borderId="172" xfId="14" applyNumberFormat="1" applyFont="1" applyFill="1" applyBorder="1" applyAlignment="1">
      <alignment horizontal="center"/>
    </xf>
    <xf numFmtId="0" fontId="7" fillId="32" borderId="0" xfId="44" applyNumberFormat="1" applyFont="1" applyFill="1" applyAlignment="1">
      <alignment horizontal="left"/>
    </xf>
    <xf numFmtId="0" fontId="22" fillId="0" borderId="0" xfId="44" applyNumberFormat="1" applyFont="1" applyFill="1" applyBorder="1" applyAlignment="1">
      <alignment horizontal="center"/>
    </xf>
    <xf numFmtId="0" fontId="3" fillId="12" borderId="2" xfId="44" applyNumberFormat="1" applyFont="1" applyFill="1" applyBorder="1" applyAlignment="1">
      <alignment horizontal="center"/>
    </xf>
    <xf numFmtId="0" fontId="3" fillId="12" borderId="19" xfId="44" applyNumberFormat="1" applyFont="1" applyFill="1" applyBorder="1" applyAlignment="1">
      <alignment horizontal="center"/>
    </xf>
    <xf numFmtId="0" fontId="3" fillId="12" borderId="27" xfId="44" applyNumberFormat="1" applyFont="1" applyFill="1" applyBorder="1" applyAlignment="1">
      <alignment horizontal="center"/>
    </xf>
    <xf numFmtId="0" fontId="3" fillId="0" borderId="1" xfId="44" applyNumberFormat="1" applyFont="1" applyBorder="1"/>
    <xf numFmtId="0" fontId="2" fillId="0" borderId="1" xfId="44" applyNumberFormat="1" applyFont="1" applyFill="1" applyBorder="1"/>
    <xf numFmtId="0" fontId="2" fillId="0" borderId="1" xfId="44" applyNumberFormat="1" applyFont="1" applyFill="1" applyBorder="1" applyAlignment="1">
      <alignment horizontal="center"/>
    </xf>
    <xf numFmtId="0" fontId="3" fillId="38" borderId="146" xfId="44" applyNumberFormat="1" applyFont="1" applyFill="1" applyBorder="1" applyAlignment="1">
      <alignment horizontal="center"/>
    </xf>
    <xf numFmtId="0" fontId="2" fillId="38" borderId="0" xfId="44" applyNumberFormat="1" applyFont="1" applyFill="1" applyBorder="1" applyAlignment="1">
      <alignment horizontal="center"/>
    </xf>
    <xf numFmtId="40" fontId="2" fillId="38" borderId="0" xfId="14" applyNumberFormat="1" applyFont="1" applyFill="1" applyBorder="1" applyAlignment="1">
      <alignment horizontal="center"/>
    </xf>
    <xf numFmtId="178" fontId="2" fillId="38" borderId="0" xfId="44" applyNumberFormat="1" applyFont="1" applyFill="1" applyBorder="1" applyAlignment="1">
      <alignment horizontal="center"/>
    </xf>
    <xf numFmtId="0" fontId="3" fillId="12" borderId="0" xfId="44" applyNumberFormat="1" applyFont="1" applyFill="1" applyBorder="1" applyAlignment="1">
      <alignment horizontal="center"/>
    </xf>
    <xf numFmtId="0" fontId="2" fillId="12" borderId="0" xfId="44" applyNumberFormat="1" applyFont="1" applyFill="1" applyBorder="1" applyAlignment="1">
      <alignment horizontal="center"/>
    </xf>
    <xf numFmtId="40" fontId="2" fillId="12" borderId="0" xfId="14" applyNumberFormat="1" applyFont="1" applyFill="1" applyBorder="1" applyAlignment="1">
      <alignment horizontal="center"/>
    </xf>
    <xf numFmtId="178" fontId="2" fillId="12" borderId="0" xfId="44" applyNumberFormat="1" applyFont="1" applyFill="1" applyBorder="1" applyAlignment="1">
      <alignment horizontal="center"/>
    </xf>
    <xf numFmtId="0" fontId="3" fillId="38" borderId="0" xfId="44" applyNumberFormat="1" applyFont="1" applyFill="1" applyBorder="1" applyAlignment="1">
      <alignment horizontal="center"/>
    </xf>
    <xf numFmtId="40" fontId="2" fillId="0" borderId="0" xfId="14" applyNumberFormat="1" applyFont="1" applyFill="1" applyBorder="1" applyAlignment="1">
      <alignment horizontal="center"/>
    </xf>
    <xf numFmtId="178" fontId="2" fillId="0" borderId="0" xfId="44" applyNumberFormat="1" applyFont="1" applyFill="1" applyBorder="1" applyAlignment="1">
      <alignment horizontal="center"/>
    </xf>
    <xf numFmtId="178" fontId="2" fillId="0" borderId="0" xfId="14" applyNumberFormat="1" applyFont="1" applyFill="1" applyBorder="1" applyAlignment="1">
      <alignment horizontal="center"/>
    </xf>
    <xf numFmtId="0" fontId="2" fillId="0" borderId="0" xfId="44" applyNumberFormat="1" applyFont="1" applyAlignment="1">
      <alignment horizontal="center"/>
    </xf>
    <xf numFmtId="181" fontId="10" fillId="0" borderId="0" xfId="44" applyFont="1" applyFill="1"/>
    <xf numFmtId="178" fontId="3" fillId="0" borderId="0" xfId="52" applyFont="1" applyBorder="1" applyAlignment="1">
      <alignment horizontal="center"/>
    </xf>
    <xf numFmtId="0" fontId="2" fillId="0" borderId="0" xfId="44" applyNumberFormat="1" applyFont="1" applyBorder="1" applyAlignment="1">
      <alignment horizontal="center"/>
    </xf>
    <xf numFmtId="0" fontId="3" fillId="0" borderId="33" xfId="44" applyNumberFormat="1" applyFont="1" applyFill="1" applyBorder="1" applyAlignment="1">
      <alignment horizontal="center"/>
    </xf>
    <xf numFmtId="0" fontId="20" fillId="0" borderId="173" xfId="44" applyNumberFormat="1" applyFont="1" applyFill="1" applyBorder="1" applyAlignment="1">
      <alignment horizontal="center" vertical="center" wrapText="1"/>
    </xf>
    <xf numFmtId="0" fontId="8" fillId="0" borderId="0" xfId="44" applyNumberFormat="1" applyFont="1" applyFill="1" applyBorder="1" applyAlignment="1">
      <alignment vertical="center"/>
    </xf>
    <xf numFmtId="0" fontId="2" fillId="0" borderId="174" xfId="44" applyNumberFormat="1" applyFont="1" applyBorder="1" applyAlignment="1">
      <alignment horizontal="center"/>
    </xf>
    <xf numFmtId="0" fontId="3" fillId="0" borderId="168" xfId="44" applyNumberFormat="1" applyFont="1" applyBorder="1"/>
    <xf numFmtId="38" fontId="3" fillId="12" borderId="169" xfId="14" applyNumberFormat="1" applyFont="1" applyFill="1" applyBorder="1" applyAlignment="1">
      <alignment horizontal="center"/>
    </xf>
    <xf numFmtId="38" fontId="3" fillId="38" borderId="169" xfId="14" applyNumberFormat="1" applyFont="1" applyFill="1" applyBorder="1" applyAlignment="1">
      <alignment horizontal="center"/>
    </xf>
    <xf numFmtId="38" fontId="3" fillId="0" borderId="169" xfId="14" applyNumberFormat="1" applyFont="1" applyFill="1" applyBorder="1" applyAlignment="1">
      <alignment horizontal="center"/>
    </xf>
    <xf numFmtId="38" fontId="2" fillId="0" borderId="10" xfId="14" applyNumberFormat="1" applyFont="1" applyFill="1" applyBorder="1" applyAlignment="1">
      <alignment horizontal="center"/>
    </xf>
    <xf numFmtId="38" fontId="3" fillId="0" borderId="170" xfId="14" applyNumberFormat="1" applyFont="1" applyFill="1" applyBorder="1" applyAlignment="1">
      <alignment horizontal="center"/>
    </xf>
    <xf numFmtId="38" fontId="2" fillId="0" borderId="175" xfId="14" applyNumberFormat="1" applyFont="1" applyFill="1" applyBorder="1" applyAlignment="1">
      <alignment horizontal="center"/>
    </xf>
    <xf numFmtId="38" fontId="3" fillId="0" borderId="176" xfId="14" applyNumberFormat="1" applyFont="1" applyFill="1" applyBorder="1" applyAlignment="1">
      <alignment horizontal="center"/>
    </xf>
    <xf numFmtId="38" fontId="2" fillId="0" borderId="177" xfId="14" applyNumberFormat="1" applyFont="1" applyFill="1" applyBorder="1" applyAlignment="1">
      <alignment horizontal="center"/>
    </xf>
    <xf numFmtId="38" fontId="3" fillId="0" borderId="144" xfId="14" applyNumberFormat="1" applyFont="1" applyFill="1" applyBorder="1" applyAlignment="1">
      <alignment horizontal="center"/>
    </xf>
    <xf numFmtId="38" fontId="3" fillId="0" borderId="178" xfId="14" applyNumberFormat="1" applyFont="1" applyBorder="1" applyAlignment="1">
      <alignment horizontal="center"/>
    </xf>
    <xf numFmtId="0" fontId="2" fillId="0" borderId="0" xfId="14" applyNumberFormat="1" applyFont="1" applyFill="1" applyBorder="1" applyAlignment="1">
      <alignment horizontal="center"/>
    </xf>
    <xf numFmtId="178" fontId="2" fillId="38" borderId="0" xfId="14" applyNumberFormat="1" applyFont="1" applyFill="1" applyBorder="1" applyAlignment="1">
      <alignment horizontal="center"/>
    </xf>
    <xf numFmtId="178" fontId="2" fillId="0" borderId="0" xfId="52" applyFont="1" applyFill="1" applyBorder="1"/>
    <xf numFmtId="178" fontId="2" fillId="12" borderId="0" xfId="14" applyNumberFormat="1" applyFont="1" applyFill="1" applyBorder="1" applyAlignment="1">
      <alignment horizontal="center"/>
    </xf>
    <xf numFmtId="0" fontId="3" fillId="0" borderId="0" xfId="44" applyNumberFormat="1" applyFont="1" applyBorder="1" applyAlignment="1">
      <alignment horizontal="right"/>
    </xf>
    <xf numFmtId="9" fontId="2" fillId="0" borderId="0" xfId="14" applyNumberFormat="1" applyFont="1" applyFill="1" applyBorder="1" applyAlignment="1">
      <alignment horizontal="center"/>
    </xf>
    <xf numFmtId="0" fontId="3" fillId="0" borderId="0" xfId="44" applyNumberFormat="1" applyFont="1" applyFill="1" applyBorder="1" applyAlignment="1">
      <alignment horizontal="right"/>
    </xf>
    <xf numFmtId="0" fontId="2" fillId="0" borderId="0" xfId="44" applyNumberFormat="1" applyFont="1" applyAlignment="1">
      <alignment horizontal="left"/>
    </xf>
    <xf numFmtId="0" fontId="2" fillId="0" borderId="34" xfId="44" applyNumberFormat="1" applyFont="1" applyFill="1" applyBorder="1" applyAlignment="1">
      <alignment horizontal="left"/>
    </xf>
    <xf numFmtId="0" fontId="2" fillId="12" borderId="35" xfId="44" applyNumberFormat="1" applyFont="1" applyFill="1" applyBorder="1" applyAlignment="1">
      <alignment horizontal="center"/>
    </xf>
    <xf numFmtId="0" fontId="60" fillId="0" borderId="0" xfId="44" applyNumberFormat="1" applyFont="1" applyFill="1" applyBorder="1" applyAlignment="1">
      <alignment horizontal="center"/>
    </xf>
    <xf numFmtId="0" fontId="13" fillId="0" borderId="0" xfId="44" applyNumberFormat="1" applyFont="1" applyFill="1" applyBorder="1" applyAlignment="1">
      <alignment horizontal="center"/>
    </xf>
    <xf numFmtId="0" fontId="2" fillId="38" borderId="35" xfId="44" applyNumberFormat="1" applyFont="1" applyFill="1" applyBorder="1" applyAlignment="1">
      <alignment horizontal="center"/>
    </xf>
    <xf numFmtId="0" fontId="60" fillId="0" borderId="0" xfId="44" applyNumberFormat="1" applyFont="1" applyFill="1" applyBorder="1" applyAlignment="1"/>
    <xf numFmtId="0" fontId="2" fillId="0" borderId="35" xfId="44" applyNumberFormat="1" applyFont="1" applyFill="1" applyBorder="1" applyAlignment="1">
      <alignment horizontal="center"/>
    </xf>
    <xf numFmtId="0" fontId="2" fillId="0" borderId="142" xfId="44" applyNumberFormat="1" applyFont="1" applyFill="1" applyBorder="1" applyAlignment="1">
      <alignment horizontal="center"/>
    </xf>
    <xf numFmtId="0" fontId="2" fillId="0" borderId="143" xfId="44" applyNumberFormat="1" applyFont="1" applyFill="1" applyBorder="1" applyAlignment="1">
      <alignment horizontal="center"/>
    </xf>
    <xf numFmtId="0" fontId="2" fillId="0" borderId="144" xfId="44" applyNumberFormat="1" applyFont="1" applyFill="1" applyBorder="1" applyAlignment="1">
      <alignment horizontal="center"/>
    </xf>
    <xf numFmtId="38" fontId="61" fillId="0" borderId="179" xfId="44" applyNumberFormat="1" applyFont="1" applyFill="1" applyBorder="1" applyAlignment="1">
      <alignment horizontal="center"/>
    </xf>
    <xf numFmtId="0" fontId="62" fillId="0" borderId="0" xfId="44" applyNumberFormat="1" applyFont="1" applyFill="1" applyBorder="1" applyAlignment="1">
      <alignment horizontal="center"/>
    </xf>
    <xf numFmtId="38" fontId="3" fillId="0" borderId="0" xfId="14" applyNumberFormat="1" applyFont="1" applyBorder="1" applyAlignment="1">
      <alignment horizontal="center"/>
    </xf>
    <xf numFmtId="38" fontId="61" fillId="0" borderId="0" xfId="44" applyNumberFormat="1" applyFont="1" applyFill="1" applyBorder="1" applyAlignment="1">
      <alignment horizontal="center"/>
    </xf>
    <xf numFmtId="0" fontId="2" fillId="12" borderId="0" xfId="44" applyNumberFormat="1" applyFont="1" applyFill="1" applyBorder="1" applyAlignment="1">
      <alignment horizontal="left"/>
    </xf>
    <xf numFmtId="1" fontId="2" fillId="12" borderId="0" xfId="14" applyNumberFormat="1" applyFont="1" applyFill="1" applyBorder="1" applyAlignment="1">
      <alignment horizontal="center"/>
    </xf>
    <xf numFmtId="193" fontId="2" fillId="0" borderId="0" xfId="52" applyNumberFormat="1" applyFont="1" applyFill="1" applyBorder="1" applyAlignment="1">
      <alignment horizontal="center"/>
    </xf>
    <xf numFmtId="1" fontId="2" fillId="0" borderId="0" xfId="14" applyNumberFormat="1" applyFont="1" applyFill="1" applyBorder="1" applyAlignment="1">
      <alignment horizontal="center"/>
    </xf>
    <xf numFmtId="2" fontId="2" fillId="0" borderId="0" xfId="44" applyNumberFormat="1" applyFont="1" applyFill="1" applyBorder="1" applyAlignment="1">
      <alignment horizontal="center"/>
    </xf>
    <xf numFmtId="193" fontId="3" fillId="0" borderId="0" xfId="44" applyNumberFormat="1" applyFont="1" applyFill="1" applyBorder="1" applyAlignment="1">
      <alignment horizontal="center"/>
    </xf>
    <xf numFmtId="193" fontId="3" fillId="0" borderId="0" xfId="44" applyNumberFormat="1" applyFont="1" applyFill="1" applyBorder="1"/>
    <xf numFmtId="182" fontId="3" fillId="0" borderId="0" xfId="4" applyNumberFormat="1" applyFont="1" applyFill="1"/>
    <xf numFmtId="0" fontId="3" fillId="0" borderId="0" xfId="52" applyNumberFormat="1" applyFont="1" applyBorder="1"/>
    <xf numFmtId="0" fontId="7" fillId="32" borderId="0" xfId="44" applyNumberFormat="1" applyFont="1" applyFill="1" applyAlignment="1">
      <alignment horizontal="center" vertical="center"/>
    </xf>
    <xf numFmtId="0" fontId="3" fillId="0" borderId="1" xfId="44" applyNumberFormat="1" applyFont="1" applyBorder="1" applyAlignment="1">
      <alignment horizontal="center"/>
    </xf>
    <xf numFmtId="0" fontId="2" fillId="0" borderId="0" xfId="44" applyNumberFormat="1" applyFont="1" applyFill="1" applyAlignment="1"/>
    <xf numFmtId="0" fontId="2" fillId="0" borderId="0" xfId="14" applyNumberFormat="1" applyFont="1" applyFill="1" applyAlignment="1"/>
    <xf numFmtId="178" fontId="2" fillId="0" borderId="0" xfId="52" applyFont="1" applyBorder="1" applyAlignment="1"/>
    <xf numFmtId="0" fontId="2" fillId="0" borderId="0" xfId="44" applyNumberFormat="1" applyFont="1" applyAlignment="1"/>
    <xf numFmtId="38" fontId="2" fillId="0" borderId="0" xfId="14" applyNumberFormat="1" applyFont="1" applyFill="1" applyAlignment="1"/>
    <xf numFmtId="0" fontId="3" fillId="0" borderId="0" xfId="14" applyNumberFormat="1" applyFont="1" applyBorder="1" applyAlignment="1">
      <alignment horizontal="left"/>
    </xf>
    <xf numFmtId="193" fontId="2" fillId="0" borderId="0" xfId="52" applyNumberFormat="1" applyFont="1" applyBorder="1" applyAlignment="1"/>
    <xf numFmtId="193" fontId="2" fillId="0" borderId="0" xfId="52" applyNumberFormat="1" applyFont="1" applyAlignment="1"/>
    <xf numFmtId="0" fontId="3" fillId="0" borderId="170" xfId="44" applyNumberFormat="1" applyFont="1" applyBorder="1" applyAlignment="1">
      <alignment horizontal="center"/>
    </xf>
    <xf numFmtId="0" fontId="2" fillId="0" borderId="169" xfId="44" applyNumberFormat="1" applyFont="1" applyBorder="1" applyAlignment="1"/>
    <xf numFmtId="1" fontId="2" fillId="0" borderId="169" xfId="44" applyNumberFormat="1" applyFont="1" applyBorder="1" applyAlignment="1"/>
    <xf numFmtId="193" fontId="2" fillId="0" borderId="169" xfId="44" applyNumberFormat="1" applyFont="1" applyBorder="1" applyAlignment="1"/>
    <xf numFmtId="38" fontId="2" fillId="0" borderId="0" xfId="14" applyNumberFormat="1" applyFont="1" applyBorder="1"/>
    <xf numFmtId="0" fontId="2" fillId="0" borderId="0" xfId="52" applyNumberFormat="1" applyFont="1" applyAlignment="1"/>
    <xf numFmtId="193" fontId="2" fillId="0" borderId="0" xfId="44" applyNumberFormat="1" applyFont="1" applyBorder="1" applyAlignment="1"/>
    <xf numFmtId="193" fontId="2" fillId="0" borderId="0" xfId="44" applyNumberFormat="1" applyFont="1" applyAlignment="1"/>
    <xf numFmtId="0" fontId="2" fillId="0" borderId="0" xfId="44" applyNumberFormat="1" applyFont="1" applyBorder="1" applyAlignment="1"/>
    <xf numFmtId="178" fontId="2" fillId="0" borderId="0" xfId="52" applyNumberFormat="1" applyFont="1" applyBorder="1" applyAlignment="1"/>
    <xf numFmtId="0" fontId="2" fillId="0" borderId="0" xfId="52" applyNumberFormat="1" applyFont="1" applyBorder="1" applyAlignment="1"/>
    <xf numFmtId="193" fontId="2" fillId="0" borderId="0" xfId="44" applyNumberFormat="1" applyFont="1" applyBorder="1" applyAlignment="1">
      <alignment horizontal="left"/>
    </xf>
    <xf numFmtId="190" fontId="2" fillId="0" borderId="0" xfId="4" applyNumberFormat="1" applyFont="1" applyAlignment="1"/>
    <xf numFmtId="0" fontId="2" fillId="0" borderId="0" xfId="44" applyNumberFormat="1" applyFont="1" applyBorder="1" applyAlignment="1">
      <alignment horizontal="right"/>
    </xf>
    <xf numFmtId="193" fontId="2" fillId="0" borderId="0" xfId="52" applyNumberFormat="1" applyFont="1" applyBorder="1"/>
    <xf numFmtId="0" fontId="2" fillId="0" borderId="0" xfId="52" applyNumberFormat="1" applyFont="1"/>
    <xf numFmtId="178" fontId="2" fillId="0" borderId="0" xfId="52" applyFont="1" applyFill="1" applyAlignment="1"/>
    <xf numFmtId="178" fontId="2" fillId="0" borderId="0" xfId="52" applyFont="1" applyAlignment="1"/>
    <xf numFmtId="193" fontId="3" fillId="0" borderId="169" xfId="44" applyNumberFormat="1" applyFont="1" applyBorder="1" applyAlignment="1"/>
    <xf numFmtId="190" fontId="2" fillId="0" borderId="169" xfId="44" applyNumberFormat="1" applyFont="1" applyBorder="1" applyAlignment="1"/>
    <xf numFmtId="0" fontId="3" fillId="0" borderId="0" xfId="44" applyNumberFormat="1" applyFont="1" applyAlignment="1">
      <alignment horizontal="left"/>
    </xf>
    <xf numFmtId="0" fontId="2" fillId="0" borderId="0" xfId="52" applyNumberFormat="1" applyFont="1" applyAlignment="1">
      <alignment horizontal="right"/>
    </xf>
    <xf numFmtId="0" fontId="2" fillId="0" borderId="0" xfId="44" applyNumberFormat="1" applyFont="1" applyAlignment="1">
      <alignment horizontal="right"/>
    </xf>
    <xf numFmtId="178" fontId="2" fillId="0" borderId="0" xfId="52" applyNumberFormat="1" applyFont="1" applyAlignment="1"/>
    <xf numFmtId="193" fontId="2" fillId="0" borderId="0" xfId="52" applyNumberFormat="1" applyFont="1" applyAlignment="1">
      <alignment horizontal="right"/>
    </xf>
    <xf numFmtId="0" fontId="2" fillId="0" borderId="1" xfId="44" applyNumberFormat="1" applyFont="1" applyBorder="1" applyAlignment="1">
      <alignment horizontal="left"/>
    </xf>
    <xf numFmtId="38" fontId="2" fillId="0" borderId="1" xfId="14" applyNumberFormat="1" applyFont="1" applyBorder="1" applyAlignment="1">
      <alignment horizontal="left"/>
    </xf>
    <xf numFmtId="0" fontId="3" fillId="0" borderId="0" xfId="14" applyNumberFormat="1" applyFont="1" applyAlignment="1">
      <alignment horizontal="left"/>
    </xf>
    <xf numFmtId="0" fontId="3" fillId="0" borderId="2" xfId="44" applyNumberFormat="1" applyFont="1" applyBorder="1" applyAlignment="1">
      <alignment horizontal="center"/>
    </xf>
    <xf numFmtId="0" fontId="2" fillId="0" borderId="2" xfId="44" applyNumberFormat="1" applyFont="1" applyBorder="1" applyAlignment="1">
      <alignment horizontal="center"/>
    </xf>
    <xf numFmtId="193" fontId="2" fillId="0" borderId="0" xfId="44" applyNumberFormat="1" applyFont="1" applyAlignment="1">
      <alignment horizontal="left"/>
    </xf>
    <xf numFmtId="0" fontId="13" fillId="0" borderId="0" xfId="44" applyNumberFormat="1" applyFont="1" applyBorder="1" applyAlignment="1">
      <alignment horizontal="left" vertical="center"/>
    </xf>
    <xf numFmtId="0" fontId="2" fillId="0" borderId="0" xfId="44" applyNumberFormat="1" applyFont="1" applyBorder="1" applyAlignment="1">
      <alignment vertical="center"/>
    </xf>
    <xf numFmtId="181" fontId="2" fillId="39" borderId="0" xfId="44" applyFont="1" applyFill="1" applyBorder="1"/>
    <xf numFmtId="0" fontId="2" fillId="39" borderId="0" xfId="44" applyNumberFormat="1" applyFont="1" applyFill="1" applyBorder="1"/>
    <xf numFmtId="0" fontId="3" fillId="39" borderId="0" xfId="44" applyNumberFormat="1" applyFont="1" applyFill="1" applyBorder="1" applyAlignment="1">
      <alignment horizontal="center"/>
    </xf>
    <xf numFmtId="0" fontId="3" fillId="0" borderId="0" xfId="44" applyNumberFormat="1" applyFont="1" applyBorder="1" applyAlignment="1">
      <alignment vertical="center"/>
    </xf>
    <xf numFmtId="38" fontId="2" fillId="0" borderId="0" xfId="44" applyNumberFormat="1" applyFont="1" applyFill="1" applyBorder="1"/>
    <xf numFmtId="38" fontId="3" fillId="12" borderId="0" xfId="14" applyNumberFormat="1" applyFont="1" applyFill="1" applyBorder="1" applyAlignment="1">
      <alignment horizontal="left"/>
    </xf>
    <xf numFmtId="38" fontId="2" fillId="12" borderId="0" xfId="14" applyNumberFormat="1" applyFont="1" applyFill="1" applyBorder="1" applyAlignment="1">
      <alignment horizontal="right"/>
    </xf>
    <xf numFmtId="0" fontId="2" fillId="0" borderId="0" xfId="14" applyNumberFormat="1" applyFont="1" applyFill="1" applyBorder="1" applyAlignment="1">
      <alignment horizontal="right"/>
    </xf>
    <xf numFmtId="0" fontId="3" fillId="38" borderId="0" xfId="44" applyNumberFormat="1" applyFont="1" applyFill="1" applyBorder="1" applyAlignment="1">
      <alignment horizontal="left"/>
    </xf>
    <xf numFmtId="38" fontId="2" fillId="38" borderId="0" xfId="44" applyNumberFormat="1" applyFont="1" applyFill="1" applyBorder="1" applyAlignment="1">
      <alignment horizontal="right"/>
    </xf>
    <xf numFmtId="38" fontId="2" fillId="38" borderId="0" xfId="14" applyNumberFormat="1" applyFont="1" applyFill="1" applyBorder="1" applyAlignment="1">
      <alignment horizontal="right"/>
    </xf>
    <xf numFmtId="0" fontId="3" fillId="12" borderId="0" xfId="44" applyNumberFormat="1" applyFont="1" applyFill="1" applyBorder="1" applyAlignment="1">
      <alignment horizontal="left"/>
    </xf>
    <xf numFmtId="38" fontId="2" fillId="12" borderId="0" xfId="44" applyNumberFormat="1" applyFont="1" applyFill="1" applyBorder="1" applyAlignment="1">
      <alignment horizontal="right"/>
    </xf>
    <xf numFmtId="38" fontId="2" fillId="0" borderId="0" xfId="44" applyNumberFormat="1" applyFont="1" applyFill="1" applyBorder="1" applyAlignment="1">
      <alignment horizontal="right"/>
    </xf>
    <xf numFmtId="38" fontId="2" fillId="0" borderId="0" xfId="14" applyNumberFormat="1" applyFont="1" applyFill="1" applyBorder="1" applyAlignment="1">
      <alignment horizontal="right"/>
    </xf>
    <xf numFmtId="0" fontId="3" fillId="0" borderId="0" xfId="44" applyNumberFormat="1" applyFont="1" applyFill="1" applyBorder="1" applyAlignment="1">
      <alignment vertical="center"/>
    </xf>
    <xf numFmtId="38" fontId="3" fillId="0" borderId="0" xfId="44" applyNumberFormat="1" applyFont="1" applyFill="1" applyBorder="1" applyAlignment="1">
      <alignment horizontal="left"/>
    </xf>
    <xf numFmtId="193" fontId="2" fillId="0" borderId="0" xfId="44" applyNumberFormat="1" applyFont="1" applyFill="1" applyBorder="1" applyAlignment="1">
      <alignment horizontal="left"/>
    </xf>
    <xf numFmtId="0" fontId="3" fillId="38" borderId="0" xfId="44" applyNumberFormat="1" applyFont="1" applyFill="1" applyBorder="1"/>
    <xf numFmtId="38" fontId="2" fillId="38" borderId="0" xfId="44" applyNumberFormat="1" applyFont="1" applyFill="1" applyBorder="1"/>
    <xf numFmtId="38" fontId="2" fillId="12" borderId="0" xfId="44" applyNumberFormat="1" applyFont="1" applyFill="1" applyBorder="1"/>
    <xf numFmtId="38" fontId="2" fillId="12" borderId="0" xfId="53" applyNumberFormat="1" applyFont="1" applyFill="1" applyBorder="1"/>
    <xf numFmtId="38" fontId="2" fillId="38" borderId="0" xfId="52" applyNumberFormat="1" applyFont="1" applyFill="1" applyBorder="1" applyAlignment="1"/>
    <xf numFmtId="38" fontId="2" fillId="12" borderId="0" xfId="52" applyNumberFormat="1" applyFont="1" applyFill="1" applyBorder="1" applyAlignment="1"/>
    <xf numFmtId="0" fontId="3" fillId="12" borderId="0" xfId="44" applyNumberFormat="1" applyFont="1" applyFill="1" applyBorder="1"/>
    <xf numFmtId="181" fontId="3" fillId="38" borderId="0" xfId="44" applyFont="1" applyFill="1" applyBorder="1"/>
    <xf numFmtId="38" fontId="2" fillId="0" borderId="0" xfId="44" applyNumberFormat="1" applyFont="1"/>
    <xf numFmtId="181" fontId="3" fillId="12" borderId="0" xfId="44" applyFont="1" applyFill="1"/>
    <xf numFmtId="38" fontId="2" fillId="12" borderId="0" xfId="44" applyNumberFormat="1" applyFont="1" applyFill="1"/>
    <xf numFmtId="181" fontId="3" fillId="38" borderId="0" xfId="44" applyFont="1" applyFill="1"/>
    <xf numFmtId="38" fontId="2" fillId="38" borderId="0" xfId="44" applyNumberFormat="1" applyFont="1" applyFill="1"/>
    <xf numFmtId="0" fontId="2" fillId="0" borderId="0" xfId="14" applyNumberFormat="1" applyFont="1" applyBorder="1" applyAlignment="1">
      <alignment horizontal="right"/>
    </xf>
    <xf numFmtId="181" fontId="3" fillId="0" borderId="0" xfId="44" applyFont="1"/>
    <xf numFmtId="1" fontId="2" fillId="38" borderId="0" xfId="44" applyNumberFormat="1" applyFont="1" applyFill="1"/>
    <xf numFmtId="1" fontId="2" fillId="12" borderId="0" xfId="44" applyNumberFormat="1" applyFont="1" applyFill="1"/>
    <xf numFmtId="0" fontId="16" fillId="40" borderId="0" xfId="44" applyNumberFormat="1" applyFont="1" applyFill="1" applyAlignment="1" applyProtection="1">
      <alignment horizontal="center"/>
    </xf>
    <xf numFmtId="0" fontId="7" fillId="40" borderId="0" xfId="44" applyNumberFormat="1" applyFont="1" applyFill="1" applyProtection="1"/>
    <xf numFmtId="0" fontId="16" fillId="40" borderId="0" xfId="44" applyNumberFormat="1" applyFont="1" applyFill="1" applyProtection="1"/>
    <xf numFmtId="0" fontId="25" fillId="40" borderId="0" xfId="44" applyNumberFormat="1" applyFont="1" applyFill="1" applyProtection="1"/>
    <xf numFmtId="0" fontId="3" fillId="0" borderId="1" xfId="44" applyNumberFormat="1" applyFont="1" applyBorder="1" applyAlignment="1" applyProtection="1">
      <alignment horizontal="center"/>
    </xf>
    <xf numFmtId="0" fontId="3" fillId="0" borderId="2" xfId="44" applyNumberFormat="1" applyFont="1" applyBorder="1" applyAlignment="1" applyProtection="1">
      <alignment horizontal="center"/>
    </xf>
    <xf numFmtId="0" fontId="2" fillId="0" borderId="2" xfId="44" applyNumberFormat="1" applyFont="1" applyBorder="1" applyProtection="1"/>
    <xf numFmtId="0" fontId="2" fillId="0" borderId="19" xfId="44" applyNumberFormat="1" applyFont="1" applyBorder="1" applyProtection="1"/>
    <xf numFmtId="0" fontId="2" fillId="0" borderId="27" xfId="44" applyNumberFormat="1" applyFont="1" applyBorder="1" applyProtection="1"/>
    <xf numFmtId="10" fontId="2" fillId="0" borderId="1" xfId="44" applyNumberFormat="1" applyFont="1" applyFill="1" applyBorder="1" applyAlignment="1" applyProtection="1">
      <alignment horizontal="center"/>
    </xf>
    <xf numFmtId="0" fontId="2" fillId="0" borderId="27" xfId="44" applyNumberFormat="1" applyFont="1" applyFill="1" applyBorder="1" applyAlignment="1" applyProtection="1">
      <alignment horizontal="center"/>
    </xf>
    <xf numFmtId="0" fontId="2" fillId="4" borderId="1" xfId="44" applyNumberFormat="1" applyFont="1" applyFill="1" applyBorder="1" applyAlignment="1" applyProtection="1">
      <alignment horizontal="center"/>
    </xf>
    <xf numFmtId="0" fontId="2" fillId="0" borderId="27" xfId="44" applyNumberFormat="1" applyFont="1" applyBorder="1" applyAlignment="1" applyProtection="1">
      <alignment horizontal="center"/>
    </xf>
    <xf numFmtId="0" fontId="8" fillId="0" borderId="0" xfId="44" applyNumberFormat="1" applyFont="1" applyFill="1" applyAlignment="1" applyProtection="1">
      <alignment horizontal="center"/>
    </xf>
    <xf numFmtId="0" fontId="8" fillId="0" borderId="0" xfId="44" applyNumberFormat="1" applyFont="1" applyAlignment="1" applyProtection="1">
      <alignment horizontal="left"/>
    </xf>
    <xf numFmtId="195" fontId="2" fillId="4" borderId="1" xfId="8" applyNumberFormat="1" applyFont="1" applyFill="1" applyBorder="1" applyAlignment="1" applyProtection="1">
      <alignment horizontal="right" vertical="center" wrapText="1"/>
    </xf>
    <xf numFmtId="10" fontId="2" fillId="4" borderId="1" xfId="11" applyNumberFormat="1" applyFont="1" applyFill="1" applyBorder="1" applyProtection="1"/>
    <xf numFmtId="180" fontId="2" fillId="4" borderId="1" xfId="8" applyFont="1" applyFill="1" applyBorder="1" applyAlignment="1" applyProtection="1">
      <alignment horizontal="right" vertical="center" wrapText="1"/>
    </xf>
    <xf numFmtId="187" fontId="2" fillId="4" borderId="1" xfId="4" applyNumberFormat="1" applyFont="1" applyFill="1" applyBorder="1" applyProtection="1"/>
    <xf numFmtId="179" fontId="2" fillId="4" borderId="1" xfId="11" applyNumberFormat="1" applyFont="1" applyFill="1" applyBorder="1" applyProtection="1"/>
    <xf numFmtId="195" fontId="2" fillId="4" borderId="1" xfId="8" applyNumberFormat="1" applyFont="1" applyFill="1" applyBorder="1" applyProtection="1"/>
    <xf numFmtId="0" fontId="7" fillId="40" borderId="0" xfId="44" applyNumberFormat="1" applyFont="1" applyFill="1" applyAlignment="1" applyProtection="1">
      <alignment horizontal="center"/>
    </xf>
    <xf numFmtId="0" fontId="7" fillId="40" borderId="0" xfId="44" applyNumberFormat="1" applyFont="1" applyFill="1" applyBorder="1" applyProtection="1"/>
    <xf numFmtId="0" fontId="10" fillId="40" borderId="0" xfId="44" applyNumberFormat="1" applyFont="1" applyFill="1" applyBorder="1" applyProtection="1"/>
    <xf numFmtId="0" fontId="10" fillId="0" borderId="0" xfId="44" applyNumberFormat="1" applyFont="1" applyFill="1" applyBorder="1" applyProtection="1"/>
    <xf numFmtId="0" fontId="2" fillId="4" borderId="0" xfId="44" applyNumberFormat="1" applyFont="1" applyFill="1" applyBorder="1" applyAlignment="1" applyProtection="1">
      <alignment horizontal="left"/>
    </xf>
    <xf numFmtId="187" fontId="2" fillId="4" borderId="0" xfId="4" applyNumberFormat="1" applyFont="1" applyFill="1" applyBorder="1" applyProtection="1"/>
    <xf numFmtId="187" fontId="2" fillId="0" borderId="0" xfId="44" applyNumberFormat="1" applyFont="1" applyFill="1" applyBorder="1" applyProtection="1"/>
    <xf numFmtId="0" fontId="2" fillId="4" borderId="0" xfId="14" applyNumberFormat="1" applyFont="1" applyFill="1" applyBorder="1" applyAlignment="1" applyProtection="1">
      <alignment horizontal="center"/>
    </xf>
    <xf numFmtId="0" fontId="2" fillId="4" borderId="0" xfId="44" applyNumberFormat="1" applyFont="1" applyFill="1" applyBorder="1" applyProtection="1"/>
    <xf numFmtId="0" fontId="2" fillId="5" borderId="0" xfId="44" applyNumberFormat="1" applyFont="1" applyFill="1" applyBorder="1" applyAlignment="1" applyProtection="1">
      <alignment horizontal="center"/>
    </xf>
    <xf numFmtId="190" fontId="2" fillId="4" borderId="0" xfId="44" applyNumberFormat="1" applyFont="1" applyFill="1" applyAlignment="1" applyProtection="1">
      <alignment horizontal="center"/>
    </xf>
    <xf numFmtId="0" fontId="25" fillId="40" borderId="0" xfId="44" applyNumberFormat="1" applyFont="1" applyFill="1" applyBorder="1" applyProtection="1"/>
    <xf numFmtId="0" fontId="25" fillId="0" borderId="0" xfId="44" applyNumberFormat="1" applyFont="1" applyFill="1" applyProtection="1"/>
    <xf numFmtId="0" fontId="3" fillId="0" borderId="19" xfId="44" applyNumberFormat="1" applyFont="1" applyBorder="1" applyAlignment="1" applyProtection="1">
      <alignment horizontal="center"/>
    </xf>
    <xf numFmtId="0" fontId="3" fillId="0" borderId="1" xfId="44" applyNumberFormat="1" applyFont="1" applyBorder="1" applyProtection="1"/>
    <xf numFmtId="0" fontId="8" fillId="0" borderId="0" xfId="44" applyNumberFormat="1" applyFont="1" applyFill="1" applyAlignment="1" applyProtection="1">
      <alignment horizontal="left"/>
    </xf>
    <xf numFmtId="0" fontId="2" fillId="4" borderId="2" xfId="44" applyNumberFormat="1" applyFont="1" applyFill="1" applyBorder="1" applyAlignment="1" applyProtection="1">
      <alignment horizontal="center"/>
    </xf>
    <xf numFmtId="190" fontId="2" fillId="4" borderId="0" xfId="44" applyNumberFormat="1" applyFont="1" applyFill="1" applyBorder="1" applyProtection="1"/>
    <xf numFmtId="179" fontId="2" fillId="4" borderId="0" xfId="44" applyNumberFormat="1" applyFont="1" applyFill="1" applyBorder="1" applyProtection="1"/>
    <xf numFmtId="190" fontId="3" fillId="0" borderId="0" xfId="44" applyNumberFormat="1" applyFont="1" applyAlignment="1" applyProtection="1">
      <alignment horizontal="center" vertical="top"/>
    </xf>
    <xf numFmtId="10" fontId="2" fillId="4" borderId="0" xfId="44" applyNumberFormat="1" applyFont="1" applyFill="1" applyBorder="1" applyProtection="1"/>
    <xf numFmtId="185" fontId="3" fillId="0" borderId="0" xfId="4" applyNumberFormat="1" applyFont="1" applyFill="1" applyBorder="1" applyAlignment="1" applyProtection="1">
      <alignment horizontal="center"/>
    </xf>
    <xf numFmtId="0" fontId="3" fillId="7" borderId="0" xfId="44" applyNumberFormat="1" applyFont="1" applyFill="1" applyBorder="1" applyProtection="1"/>
    <xf numFmtId="190" fontId="2" fillId="7" borderId="0" xfId="44" applyNumberFormat="1" applyFont="1" applyFill="1" applyBorder="1" applyProtection="1"/>
    <xf numFmtId="179" fontId="2" fillId="4" borderId="0" xfId="4" applyNumberFormat="1" applyFont="1" applyFill="1" applyBorder="1" applyProtection="1"/>
    <xf numFmtId="0" fontId="7" fillId="40" borderId="0" xfId="44" applyNumberFormat="1" applyFont="1" applyFill="1" applyAlignment="1" applyProtection="1">
      <alignment horizontal="left"/>
    </xf>
    <xf numFmtId="10" fontId="2" fillId="4" borderId="0" xfId="11" applyNumberFormat="1" applyFont="1" applyFill="1" applyBorder="1" applyAlignment="1" applyProtection="1">
      <alignment horizontal="center"/>
    </xf>
    <xf numFmtId="0" fontId="8" fillId="0" borderId="0" xfId="44" applyNumberFormat="1" applyFont="1" applyBorder="1" applyProtection="1"/>
    <xf numFmtId="10" fontId="2" fillId="5" borderId="0" xfId="11" applyNumberFormat="1" applyFont="1" applyFill="1" applyBorder="1" applyAlignment="1" applyProtection="1">
      <alignment horizontal="center"/>
    </xf>
    <xf numFmtId="0" fontId="6" fillId="40" borderId="0" xfId="44" applyNumberFormat="1" applyFont="1" applyFill="1" applyProtection="1"/>
    <xf numFmtId="0" fontId="2" fillId="4" borderId="0" xfId="44" applyNumberFormat="1" applyFont="1" applyFill="1" applyBorder="1" applyAlignment="1" applyProtection="1">
      <alignment horizontal="right"/>
    </xf>
    <xf numFmtId="2" fontId="2" fillId="4" borderId="0" xfId="44" applyNumberFormat="1" applyFont="1" applyFill="1" applyBorder="1" applyAlignment="1" applyProtection="1">
      <alignment horizontal="center"/>
    </xf>
    <xf numFmtId="185" fontId="2" fillId="4" borderId="0" xfId="44" applyNumberFormat="1" applyFont="1" applyFill="1" applyBorder="1" applyAlignment="1" applyProtection="1">
      <alignment horizontal="center"/>
    </xf>
    <xf numFmtId="9" fontId="2" fillId="4" borderId="0" xfId="11" applyFont="1" applyFill="1" applyBorder="1" applyAlignment="1" applyProtection="1">
      <alignment horizontal="right"/>
    </xf>
    <xf numFmtId="180" fontId="2" fillId="0" borderId="0" xfId="44" applyNumberFormat="1" applyFont="1" applyFill="1" applyBorder="1" applyAlignment="1" applyProtection="1">
      <alignment horizontal="left"/>
    </xf>
    <xf numFmtId="9" fontId="2" fillId="0" borderId="0" xfId="11" applyFont="1" applyFill="1" applyBorder="1" applyAlignment="1" applyProtection="1">
      <alignment horizontal="right"/>
    </xf>
    <xf numFmtId="9" fontId="2" fillId="4" borderId="0" xfId="44" applyNumberFormat="1" applyFont="1" applyFill="1" applyBorder="1" applyAlignment="1" applyProtection="1">
      <alignment horizontal="right"/>
    </xf>
    <xf numFmtId="9" fontId="2" fillId="0" borderId="0" xfId="44" applyNumberFormat="1" applyFont="1" applyFill="1" applyBorder="1" applyAlignment="1" applyProtection="1">
      <alignment horizontal="right"/>
    </xf>
    <xf numFmtId="9" fontId="2" fillId="4" borderId="0" xfId="11" applyFont="1" applyFill="1" applyBorder="1" applyProtection="1"/>
    <xf numFmtId="180" fontId="2" fillId="0" borderId="0" xfId="44" applyNumberFormat="1" applyFont="1" applyFill="1" applyBorder="1" applyAlignment="1" applyProtection="1">
      <alignment horizontal="right"/>
    </xf>
    <xf numFmtId="9" fontId="2" fillId="4" borderId="0" xfId="44" applyNumberFormat="1" applyFont="1" applyFill="1" applyBorder="1" applyProtection="1"/>
    <xf numFmtId="1" fontId="2" fillId="0" borderId="0" xfId="44" applyNumberFormat="1" applyFont="1" applyFill="1" applyBorder="1" applyProtection="1"/>
    <xf numFmtId="9" fontId="2" fillId="0" borderId="0" xfId="44" applyNumberFormat="1" applyFont="1" applyFill="1" applyBorder="1" applyProtection="1"/>
    <xf numFmtId="1" fontId="2" fillId="0" borderId="0" xfId="44" applyNumberFormat="1" applyFont="1" applyFill="1" applyBorder="1" applyAlignment="1" applyProtection="1">
      <alignment horizontal="left"/>
    </xf>
    <xf numFmtId="0" fontId="7" fillId="40" borderId="0" xfId="44" applyNumberFormat="1" applyFont="1" applyFill="1" applyBorder="1" applyAlignment="1" applyProtection="1">
      <alignment horizontal="center"/>
    </xf>
    <xf numFmtId="0" fontId="28" fillId="0" borderId="0" xfId="44" applyNumberFormat="1" applyFont="1" applyFill="1" applyBorder="1" applyAlignment="1" applyProtection="1">
      <alignment horizontal="center"/>
    </xf>
    <xf numFmtId="0" fontId="7" fillId="0" borderId="0" xfId="44" applyNumberFormat="1" applyFont="1" applyFill="1" applyBorder="1" applyAlignment="1" applyProtection="1">
      <alignment horizontal="right"/>
    </xf>
    <xf numFmtId="0" fontId="7" fillId="0" borderId="0" xfId="44" applyNumberFormat="1" applyFont="1" applyFill="1" applyBorder="1" applyAlignment="1" applyProtection="1">
      <alignment horizontal="center"/>
    </xf>
    <xf numFmtId="0" fontId="20" fillId="0" borderId="0" xfId="44" applyNumberFormat="1" applyFont="1" applyFill="1" applyBorder="1" applyAlignment="1" applyProtection="1">
      <alignment horizontal="right"/>
    </xf>
    <xf numFmtId="0" fontId="17" fillId="0" borderId="0" xfId="44" applyNumberFormat="1" applyFont="1" applyFill="1" applyBorder="1" applyAlignment="1" applyProtection="1">
      <alignment horizontal="center"/>
    </xf>
    <xf numFmtId="195" fontId="17" fillId="0" borderId="0" xfId="8" applyNumberFormat="1" applyFont="1" applyFill="1" applyBorder="1" applyAlignment="1" applyProtection="1">
      <alignment horizontal="right"/>
    </xf>
    <xf numFmtId="9" fontId="17" fillId="4" borderId="0" xfId="11" applyFont="1" applyFill="1" applyBorder="1" applyAlignment="1" applyProtection="1">
      <alignment horizontal="right"/>
    </xf>
    <xf numFmtId="10" fontId="5" fillId="4" borderId="0" xfId="11" applyNumberFormat="1" applyFont="1" applyFill="1" applyBorder="1" applyAlignment="1" applyProtection="1">
      <alignment horizontal="center"/>
    </xf>
    <xf numFmtId="180" fontId="2" fillId="0" borderId="0" xfId="8" applyNumberFormat="1" applyFont="1" applyFill="1" applyBorder="1" applyAlignment="1" applyProtection="1">
      <alignment horizontal="right"/>
    </xf>
    <xf numFmtId="0" fontId="7" fillId="40" borderId="0" xfId="44" applyNumberFormat="1" applyFont="1" applyFill="1" applyBorder="1" applyAlignment="1" applyProtection="1">
      <alignment horizontal="right"/>
    </xf>
    <xf numFmtId="0" fontId="17" fillId="0" borderId="4" xfId="44" applyNumberFormat="1" applyFont="1" applyFill="1" applyBorder="1" applyProtection="1"/>
    <xf numFmtId="0" fontId="20" fillId="0" borderId="5" xfId="44" applyNumberFormat="1" applyFont="1" applyFill="1" applyBorder="1" applyAlignment="1" applyProtection="1">
      <alignment horizontal="right"/>
    </xf>
    <xf numFmtId="0" fontId="17" fillId="0" borderId="27" xfId="44" applyNumberFormat="1" applyFont="1" applyFill="1" applyBorder="1" applyAlignment="1" applyProtection="1">
      <alignment horizontal="center"/>
    </xf>
    <xf numFmtId="0" fontId="17" fillId="0" borderId="1" xfId="8" applyNumberFormat="1" applyFont="1" applyFill="1" applyBorder="1" applyAlignment="1" applyProtection="1">
      <alignment horizontal="center"/>
    </xf>
    <xf numFmtId="0" fontId="1" fillId="0" borderId="30" xfId="44" applyNumberFormat="1" applyFill="1" applyBorder="1" applyProtection="1"/>
    <xf numFmtId="0" fontId="17" fillId="0" borderId="1" xfId="44" applyNumberFormat="1" applyFont="1" applyFill="1" applyBorder="1" applyAlignment="1" applyProtection="1">
      <alignment horizontal="center"/>
    </xf>
    <xf numFmtId="0" fontId="17" fillId="0" borderId="2" xfId="44" applyNumberFormat="1" applyFont="1" applyFill="1" applyBorder="1" applyProtection="1"/>
    <xf numFmtId="0" fontId="20" fillId="0" borderId="27" xfId="44" applyNumberFormat="1" applyFont="1" applyFill="1" applyBorder="1" applyAlignment="1" applyProtection="1">
      <alignment horizontal="right"/>
    </xf>
    <xf numFmtId="0" fontId="17" fillId="0" borderId="0" xfId="8" applyNumberFormat="1" applyFont="1" applyFill="1" applyBorder="1" applyAlignment="1" applyProtection="1">
      <alignment horizontal="center"/>
    </xf>
    <xf numFmtId="0" fontId="17" fillId="0" borderId="0" xfId="8" applyNumberFormat="1" applyFont="1" applyFill="1" applyBorder="1" applyAlignment="1" applyProtection="1">
      <alignment horizontal="right"/>
    </xf>
    <xf numFmtId="0" fontId="63" fillId="33" borderId="145" xfId="0" applyFont="1" applyFill="1" applyBorder="1" applyProtection="1"/>
    <xf numFmtId="0" fontId="63" fillId="33" borderId="180" xfId="0" applyFont="1" applyFill="1" applyBorder="1" applyAlignment="1" applyProtection="1">
      <alignment horizontal="center"/>
    </xf>
    <xf numFmtId="0" fontId="63" fillId="33" borderId="34" xfId="0" applyFont="1" applyFill="1" applyBorder="1" applyAlignment="1" applyProtection="1">
      <alignment horizontal="center"/>
    </xf>
    <xf numFmtId="0" fontId="63" fillId="33" borderId="180" xfId="0" applyFont="1" applyFill="1" applyBorder="1" applyProtection="1"/>
    <xf numFmtId="0" fontId="63" fillId="33" borderId="34" xfId="0" applyFont="1" applyFill="1" applyBorder="1" applyProtection="1"/>
    <xf numFmtId="0" fontId="63" fillId="33" borderId="181" xfId="0" applyFont="1" applyFill="1" applyBorder="1" applyProtection="1"/>
    <xf numFmtId="0" fontId="63" fillId="33" borderId="29" xfId="0" applyFont="1" applyFill="1" applyBorder="1" applyAlignment="1" applyProtection="1">
      <alignment horizontal="center"/>
    </xf>
    <xf numFmtId="0" fontId="63" fillId="33" borderId="182" xfId="0" applyFont="1" applyFill="1" applyBorder="1" applyAlignment="1" applyProtection="1">
      <alignment horizontal="center"/>
    </xf>
    <xf numFmtId="0" fontId="63" fillId="33" borderId="181" xfId="0" applyFont="1" applyFill="1" applyBorder="1" applyAlignment="1" applyProtection="1">
      <alignment horizontal="center"/>
    </xf>
    <xf numFmtId="0" fontId="63" fillId="33" borderId="140" xfId="0" applyFont="1" applyFill="1" applyBorder="1" applyProtection="1"/>
    <xf numFmtId="0" fontId="63" fillId="33" borderId="3" xfId="0" applyFont="1" applyFill="1" applyBorder="1" applyAlignment="1" applyProtection="1">
      <alignment horizontal="center"/>
    </xf>
    <xf numFmtId="0" fontId="63" fillId="33" borderId="183" xfId="0" applyFont="1" applyFill="1" applyBorder="1" applyAlignment="1" applyProtection="1">
      <alignment horizontal="center"/>
    </xf>
    <xf numFmtId="0" fontId="63" fillId="33" borderId="140" xfId="0" applyFont="1" applyFill="1" applyBorder="1" applyAlignment="1" applyProtection="1">
      <alignment horizontal="center"/>
    </xf>
    <xf numFmtId="0" fontId="63" fillId="33" borderId="11" xfId="0" applyFont="1" applyFill="1" applyBorder="1" applyAlignment="1" applyProtection="1">
      <alignment horizontal="center"/>
    </xf>
    <xf numFmtId="0" fontId="63" fillId="33" borderId="1" xfId="0" applyFont="1" applyFill="1" applyBorder="1" applyAlignment="1" applyProtection="1">
      <alignment horizontal="center"/>
    </xf>
    <xf numFmtId="37" fontId="63" fillId="33" borderId="12" xfId="8" applyNumberFormat="1" applyFont="1" applyFill="1" applyBorder="1" applyAlignment="1" applyProtection="1">
      <alignment horizontal="center"/>
    </xf>
    <xf numFmtId="37" fontId="63" fillId="33" borderId="11" xfId="8" applyNumberFormat="1" applyFont="1" applyFill="1" applyBorder="1" applyAlignment="1" applyProtection="1">
      <alignment horizontal="center"/>
    </xf>
    <xf numFmtId="37" fontId="63" fillId="33" borderId="1" xfId="8" applyNumberFormat="1" applyFont="1" applyFill="1" applyBorder="1" applyAlignment="1" applyProtection="1">
      <alignment horizontal="center"/>
    </xf>
    <xf numFmtId="0" fontId="8" fillId="0" borderId="166" xfId="44" applyNumberFormat="1" applyFont="1" applyFill="1" applyBorder="1" applyProtection="1"/>
    <xf numFmtId="0" fontId="8" fillId="0" borderId="167" xfId="44" applyNumberFormat="1" applyFont="1" applyFill="1" applyBorder="1" applyProtection="1"/>
    <xf numFmtId="0" fontId="8" fillId="0" borderId="175" xfId="44" applyNumberFormat="1" applyFont="1" applyFill="1" applyBorder="1" applyProtection="1"/>
    <xf numFmtId="0" fontId="8" fillId="0" borderId="0" xfId="44" applyNumberFormat="1" applyFont="1" applyAlignment="1">
      <alignment horizontal="right" vertical="center"/>
    </xf>
    <xf numFmtId="0" fontId="8" fillId="0" borderId="0" xfId="44" applyNumberFormat="1" applyFont="1" applyAlignment="1">
      <alignment horizontal="left" vertical="center"/>
    </xf>
    <xf numFmtId="0" fontId="1" fillId="0" borderId="0" xfId="44" applyNumberFormat="1" applyAlignment="1">
      <alignment horizontal="center"/>
    </xf>
    <xf numFmtId="181" fontId="64" fillId="0" borderId="0" xfId="44" applyFont="1" applyAlignment="1">
      <alignment horizontal="center"/>
    </xf>
    <xf numFmtId="0" fontId="65" fillId="0" borderId="0" xfId="44" applyNumberFormat="1" applyFont="1" applyAlignment="1">
      <alignment horizontal="center" vertical="center"/>
    </xf>
    <xf numFmtId="181" fontId="64" fillId="0" borderId="0" xfId="44" applyFont="1" applyAlignment="1">
      <alignment horizontal="center" wrapText="1"/>
    </xf>
    <xf numFmtId="181" fontId="8" fillId="0" borderId="0" xfId="44" applyFont="1" applyAlignment="1">
      <alignment horizontal="center"/>
    </xf>
    <xf numFmtId="181" fontId="1" fillId="0" borderId="0" xfId="44" applyAlignment="1">
      <alignment horizontal="center"/>
    </xf>
    <xf numFmtId="181" fontId="21" fillId="0" borderId="0" xfId="44" applyFont="1"/>
    <xf numFmtId="0" fontId="66" fillId="0" borderId="0" xfId="44" applyNumberFormat="1" applyFont="1" applyAlignment="1">
      <alignment horizontal="left"/>
    </xf>
    <xf numFmtId="0" fontId="66" fillId="0" borderId="0" xfId="44" applyNumberFormat="1" applyFont="1"/>
    <xf numFmtId="0" fontId="1" fillId="0" borderId="0" xfId="44" applyNumberFormat="1" applyFont="1"/>
    <xf numFmtId="181" fontId="67" fillId="0" borderId="0" xfId="44" applyFont="1"/>
    <xf numFmtId="181" fontId="66" fillId="0" borderId="0" xfId="44" applyFont="1" applyAlignment="1">
      <alignment horizontal="center" wrapText="1"/>
    </xf>
    <xf numFmtId="181" fontId="66" fillId="0" borderId="0" xfId="44" applyFont="1"/>
    <xf numFmtId="181" fontId="1" fillId="4" borderId="0" xfId="44" applyFill="1" applyAlignment="1">
      <alignment horizontal="left"/>
    </xf>
    <xf numFmtId="181" fontId="1" fillId="4" borderId="0" xfId="44" applyFill="1"/>
    <xf numFmtId="0" fontId="68" fillId="0" borderId="0" xfId="0" applyFont="1" applyFill="1" applyAlignment="1">
      <alignment horizontal="left"/>
    </xf>
    <xf numFmtId="0" fontId="0" fillId="0" borderId="0" xfId="0" applyFill="1" applyAlignment="1">
      <alignment horizontal="left"/>
    </xf>
    <xf numFmtId="0" fontId="0" fillId="0" borderId="0" xfId="0" applyAlignment="1">
      <alignment horizontal="left"/>
    </xf>
    <xf numFmtId="0" fontId="0" fillId="0" borderId="0" xfId="0" applyBorder="1" applyAlignment="1">
      <alignment horizontal="left"/>
    </xf>
    <xf numFmtId="0" fontId="69" fillId="0" borderId="0" xfId="0" applyFont="1" applyBorder="1" applyAlignment="1">
      <alignment horizontal="left" vertical="center"/>
    </xf>
    <xf numFmtId="0" fontId="0" fillId="0" borderId="36" xfId="0" applyBorder="1" applyAlignment="1">
      <alignment horizontal="left"/>
    </xf>
    <xf numFmtId="0" fontId="69" fillId="0" borderId="36" xfId="0" applyFont="1" applyBorder="1" applyAlignment="1">
      <alignment horizontal="left" vertical="center"/>
    </xf>
    <xf numFmtId="0" fontId="70" fillId="41" borderId="0" xfId="0" applyFont="1" applyFill="1" applyAlignment="1">
      <alignment horizontal="left" vertical="center"/>
    </xf>
    <xf numFmtId="0" fontId="70" fillId="42" borderId="0" xfId="0" applyFont="1" applyFill="1" applyAlignment="1">
      <alignment horizontal="left" vertical="center"/>
    </xf>
    <xf numFmtId="0" fontId="71" fillId="0" borderId="0" xfId="0" applyFont="1" applyAlignment="1">
      <alignment horizontal="right" vertical="center"/>
    </xf>
    <xf numFmtId="0" fontId="0" fillId="0" borderId="0" xfId="0" applyAlignment="1">
      <alignment vertical="top" wrapText="1"/>
    </xf>
    <xf numFmtId="0" fontId="0" fillId="0" borderId="80" xfId="0" applyBorder="1" applyAlignment="1">
      <alignment horizontal="left"/>
    </xf>
    <xf numFmtId="0" fontId="70" fillId="40" borderId="184" xfId="0" applyFont="1" applyFill="1" applyBorder="1" applyAlignment="1">
      <alignment horizontal="left" vertical="center"/>
    </xf>
    <xf numFmtId="0" fontId="70" fillId="40" borderId="185" xfId="0" applyFont="1" applyFill="1" applyBorder="1" applyAlignment="1">
      <alignment horizontal="left" vertical="center"/>
    </xf>
    <xf numFmtId="0" fontId="70" fillId="40" borderId="186" xfId="0" applyFont="1" applyFill="1" applyBorder="1" applyAlignment="1">
      <alignment horizontal="left" vertical="center"/>
    </xf>
    <xf numFmtId="0" fontId="0" fillId="4" borderId="0" xfId="0" applyFill="1" applyBorder="1" applyAlignment="1">
      <alignment horizontal="right" vertical="top"/>
    </xf>
    <xf numFmtId="0" fontId="0" fillId="0" borderId="0" xfId="0" applyAlignment="1">
      <alignment horizontal="left" vertical="top" wrapText="1"/>
    </xf>
    <xf numFmtId="0" fontId="0" fillId="0" borderId="0" xfId="0" applyFill="1" applyAlignment="1">
      <alignment horizontal="right" vertical="top"/>
    </xf>
    <xf numFmtId="0" fontId="70" fillId="40" borderId="0" xfId="0" applyFont="1" applyFill="1" applyAlignment="1">
      <alignment horizontal="left" vertical="center"/>
    </xf>
    <xf numFmtId="49" fontId="70" fillId="41" borderId="0" xfId="0" applyNumberFormat="1" applyFont="1" applyFill="1" applyAlignment="1">
      <alignment horizontal="left" vertical="center"/>
    </xf>
    <xf numFmtId="49" fontId="71" fillId="35" borderId="0" xfId="0" applyNumberFormat="1" applyFont="1" applyFill="1" applyAlignment="1">
      <alignment horizontal="right" vertical="center"/>
    </xf>
    <xf numFmtId="49" fontId="71" fillId="35" borderId="0" xfId="0" applyNumberFormat="1" applyFont="1" applyFill="1" applyAlignment="1">
      <alignment vertical="center"/>
    </xf>
    <xf numFmtId="49" fontId="0" fillId="35" borderId="0" xfId="0" applyNumberFormat="1" applyFill="1" applyAlignment="1">
      <alignment horizontal="left"/>
    </xf>
    <xf numFmtId="0" fontId="70" fillId="43" borderId="0" xfId="0" applyFont="1" applyFill="1" applyAlignment="1">
      <alignment horizontal="left" vertical="center"/>
    </xf>
    <xf numFmtId="0" fontId="70" fillId="0" borderId="0" xfId="0" applyFont="1" applyFill="1" applyAlignment="1">
      <alignment vertical="center"/>
    </xf>
    <xf numFmtId="49" fontId="71" fillId="0" borderId="0" xfId="0" applyNumberFormat="1" applyFont="1" applyFill="1" applyAlignment="1">
      <alignment horizontal="right" vertical="center"/>
    </xf>
    <xf numFmtId="49" fontId="71" fillId="0" borderId="0" xfId="0" applyNumberFormat="1" applyFont="1" applyFill="1" applyAlignment="1">
      <alignment vertical="center"/>
    </xf>
    <xf numFmtId="49" fontId="0" fillId="0" borderId="0" xfId="0" applyNumberFormat="1" applyFill="1" applyAlignment="1">
      <alignment horizontal="left"/>
    </xf>
    <xf numFmtId="49" fontId="71" fillId="9" borderId="0" xfId="0" applyNumberFormat="1" applyFont="1" applyFill="1" applyAlignment="1">
      <alignment horizontal="right" vertical="center"/>
    </xf>
    <xf numFmtId="49" fontId="71" fillId="9" borderId="0" xfId="0" applyNumberFormat="1" applyFont="1" applyFill="1" applyAlignment="1">
      <alignment vertical="center"/>
    </xf>
    <xf numFmtId="49" fontId="0" fillId="9" borderId="0" xfId="0" applyNumberFormat="1" applyFill="1" applyAlignment="1">
      <alignment horizontal="left"/>
    </xf>
    <xf numFmtId="49" fontId="71" fillId="33" borderId="0" xfId="0" applyNumberFormat="1" applyFont="1" applyFill="1" applyAlignment="1">
      <alignment horizontal="right" vertical="center"/>
    </xf>
    <xf numFmtId="49" fontId="71" fillId="33" borderId="0" xfId="0" applyNumberFormat="1" applyFont="1" applyFill="1" applyAlignment="1">
      <alignment horizontal="left" vertical="center"/>
    </xf>
    <xf numFmtId="0" fontId="34" fillId="0" borderId="0" xfId="0" applyFont="1"/>
    <xf numFmtId="0" fontId="70" fillId="0" borderId="0" xfId="0" applyFont="1" applyFill="1" applyAlignment="1">
      <alignment horizontal="left" vertical="center"/>
    </xf>
    <xf numFmtId="0" fontId="38" fillId="0" borderId="0" xfId="0" applyFont="1" applyFill="1" applyAlignment="1">
      <alignment horizontal="left"/>
    </xf>
    <xf numFmtId="49" fontId="71" fillId="44" borderId="0" xfId="0" applyNumberFormat="1" applyFont="1" applyFill="1" applyAlignment="1">
      <alignment horizontal="right" vertical="center"/>
    </xf>
    <xf numFmtId="49" fontId="71" fillId="44" borderId="0" xfId="0" applyNumberFormat="1" applyFont="1" applyFill="1" applyAlignment="1">
      <alignment horizontal="left" vertical="center"/>
    </xf>
    <xf numFmtId="181" fontId="72" fillId="0" borderId="0" xfId="44" applyFont="1" applyProtection="1"/>
    <xf numFmtId="181" fontId="45" fillId="0" borderId="0" xfId="44" applyFont="1" applyProtection="1"/>
    <xf numFmtId="181" fontId="73" fillId="0" borderId="0" xfId="44" applyFont="1" applyProtection="1"/>
    <xf numFmtId="181" fontId="73" fillId="0" borderId="0" xfId="44" applyFont="1" applyAlignment="1" applyProtection="1">
      <alignment horizontal="center"/>
    </xf>
    <xf numFmtId="181" fontId="73" fillId="0" borderId="0" xfId="44" applyFont="1"/>
    <xf numFmtId="181" fontId="36" fillId="0" borderId="0" xfId="44" applyFont="1"/>
    <xf numFmtId="181" fontId="73" fillId="0" borderId="0" xfId="44" applyFont="1" applyFill="1" applyAlignment="1" applyProtection="1">
      <alignment horizontal="center"/>
    </xf>
    <xf numFmtId="181" fontId="73" fillId="0" borderId="0" xfId="44" applyFont="1" applyFill="1" applyProtection="1">
      <protection locked="0"/>
    </xf>
    <xf numFmtId="181" fontId="73" fillId="0" borderId="0" xfId="44" applyFont="1" applyFill="1" applyProtection="1"/>
    <xf numFmtId="181" fontId="36" fillId="0" borderId="0" xfId="44" applyFont="1" applyAlignment="1" applyProtection="1">
      <alignment horizontal="left"/>
    </xf>
    <xf numFmtId="0" fontId="36" fillId="0" borderId="0" xfId="44" applyNumberFormat="1" applyFont="1" applyAlignment="1" applyProtection="1">
      <alignment horizontal="left"/>
    </xf>
    <xf numFmtId="181" fontId="73" fillId="0" borderId="0" xfId="44" applyFont="1" applyProtection="1">
      <protection locked="0"/>
    </xf>
    <xf numFmtId="181" fontId="45" fillId="0" borderId="0" xfId="44" applyFont="1" applyFill="1" applyProtection="1"/>
    <xf numFmtId="181" fontId="74" fillId="0" borderId="0" xfId="44" applyFont="1" applyFill="1" applyProtection="1"/>
    <xf numFmtId="181" fontId="75" fillId="0" borderId="0" xfId="44" applyFont="1" applyProtection="1"/>
    <xf numFmtId="181" fontId="36" fillId="0" borderId="0" xfId="44" applyFont="1" applyAlignment="1" applyProtection="1">
      <alignment horizontal="center"/>
    </xf>
    <xf numFmtId="181" fontId="8" fillId="0" borderId="0" xfId="44" applyFont="1"/>
    <xf numFmtId="14" fontId="28" fillId="0" borderId="0" xfId="44" applyNumberFormat="1" applyFont="1" applyAlignment="1" applyProtection="1">
      <alignment horizontal="left"/>
    </xf>
    <xf numFmtId="181" fontId="76" fillId="0" borderId="0" xfId="44" applyFont="1" applyProtection="1"/>
    <xf numFmtId="181" fontId="73" fillId="0" borderId="0" xfId="44" applyFont="1" applyAlignment="1">
      <alignment horizontal="left" vertical="center" wrapText="1"/>
    </xf>
    <xf numFmtId="181" fontId="77" fillId="0" borderId="0" xfId="44" applyFont="1"/>
    <xf numFmtId="181" fontId="78" fillId="0" borderId="0" xfId="44" applyFont="1"/>
    <xf numFmtId="181" fontId="79" fillId="0" borderId="0" xfId="44" applyFont="1" applyProtection="1"/>
    <xf numFmtId="181" fontId="1" fillId="0" borderId="0" xfId="44" applyFill="1" applyProtection="1">
      <protection locked="0"/>
    </xf>
    <xf numFmtId="181" fontId="1" fillId="0" borderId="0" xfId="44" applyProtection="1">
      <protection locked="0"/>
    </xf>
    <xf numFmtId="0" fontId="8" fillId="0" borderId="0" xfId="44" applyNumberFormat="1" applyFont="1" applyAlignment="1">
      <alignment horizontal="center" vertical="center"/>
    </xf>
    <xf numFmtId="0" fontId="1" fillId="0" borderId="0" xfId="44" applyNumberFormat="1" applyAlignment="1"/>
    <xf numFmtId="181" fontId="8" fillId="0" borderId="0" xfId="44" applyFont="1" applyProtection="1"/>
    <xf numFmtId="181" fontId="8" fillId="0" borderId="0" xfId="44" applyFont="1" applyAlignment="1"/>
    <xf numFmtId="181" fontId="1" fillId="0" borderId="0" xfId="44" applyAlignment="1"/>
    <xf numFmtId="181" fontId="1" fillId="0" borderId="0" xfId="44" applyNumberFormat="1" applyFill="1" applyAlignment="1" applyProtection="1">
      <alignment horizontal="left"/>
    </xf>
    <xf numFmtId="49" fontId="71" fillId="35" borderId="0" xfId="0" applyNumberFormat="1" applyFont="1" applyFill="1" applyAlignment="1" quotePrefix="1">
      <alignment horizontal="right" vertical="center"/>
    </xf>
    <xf numFmtId="49" fontId="71" fillId="9" borderId="0" xfId="0" applyNumberFormat="1" applyFont="1" applyFill="1" applyAlignment="1" quotePrefix="1">
      <alignment horizontal="right" vertical="center"/>
    </xf>
    <xf numFmtId="49" fontId="71" fillId="33" borderId="0" xfId="0" applyNumberFormat="1" applyFont="1" applyFill="1" applyAlignment="1" quotePrefix="1">
      <alignment horizontal="right" vertical="center"/>
    </xf>
    <xf numFmtId="49" fontId="71" fillId="33" borderId="0" xfId="0" applyNumberFormat="1" applyFont="1" applyFill="1" applyAlignment="1" quotePrefix="1">
      <alignment horizontal="left" vertical="center"/>
    </xf>
    <xf numFmtId="49" fontId="71" fillId="44" borderId="0" xfId="0" applyNumberFormat="1" applyFont="1" applyFill="1" applyAlignment="1" quotePrefix="1">
      <alignment horizontal="right" vertical="center"/>
    </xf>
    <xf numFmtId="49" fontId="71" fillId="44" borderId="0" xfId="0" applyNumberFormat="1" applyFont="1" applyFill="1" applyAlignment="1" quotePrefix="1">
      <alignment horizontal="left" vertical="center"/>
    </xf>
  </cellXfs>
  <cellStyles count="5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Comma 2" xfId="14"/>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40% - 强调文字颜色 5" xfId="47" builtinId="47"/>
    <cellStyle name="60% - 强调文字颜色 5" xfId="48" builtinId="48"/>
    <cellStyle name="强调文字颜色 6" xfId="49" builtinId="49"/>
    <cellStyle name="40% - 强调文字颜色 6" xfId="50" builtinId="51"/>
    <cellStyle name="60% - 强调文字颜色 6" xfId="51" builtinId="52"/>
    <cellStyle name="Currency 2" xfId="52"/>
    <cellStyle name="Percent 2" xfId="53"/>
  </cellStyles>
  <dxfs count="4">
    <dxf>
      <font>
        <b val="1"/>
        <i val="0"/>
        <color rgb="FFFF0000"/>
      </font>
    </dxf>
    <dxf>
      <fill>
        <patternFill patternType="none"/>
      </fill>
    </dxf>
    <dxf>
      <fill>
        <patternFill patternType="solid">
          <bgColor theme="8" tint="0.799981688894314"/>
        </patternFill>
      </fill>
      <border>
        <left/>
        <right/>
        <top style="thin">
          <color theme="8"/>
        </top>
        <bottom style="thin">
          <color theme="8"/>
        </bottom>
      </border>
    </dxf>
    <dxf>
      <fill>
        <patternFill patternType="solid">
          <bgColor rgb="FFFFFF00"/>
        </patternFill>
      </fill>
    </dxf>
  </dxfs>
  <tableStyles count="0" defaultTableStyle="TableStyleMedium2" defaultPivotStyle="PivotStyleLight16"/>
  <colors>
    <mruColors>
      <color rgb="00FFFFFF"/>
      <color rgb="00FFFF00"/>
      <color rgb="009BBB59"/>
      <color rgb="00E1F4FF"/>
      <color rgb="00FFFF01"/>
      <color rgb="0000B05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4.xml.rels><?xml version="1.0" encoding="UTF-8" standalone="yes"?>
<Relationships xmlns="http://schemas.openxmlformats.org/package/2006/relationships"><Relationship Id="rId1" Type="http://schemas.microsoft.com/office/2006/relationships/activeXControlBinary" Target="activeX23.bin"/></Relationships>
</file>

<file path=xl/activeX/_rels/activeX30.xml.rels><?xml version="1.0" encoding="UTF-8" standalone="yes"?>
<Relationships xmlns="http://schemas.openxmlformats.org/package/2006/relationships"><Relationship Id="rId1" Type="http://schemas.microsoft.com/office/2006/relationships/activeXControlBinary" Target="activeX24.bin"/></Relationships>
</file>

<file path=xl/activeX/_rels/activeX38.xml.rels><?xml version="1.0" encoding="UTF-8" standalone="yes"?>
<Relationships xmlns="http://schemas.openxmlformats.org/package/2006/relationships"><Relationship Id="rId1" Type="http://schemas.microsoft.com/office/2006/relationships/activeXControlBinary" Target="activeX25.bin"/></Relationships>
</file>

<file path=xl/activeX/_rels/activeX47.xml.rels><?xml version="1.0" encoding="UTF-8" standalone="yes"?>
<Relationships xmlns="http://schemas.openxmlformats.org/package/2006/relationships"><Relationship Id="rId1" Type="http://schemas.microsoft.com/office/2006/relationships/activeXControlBinary" Target="activeX26.bin"/></Relationships>
</file>

<file path=xl/activeX/_rels/activeX55.xml.rels><?xml version="1.0" encoding="UTF-8" standalone="yes"?>
<Relationships xmlns="http://schemas.openxmlformats.org/package/2006/relationships"><Relationship Id="rId1" Type="http://schemas.microsoft.com/office/2006/relationships/activeXControlBinary" Target="activeX27.bin"/></Relationships>
</file>

<file path=xl/activeX/_rels/activeX56.xml.rels><?xml version="1.0" encoding="UTF-8" standalone="yes"?>
<Relationships xmlns="http://schemas.openxmlformats.org/package/2006/relationships"><Relationship Id="rId1" Type="http://schemas.microsoft.com/office/2006/relationships/activeXControlBinary" Target="activeX28.bin"/></Relationships>
</file>

<file path=xl/activeX/_rels/activeX61.xml.rels><?xml version="1.0" encoding="UTF-8" standalone="yes"?>
<Relationships xmlns="http://schemas.openxmlformats.org/package/2006/relationships"><Relationship Id="rId1" Type="http://schemas.microsoft.com/office/2006/relationships/activeXControlBinary" Target="activeX29.bin"/></Relationships>
</file>

<file path=xl/activeX/_rels/activeX63.xml.rels><?xml version="1.0" encoding="UTF-8" standalone="yes"?>
<Relationships xmlns="http://schemas.openxmlformats.org/package/2006/relationships"><Relationship Id="rId1" Type="http://schemas.microsoft.com/office/2006/relationships/activeXControlBinary" Target="activeX30.bin"/></Relationships>
</file>

<file path=xl/activeX/_rels/activeX67.xml.rels><?xml version="1.0" encoding="UTF-8" standalone="yes"?>
<Relationships xmlns="http://schemas.openxmlformats.org/package/2006/relationships"><Relationship Id="rId1" Type="http://schemas.microsoft.com/office/2006/relationships/activeXControlBinary" Target="activeX31.bin"/></Relationships>
</file>

<file path=xl/activeX/_rels/activeX75.xml.rels><?xml version="1.0" encoding="UTF-8" standalone="yes"?>
<Relationships xmlns="http://schemas.openxmlformats.org/package/2006/relationships"><Relationship Id="rId1" Type="http://schemas.microsoft.com/office/2006/relationships/activeXControlBinary" Target="activeX32.bin"/></Relationships>
</file>

<file path=xl/activeX/_rels/activeX78.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r:id="rId1" ax:persistence="persistStreamInit"/>
</file>

<file path=xl/activeX/activeX2.xml><?xml version="1.0" encoding="utf-8"?>
<ax:ocx xmlns:ax="http://schemas.microsoft.com/office/2006/activeX" xmlns:r="http://schemas.openxmlformats.org/officeDocument/2006/relationships" ax:classid="{8BD21D20-EC42-11CE-9E0D-00AA006002F3}"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8BD21D20-EC42-11CE-9E0D-00AA006002F3}" r:id="rId1" ax:persistence="persistStreamInit"/>
</file>

<file path=xl/activeX/activeX14.xml><?xml version="1.0" encoding="utf-8"?>
<ax:ocx xmlns:ax="http://schemas.microsoft.com/office/2006/activeX" xmlns:r="http://schemas.openxmlformats.org/officeDocument/2006/relationships" ax:classid="{8BD21D20-EC42-11CE-9E0D-00AA006002F3}" r:id="rId1" ax:persistence="persistStreamInit"/>
</file>

<file path=xl/activeX/activeX15.xml><?xml version="1.0" encoding="utf-8"?>
<ax:ocx xmlns:ax="http://schemas.microsoft.com/office/2006/activeX" xmlns:r="http://schemas.openxmlformats.org/officeDocument/2006/relationships" ax:classid="{8BD21D20-EC42-11CE-9E0D-00AA006002F3}" r:id="rId1" ax:persistence="persistStreamInit"/>
</file>

<file path=xl/activeX/activeX16.xml><?xml version="1.0" encoding="utf-8"?>
<ax:ocx xmlns:ax="http://schemas.microsoft.com/office/2006/activeX" xmlns:r="http://schemas.openxmlformats.org/officeDocument/2006/relationships" ax:classid="{8BD21D20-EC42-11CE-9E0D-00AA006002F3}" r:id="rId1" ax:persistence="persistStreamInit"/>
</file>

<file path=xl/activeX/activeX17.xml><?xml version="1.0" encoding="utf-8"?>
<ax:ocx xmlns:ax="http://schemas.microsoft.com/office/2006/activeX" xmlns:r="http://schemas.openxmlformats.org/officeDocument/2006/relationships" ax:classid="{8BD21D20-EC42-11CE-9E0D-00AA006002F3}" r:id="rId1" ax:persistence="persistStreamInit"/>
</file>

<file path=xl/activeX/activeX18.xml><?xml version="1.0" encoding="utf-8"?>
<ax:ocx xmlns:ax="http://schemas.microsoft.com/office/2006/activeX" xmlns:r="http://schemas.openxmlformats.org/officeDocument/2006/relationships" ax:classid="{8BD21D20-EC42-11CE-9E0D-00AA006002F3}" r:id="rId1" ax:persistence="persistStreamInit"/>
</file>

<file path=xl/activeX/activeX19.xml><?xml version="1.0" encoding="utf-8"?>
<ax:ocx xmlns:ax="http://schemas.microsoft.com/office/2006/activeX" xmlns:r="http://schemas.openxmlformats.org/officeDocument/2006/relationships" ax:classid="{8BD21D20-EC42-11CE-9E0D-00AA006002F3}" r:id="rId1" ax:persistence="persistStreamInit"/>
</file>

<file path=xl/activeX/activeX20.xml><?xml version="1.0" encoding="utf-8"?>
<ax:ocx xmlns:ax="http://schemas.microsoft.com/office/2006/activeX" xmlns:r="http://schemas.openxmlformats.org/officeDocument/2006/relationships" ax:classid="{8BD21D20-EC42-11CE-9E0D-00AA006002F3}" r:id="rId1" ax:persistence="persistStreamInit"/>
</file>

<file path=xl/activeX/activeX21.xml><?xml version="1.0" encoding="utf-8"?>
<ax:ocx xmlns:ax="http://schemas.microsoft.com/office/2006/activeX" xmlns:r="http://schemas.openxmlformats.org/officeDocument/2006/relationships" ax:classid="{D7053240-CE69-11CD-A777-00DD01143C57}" r:id="rId1" ax:persistence="persistStreamInit"/>
</file>

<file path=xl/activeX/activeX22.xml><?xml version="1.0" encoding="utf-8"?>
<ax:ocx xmlns:ax="http://schemas.microsoft.com/office/2006/activeX" xmlns:r="http://schemas.openxmlformats.org/officeDocument/2006/relationships" ax:classid="{D7053240-CE69-11CD-A777-00DD01143C57}" r:id="rId1" ax:persistence="persistStreamInit"/>
</file>

<file path=xl/activeX/activeX24.xml><?xml version="1.0" encoding="utf-8"?>
<ax:ocx xmlns:ax="http://schemas.microsoft.com/office/2006/activeX" xmlns:r="http://schemas.openxmlformats.org/officeDocument/2006/relationships" ax:classid="{8BD21D30-EC42-11CE-9E0D-00AA006002F3}" r:id="rId1" ax:persistence="persistStreamInit"/>
</file>

<file path=xl/activeX/activeX30.xml><?xml version="1.0" encoding="utf-8"?>
<ax:ocx xmlns:ax="http://schemas.microsoft.com/office/2006/activeX" xmlns:r="http://schemas.openxmlformats.org/officeDocument/2006/relationships" ax:classid="{8BD21D30-EC42-11CE-9E0D-00AA006002F3}" r:id="rId1" ax:persistence="persistStreamInit"/>
</file>

<file path=xl/activeX/activeX38.xml><?xml version="1.0" encoding="utf-8"?>
<ax:ocx xmlns:ax="http://schemas.microsoft.com/office/2006/activeX" xmlns:r="http://schemas.openxmlformats.org/officeDocument/2006/relationships" ax:classid="{8BD21D30-EC42-11CE-9E0D-00AA006002F3}" r:id="rId1" ax:persistence="persistStreamInit"/>
</file>

<file path=xl/activeX/activeX47.xml><?xml version="1.0" encoding="utf-8"?>
<ax:ocx xmlns:ax="http://schemas.microsoft.com/office/2006/activeX" xmlns:r="http://schemas.openxmlformats.org/officeDocument/2006/relationships" ax:classid="{8BD21D30-EC42-11CE-9E0D-00AA006002F3}" r:id="rId1" ax:persistence="persistStreamInit"/>
</file>

<file path=xl/activeX/activeX55.xml><?xml version="1.0" encoding="utf-8"?>
<ax:ocx xmlns:ax="http://schemas.microsoft.com/office/2006/activeX" xmlns:r="http://schemas.openxmlformats.org/officeDocument/2006/relationships" ax:classid="{8BD21D30-EC42-11CE-9E0D-00AA006002F3}" r:id="rId1" ax:persistence="persistStreamInit"/>
</file>

<file path=xl/activeX/activeX56.xml><?xml version="1.0" encoding="utf-8"?>
<ax:ocx xmlns:ax="http://schemas.microsoft.com/office/2006/activeX" xmlns:r="http://schemas.openxmlformats.org/officeDocument/2006/relationships" ax:classid="{8BD21D30-EC42-11CE-9E0D-00AA006002F3}" r:id="rId1" ax:persistence="persistStreamInit"/>
</file>

<file path=xl/activeX/activeX61.xml><?xml version="1.0" encoding="utf-8"?>
<ax:ocx xmlns:ax="http://schemas.microsoft.com/office/2006/activeX" xmlns:r="http://schemas.openxmlformats.org/officeDocument/2006/relationships" ax:classid="{8BD21D30-EC42-11CE-9E0D-00AA006002F3}" r:id="rId1" ax:persistence="persistStreamInit"/>
</file>

<file path=xl/activeX/activeX63.xml><?xml version="1.0" encoding="utf-8"?>
<ax:ocx xmlns:ax="http://schemas.microsoft.com/office/2006/activeX" xmlns:r="http://schemas.openxmlformats.org/officeDocument/2006/relationships" ax:classid="{8BD21D30-EC42-11CE-9E0D-00AA006002F3}" r:id="rId1" ax:persistence="persistStreamInit"/>
</file>

<file path=xl/activeX/activeX67.xml><?xml version="1.0" encoding="utf-8"?>
<ax:ocx xmlns:ax="http://schemas.microsoft.com/office/2006/activeX" xmlns:r="http://schemas.openxmlformats.org/officeDocument/2006/relationships" ax:classid="{8BD21D30-EC42-11CE-9E0D-00AA006002F3}" r:id="rId1" ax:persistence="persistStreamInit"/>
</file>

<file path=xl/activeX/activeX75.xml><?xml version="1.0" encoding="utf-8"?>
<ax:ocx xmlns:ax="http://schemas.microsoft.com/office/2006/activeX" xmlns:r="http://schemas.openxmlformats.org/officeDocument/2006/relationships" ax:classid="{8BD21D30-EC42-11CE-9E0D-00AA006002F3}" r:id="rId1" ax:persistence="persistStreamInit"/>
</file>

<file path=xl/activeX/activeX78.xml><?xml version="1.0" encoding="utf-8"?>
<ax:ocx xmlns:ax="http://schemas.microsoft.com/office/2006/activeX" xmlns:r="http://schemas.openxmlformats.org/officeDocument/2006/relationships" ax:classid="{8BD21D3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en-US"/>
              <a:t>Break-Even Analysis Chart: BRAND 01</a:t>
            </a:r>
            <a:endParaRPr lang="en-US"/>
          </a:p>
        </c:rich>
      </c:tx>
      <c:layout>
        <c:manualLayout>
          <c:xMode val="edge"/>
          <c:yMode val="edge"/>
          <c:x val="0.261600306562859"/>
          <c:y val="0.0322581209714539"/>
        </c:manualLayout>
      </c:layout>
      <c:overlay val="0"/>
      <c:spPr>
        <a:noFill/>
        <a:ln>
          <a:noFill/>
        </a:ln>
        <a:effectLst/>
      </c:spPr>
    </c:title>
    <c:autoTitleDeleted val="0"/>
    <c:plotArea>
      <c:layout>
        <c:manualLayout>
          <c:layoutTarget val="inner"/>
          <c:xMode val="edge"/>
          <c:yMode val="edge"/>
          <c:x val="0.128728582757082"/>
          <c:y val="0.257639052640289"/>
          <c:w val="0.822635898858667"/>
          <c:h val="0.622530994219516"/>
        </c:manualLayout>
      </c:layout>
      <c:scatterChart>
        <c:scatterStyle val="lineMarker"/>
        <c:varyColors val="0"/>
        <c:ser>
          <c:idx val="0"/>
          <c:order val="0"/>
          <c:tx>
            <c:strRef>
              <c:f>"Total Fixed Costs"</c:f>
              <c:strCache>
                <c:ptCount val="1"/>
                <c:pt idx="0">
                  <c:v>Total Fixed Costs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elete val="1"/>
          </c:dLbls>
          <c:xVal>
            <c:numRef>
              <c:f>'D-Analysis'!$E$20:$F$20</c:f>
              <c:numCache>
                <c:formatCode>#,##0;[Red]\-#,##0</c:formatCode>
                <c:ptCount val="2"/>
                <c:pt idx="0">
                  <c:v>0</c:v>
                </c:pt>
                <c:pt idx="1" c:formatCode="#,##0.00;[Red]\-#,##0.00">
                  <c:v>4.24906776184842</c:v>
                </c:pt>
              </c:numCache>
            </c:numRef>
          </c:xVal>
          <c:yVal>
            <c:numRef>
              <c:f>'D-Analysis'!$E$21:$F$21</c:f>
              <c:numCache>
                <c:formatCode>"$"#,##0_);[Red]\("$"#,##0\)</c:formatCode>
                <c:ptCount val="2"/>
                <c:pt idx="0">
                  <c:v>273056.248179254</c:v>
                </c:pt>
                <c:pt idx="1">
                  <c:v>273056.248179254</c:v>
                </c:pt>
              </c:numCache>
            </c:numRef>
          </c:yVal>
          <c:smooth val="0"/>
        </c:ser>
        <c:ser>
          <c:idx val="1"/>
          <c:order val="1"/>
          <c:tx>
            <c:strRef>
              <c:f>"Break-Even Point"</c:f>
              <c:strCache>
                <c:ptCount val="1"/>
                <c:pt idx="0">
                  <c:v>Break-Even Point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elete val="1"/>
          </c:dLbls>
          <c:xVal>
            <c:numRef>
              <c:f>'D-Analysis'!$F$17</c:f>
              <c:numCache>
                <c:formatCode>#,##0.00;[Red]\-#,##0.00</c:formatCode>
                <c:ptCount val="1"/>
                <c:pt idx="0">
                  <c:v>4.24906776184842</c:v>
                </c:pt>
              </c:numCache>
            </c:numRef>
          </c:xVal>
          <c:yVal>
            <c:numRef>
              <c:f>'D-Analysis'!$F$18</c:f>
              <c:numCache>
                <c:formatCode>"$"#,##0_);[Red]\("$"#,##0\)</c:formatCode>
                <c:ptCount val="1"/>
                <c:pt idx="0">
                  <c:v>346379.302595052</c:v>
                </c:pt>
              </c:numCache>
            </c:numRef>
          </c:yVal>
          <c:smooth val="0"/>
        </c:ser>
        <c:ser>
          <c:idx val="2"/>
          <c:order val="2"/>
          <c:tx>
            <c:strRef>
              <c:f>"Total Revenue"</c:f>
              <c:strCache>
                <c:ptCount val="1"/>
                <c:pt idx="0">
                  <c:v>Total Revenue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delete val="1"/>
          </c:dLbls>
          <c:xVal>
            <c:numRef>
              <c:f>'D-Analysis'!$E$20:$F$20</c:f>
              <c:numCache>
                <c:formatCode>#,##0;[Red]\-#,##0</c:formatCode>
                <c:ptCount val="2"/>
                <c:pt idx="0">
                  <c:v>0</c:v>
                </c:pt>
                <c:pt idx="1" c:formatCode="#,##0.00;[Red]\-#,##0.00">
                  <c:v>4.24906776184842</c:v>
                </c:pt>
              </c:numCache>
            </c:numRef>
          </c:xVal>
          <c:yVal>
            <c:numRef>
              <c:f>'D-Analysis'!$E$22:$F$22</c:f>
              <c:numCache>
                <c:formatCode>"$"#,##0_);[Red]\("$"#,##0\)</c:formatCode>
                <c:ptCount val="2"/>
                <c:pt idx="0">
                  <c:v>0</c:v>
                </c:pt>
                <c:pt idx="1" c:formatCode="#,##0;[Red]\-#,##0">
                  <c:v>346379.302595052</c:v>
                </c:pt>
              </c:numCache>
            </c:numRef>
          </c:yVal>
          <c:smooth val="0"/>
        </c:ser>
        <c:ser>
          <c:idx val="3"/>
          <c:order val="3"/>
          <c:tx>
            <c:strRef>
              <c:f>"Total Cost"</c:f>
              <c:strCache>
                <c:ptCount val="1"/>
                <c:pt idx="0">
                  <c:v>Total Cost</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delete val="1"/>
          </c:dLbls>
          <c:xVal>
            <c:numRef>
              <c:f>'D-Analysis'!$E$20:$F$20</c:f>
              <c:numCache>
                <c:formatCode>#,##0;[Red]\-#,##0</c:formatCode>
                <c:ptCount val="2"/>
                <c:pt idx="0">
                  <c:v>0</c:v>
                </c:pt>
                <c:pt idx="1" c:formatCode="#,##0.00;[Red]\-#,##0.00">
                  <c:v>4.24906776184842</c:v>
                </c:pt>
              </c:numCache>
            </c:numRef>
          </c:xVal>
          <c:yVal>
            <c:numRef>
              <c:f>'D-Analysis'!$E$23:$F$23</c:f>
              <c:numCache>
                <c:formatCode>"$"#,##0_);[Red]\("$"#,##0\)</c:formatCode>
                <c:ptCount val="2"/>
                <c:pt idx="0">
                  <c:v>273056.248179254</c:v>
                </c:pt>
                <c:pt idx="1" c:formatCode="#,##0;[Red]\-#,##0">
                  <c:v>346379.302595052</c:v>
                </c:pt>
              </c:numCache>
            </c:numRef>
          </c:yVal>
          <c:smooth val="0"/>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en-US"/>
                  <a:t>Months
</a:t>
                </a:r>
                <a:endParaRPr lang="en-US"/>
              </a:p>
            </c:rich>
          </c:tx>
          <c:layout>
            <c:manualLayout>
              <c:xMode val="edge"/>
              <c:yMode val="edge"/>
              <c:x val="0.317600372187947"/>
              <c:y val="0.827958438267317"/>
            </c:manualLayout>
          </c:layout>
          <c:overlay val="0"/>
          <c:spPr>
            <a:noFill/>
            <a:ln>
              <a:noFill/>
            </a:ln>
            <a:effectLst/>
          </c:sp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en-US"/>
                  <a:t>Total Revenue [$]</a:t>
                </a:r>
                <a:endParaRPr lang="en-US"/>
              </a:p>
            </c:rich>
          </c:tx>
          <c:layout>
            <c:manualLayout>
              <c:xMode val="edge"/>
              <c:yMode val="edge"/>
              <c:x val="0.00560000656250769"/>
              <c:y val="0.270609792593863"/>
            </c:manualLayout>
          </c:layout>
          <c:overlay val="0"/>
          <c:spPr>
            <a:noFill/>
            <a:ln>
              <a:noFill/>
            </a:ln>
            <a:effectLst/>
          </c:sp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732048"/>
        <c:crosses val="autoZero"/>
        <c:crossBetween val="midCat"/>
      </c:valAx>
      <c:spPr>
        <a:noFill/>
        <a:ln>
          <a:noFill/>
        </a:ln>
        <a:effectLst/>
      </c:spPr>
    </c:plotArea>
    <c:legend>
      <c:legendPos val="b"/>
      <c:layout>
        <c:manualLayout>
          <c:xMode val="edge"/>
          <c:yMode val="edge"/>
          <c:x val="0.210851716953307"/>
          <c:y val="0.153439670970369"/>
          <c:w val="0.679336103038584"/>
          <c:h val="0.0512532183627113"/>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2"/>
          <c:y val="0.150357383898441"/>
          <c:w val="0.870709148873072"/>
          <c:h val="0.644864534790294"/>
        </c:manualLayout>
      </c:layout>
      <c:barChart>
        <c:barDir val="col"/>
        <c:grouping val="clustered"/>
        <c:varyColors val="0"/>
        <c:ser>
          <c:idx val="0"/>
          <c:order val="0"/>
          <c:tx>
            <c:strRef>
              <c:f>"36 month profit after taxes"</c:f>
              <c:strCache>
                <c:ptCount val="1"/>
                <c:pt idx="0">
                  <c:v>36 month profit after taxes</c:v>
                </c:pt>
              </c:strCache>
            </c:strRef>
          </c:tx>
          <c:invertIfNegative val="0"/>
          <c:dLbls>
            <c:delete val="1"/>
          </c:dLbls>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ptCount val="0"/>
                    </c:numCache>
                  </c:numRef>
                </c15:cat>
              </c15:filteredCategoryTitle>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36528"/>
        <c:crosses val="autoZero"/>
        <c:auto val="1"/>
        <c:lblAlgn val="ctr"/>
        <c:lblOffset val="100"/>
        <c:noMultiLvlLbl val="0"/>
      </c:catAx>
      <c:valAx>
        <c:axId val="372736528"/>
        <c:scaling>
          <c:orientation val="minMax"/>
        </c:scaling>
        <c:delete val="0"/>
        <c:axPos val="l"/>
        <c:majorGridlines>
          <c:spPr>
            <a:ln w="9525" cap="flat" cmpd="sng" algn="ctr">
              <a:noFill/>
              <a:prstDash val="solid"/>
              <a:round/>
            </a:ln>
          </c:spPr>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35968"/>
        <c:crosses val="autoZero"/>
        <c:crossBetween val="between"/>
      </c:valAx>
    </c:plotArea>
    <c:plotVisOnly val="1"/>
    <c:dispBlanksAs val="gap"/>
    <c:showDLblsOverMax val="0"/>
  </c:chart>
  <c:txPr>
    <a:bodyPr/>
    <a:lstStyle/>
    <a:p>
      <a:pPr>
        <a:defRPr lang="zh-CN"/>
      </a:pP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4"/>
          <c:y val="0.109540950238363"/>
          <c:w val="0.889202326650565"/>
          <c:h val="0.697096171481788"/>
        </c:manualLayout>
      </c:layout>
      <c:barChart>
        <c:barDir val="col"/>
        <c:grouping val="clustered"/>
        <c:varyColors val="0"/>
        <c:ser>
          <c:idx val="0"/>
          <c:order val="0"/>
          <c:invertIfNegative val="0"/>
          <c:dLbls>
            <c:delete val="1"/>
          </c:dLbls>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ptCount val="0"/>
                    </c:numCache>
                  </c:numRef>
                </c15:cat>
              </c15:filteredCategoryTitle>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39328"/>
        <c:crossesAt val="0"/>
        <c:auto val="1"/>
        <c:lblAlgn val="ctr"/>
        <c:lblOffset val="100"/>
        <c:noMultiLvlLbl val="0"/>
      </c:catAx>
      <c:valAx>
        <c:axId val="372739328"/>
        <c:scaling>
          <c:orientation val="minMax"/>
        </c:scaling>
        <c:delete val="0"/>
        <c:axPos val="l"/>
        <c:majorGridlines>
          <c:spPr>
            <a:ln w="9525" cap="flat" cmpd="sng" algn="ctr">
              <a:noFill/>
              <a:prstDash val="solid"/>
              <a:round/>
            </a:ln>
          </c:spPr>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38768"/>
        <c:crosses val="autoZero"/>
        <c:crossBetween val="between"/>
      </c:valAx>
    </c:plotArea>
    <c:plotVisOnly val="1"/>
    <c:dispBlanksAs val="gap"/>
    <c:showDLblsOverMax val="0"/>
  </c:chart>
  <c:txPr>
    <a:bodyPr/>
    <a:lstStyle/>
    <a:p>
      <a:pPr>
        <a:defRPr lang="zh-CN"/>
      </a:pPr>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4"/>
          <c:y val="0.109540950238363"/>
          <c:w val="0.868120986042012"/>
          <c:h val="0.697833846082598"/>
        </c:manualLayout>
      </c:layout>
      <c:barChart>
        <c:barDir val="col"/>
        <c:grouping val="clustered"/>
        <c:varyColors val="0"/>
        <c:ser>
          <c:idx val="0"/>
          <c:order val="0"/>
          <c:invertIfNegative val="0"/>
          <c:dLbls>
            <c:delete val="1"/>
          </c:dLbls>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ptCount val="0"/>
                    </c:numCache>
                  </c:numRef>
                </c15:cat>
              </c15:filteredCategoryTitle>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42128"/>
        <c:crosses val="autoZero"/>
        <c:auto val="1"/>
        <c:lblAlgn val="ctr"/>
        <c:lblOffset val="100"/>
        <c:noMultiLvlLbl val="0"/>
      </c:catAx>
      <c:valAx>
        <c:axId val="372742128"/>
        <c:scaling>
          <c:orientation val="minMax"/>
        </c:scaling>
        <c:delete val="0"/>
        <c:axPos val="l"/>
        <c:majorGridlines>
          <c:spPr>
            <a:ln w="9525" cap="flat" cmpd="sng" algn="ctr">
              <a:noFill/>
              <a:prstDash val="solid"/>
              <a:round/>
            </a:ln>
          </c:spPr>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41568"/>
        <c:crosses val="autoZero"/>
        <c:crossBetween val="between"/>
      </c:valAx>
    </c:plotArea>
    <c:plotVisOnly val="1"/>
    <c:dispBlanksAs val="gap"/>
    <c:showDLblsOverMax val="0"/>
  </c:chart>
  <c:txPr>
    <a:bodyPr/>
    <a:lstStyle/>
    <a:p>
      <a:pPr>
        <a:defRPr lang="zh-CN"/>
      </a:pPr>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4"/>
          <c:y val="0.109540950238363"/>
          <c:w val="0.880965395814013"/>
          <c:h val="0.685179255039719"/>
        </c:manualLayout>
      </c:layout>
      <c:barChart>
        <c:barDir val="col"/>
        <c:grouping val="clustered"/>
        <c:varyColors val="0"/>
        <c:ser>
          <c:idx val="0"/>
          <c:order val="0"/>
          <c:invertIfNegative val="0"/>
          <c:dLbls>
            <c:delete val="1"/>
          </c:dLbls>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ptCount val="0"/>
                    </c:numCache>
                  </c:numRef>
                </c15:cat>
              </c15:filteredCategoryTitle>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44928"/>
        <c:crosses val="autoZero"/>
        <c:auto val="1"/>
        <c:lblAlgn val="ctr"/>
        <c:lblOffset val="100"/>
        <c:noMultiLvlLbl val="0"/>
      </c:catAx>
      <c:valAx>
        <c:axId val="372744928"/>
        <c:scaling>
          <c:orientation val="minMax"/>
        </c:scaling>
        <c:delete val="0"/>
        <c:axPos val="l"/>
        <c:majorGridlines>
          <c:spPr>
            <a:ln w="9525" cap="flat" cmpd="sng" algn="ctr">
              <a:noFill/>
              <a:prstDash val="solid"/>
              <a:round/>
            </a:ln>
          </c:spPr>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72744368"/>
        <c:crosses val="autoZero"/>
        <c:crossBetween val="between"/>
      </c:valAx>
    </c:plotArea>
    <c:plotVisOnly val="1"/>
    <c:dispBlanksAs val="gap"/>
    <c:showDLblsOverMax val="0"/>
  </c:chart>
  <c:txPr>
    <a:bodyPr/>
    <a:lstStyle/>
    <a:p>
      <a:pPr>
        <a:defRPr lang="zh-CN"/>
      </a:pPr>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
          <c:y val="0.081825768285221"/>
          <c:w val="0.718195951857369"/>
          <c:h val="0.883933800766412"/>
        </c:manualLayout>
      </c:layout>
      <c:pieChart>
        <c:varyColors val="1"/>
        <c:ser>
          <c:idx val="0"/>
          <c:order val="0"/>
          <c:tx>
            <c:strRef>
              <c:f>Performance!$H$181</c:f>
              <c:strCache>
                <c:ptCount val="1"/>
                <c:pt idx="0">
                  <c:v>FY-3</c:v>
                </c:pt>
              </c:strCache>
            </c:strRef>
          </c:tx>
          <c:spPr/>
          <c:explosion val="2"/>
          <c:dPt>
            <c:idx val="0"/>
            <c:bubble3D val="0"/>
            <c:spPr>
              <a:solidFill>
                <a:schemeClr val="accent6"/>
              </a:solidFill>
              <a:ln w="19050">
                <a:solidFill>
                  <a:schemeClr val="lt1"/>
                </a:solidFill>
              </a:ln>
              <a:effectLst/>
            </c:spPr>
          </c:dPt>
          <c:dPt>
            <c:idx val="1"/>
            <c:bubble3D val="0"/>
            <c:spPr>
              <a:solidFill>
                <a:schemeClr val="accent5"/>
              </a:solidFill>
              <a:ln w="19050">
                <a:solidFill>
                  <a:schemeClr val="lt1"/>
                </a:solidFill>
              </a:ln>
              <a:effectLst/>
            </c:spPr>
          </c:dPt>
          <c:dPt>
            <c:idx val="2"/>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Performance!$E$182:$E$184</c:f>
              <c:strCache>
                <c:ptCount val="3"/>
                <c:pt idx="0" c:formatCode="#,##0;[Red]\-#,##0">
                  <c:v>Marketing Cost</c:v>
                </c:pt>
                <c:pt idx="1" c:formatCode="#,##0;[Red]\-#,##0">
                  <c:v>Compensation</c:v>
                </c:pt>
                <c:pt idx="2" c:formatCode="#,##0;[Red]\-#,##0">
                  <c:v>Other costs</c:v>
                </c:pt>
              </c:strCache>
            </c:strRef>
          </c:cat>
          <c:val>
            <c:numRef>
              <c:f>Performance!$H$182:$H$184</c:f>
              <c:numCache>
                <c:formatCode>_("$"* #,##0_);_("$"* \(#,##0\);_("$"* "-"??_);_(@_)</c:formatCode>
                <c:ptCount val="3"/>
                <c:pt idx="0">
                  <c:v>61409</c:v>
                </c:pt>
                <c:pt idx="1">
                  <c:v>76640</c:v>
                </c:pt>
                <c:pt idx="2">
                  <c:v>138729.998179254</c:v>
                </c:pt>
              </c:numCache>
            </c:numRef>
          </c:val>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
          <c:y val="0.081825768285221"/>
          <c:w val="0.718195951857369"/>
          <c:h val="0.883933800766412"/>
        </c:manualLayout>
      </c:layout>
      <c:pieChart>
        <c:varyColors val="1"/>
        <c:ser>
          <c:idx val="0"/>
          <c:order val="0"/>
          <c:tx>
            <c:strRef>
              <c:f>Performance!$G$181</c:f>
              <c:strCache>
                <c:ptCount val="1"/>
                <c:pt idx="0">
                  <c:v>FY-2</c:v>
                </c:pt>
              </c:strCache>
            </c:strRef>
          </c:tx>
          <c:spPr/>
          <c:explosion val="2"/>
          <c:dPt>
            <c:idx val="0"/>
            <c:bubble3D val="0"/>
            <c:spPr>
              <a:solidFill>
                <a:schemeClr val="accent6"/>
              </a:solidFill>
              <a:ln w="19050">
                <a:solidFill>
                  <a:schemeClr val="lt1"/>
                </a:solidFill>
              </a:ln>
              <a:effectLst/>
            </c:spPr>
          </c:dPt>
          <c:dPt>
            <c:idx val="1"/>
            <c:bubble3D val="0"/>
            <c:spPr>
              <a:solidFill>
                <a:schemeClr val="accent5"/>
              </a:solidFill>
              <a:ln w="19050">
                <a:solidFill>
                  <a:schemeClr val="lt1"/>
                </a:solidFill>
              </a:ln>
              <a:effectLst/>
            </c:spPr>
          </c:dPt>
          <c:dPt>
            <c:idx val="2"/>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Performance!$E$182:$E$184</c:f>
              <c:strCache>
                <c:ptCount val="3"/>
                <c:pt idx="0" c:formatCode="#,##0;[Red]\-#,##0">
                  <c:v>Marketing Cost</c:v>
                </c:pt>
                <c:pt idx="1" c:formatCode="#,##0;[Red]\-#,##0">
                  <c:v>Compensation</c:v>
                </c:pt>
                <c:pt idx="2" c:formatCode="#,##0;[Red]\-#,##0">
                  <c:v>Other costs</c:v>
                </c:pt>
              </c:strCache>
            </c:strRef>
          </c:cat>
          <c:val>
            <c:numRef>
              <c:f>Performance!$G$182:$G$184</c:f>
              <c:numCache>
                <c:formatCode>_("$"* #,##0_);_("$"* \(#,##0\);_("$"* "-"??_);_(@_)</c:formatCode>
                <c:ptCount val="3"/>
                <c:pt idx="0">
                  <c:v>72790</c:v>
                </c:pt>
                <c:pt idx="1">
                  <c:v>80000</c:v>
                </c:pt>
                <c:pt idx="2">
                  <c:v>140181.248179254</c:v>
                </c:pt>
              </c:numCache>
            </c:numRef>
          </c:val>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2"/>
          <c:y val="0.0775757279596362"/>
          <c:w val="0.49072111032365"/>
          <c:h val="0.865453451509062"/>
        </c:manualLayout>
      </c:layout>
      <c:pieChart>
        <c:varyColors val="1"/>
        <c:ser>
          <c:idx val="0"/>
          <c:order val="0"/>
          <c:tx>
            <c:strRef>
              <c:f>Performance!$F$181</c:f>
              <c:strCache>
                <c:ptCount val="1"/>
                <c:pt idx="0">
                  <c:v>FY-1</c:v>
                </c:pt>
              </c:strCache>
            </c:strRef>
          </c:tx>
          <c:spPr/>
          <c:explosion val="2"/>
          <c:dPt>
            <c:idx val="0"/>
            <c:bubble3D val="0"/>
            <c:spPr>
              <a:solidFill>
                <a:schemeClr val="accent6"/>
              </a:solidFill>
              <a:ln w="19050">
                <a:solidFill>
                  <a:schemeClr val="lt1"/>
                </a:solidFill>
              </a:ln>
              <a:effectLst/>
            </c:spPr>
          </c:dPt>
          <c:dPt>
            <c:idx val="1"/>
            <c:bubble3D val="0"/>
            <c:spPr>
              <a:solidFill>
                <a:schemeClr val="accent5"/>
              </a:solidFill>
              <a:ln w="19050">
                <a:solidFill>
                  <a:schemeClr val="lt1"/>
                </a:solidFill>
              </a:ln>
              <a:effectLst/>
            </c:spPr>
          </c:dPt>
          <c:dPt>
            <c:idx val="2"/>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Performance!$E$182:$E$184</c:f>
              <c:strCache>
                <c:ptCount val="3"/>
                <c:pt idx="0" c:formatCode="#,##0;[Red]\-#,##0">
                  <c:v>Marketing Cost</c:v>
                </c:pt>
                <c:pt idx="1" c:formatCode="#,##0;[Red]\-#,##0">
                  <c:v>Compensation</c:v>
                </c:pt>
                <c:pt idx="2" c:formatCode="#,##0;[Red]\-#,##0">
                  <c:v>Other costs</c:v>
                </c:pt>
              </c:strCache>
            </c:strRef>
          </c:cat>
          <c:val>
            <c:numRef>
              <c:f>Performance!$F$182:$F$184</c:f>
              <c:numCache>
                <c:formatCode>_("$"* #,##0_);_("$"* \(#,##0\);_("$"* "-"??_);_(@_)</c:formatCode>
                <c:ptCount val="3"/>
                <c:pt idx="0">
                  <c:v>86900</c:v>
                </c:pt>
                <c:pt idx="1">
                  <c:v>84000</c:v>
                </c:pt>
                <c:pt idx="2">
                  <c:v>117156.248179254</c:v>
                </c:pt>
              </c:numCache>
            </c:numRef>
          </c:val>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0.0214945788026497"/>
          <c:y val="0.286206843866341"/>
          <c:w val="0.396494969378828"/>
          <c:h val="0.362672677282738"/>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
          <c:y val="0.081825768285221"/>
          <c:w val="0.718195951857369"/>
          <c:h val="0.883933800766412"/>
        </c:manualLayout>
      </c:layout>
      <c:pieChart>
        <c:varyColors val="1"/>
        <c:ser>
          <c:idx val="0"/>
          <c:order val="0"/>
          <c:tx>
            <c:strRef>
              <c:f>Performance!$E$177</c:f>
              <c:strCache>
                <c:ptCount val="1"/>
                <c:pt idx="0">
                  <c:v>FY-1</c:v>
                </c:pt>
              </c:strCache>
            </c:strRef>
          </c:tx>
          <c:spPr/>
          <c:explosion val="2"/>
          <c:dPt>
            <c:idx val="0"/>
            <c:bubble3D val="0"/>
            <c:spPr>
              <a:solidFill>
                <a:schemeClr val="accent5">
                  <a:lumMod val="60000"/>
                  <a:lumOff val="40000"/>
                </a:schemeClr>
              </a:solidFill>
              <a:ln w="19050">
                <a:solidFill>
                  <a:schemeClr val="lt1"/>
                </a:solidFill>
              </a:ln>
              <a:effectLst/>
            </c:spPr>
          </c:dPt>
          <c:dPt>
            <c:idx val="1"/>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Performance!$D$178:$D$179</c:f>
              <c:strCache>
                <c:ptCount val="2"/>
                <c:pt idx="0" c:formatCode="#,##0;[Red]\-#,##0">
                  <c:v>Profit Before Taxes</c:v>
                </c:pt>
                <c:pt idx="1" c:formatCode="#,##0;[Red]\-#,##0">
                  <c:v>Fixed Costs</c:v>
                </c:pt>
              </c:strCache>
            </c:strRef>
          </c:cat>
          <c:val>
            <c:numRef>
              <c:f>Performance!$G$178:$G$179</c:f>
              <c:numCache>
                <c:formatCode>_("$"* #,##0_);_("$"* \(#,##0\);_("$"* "-"??_);_(@_)</c:formatCode>
                <c:ptCount val="2"/>
                <c:pt idx="0">
                  <c:v>628202.463230518</c:v>
                </c:pt>
                <c:pt idx="1">
                  <c:v>263953.998179254</c:v>
                </c:pt>
              </c:numCache>
            </c:numRef>
          </c:val>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
          <c:y val="0.081825768285221"/>
          <c:w val="0.718195951857369"/>
          <c:h val="0.883933800766412"/>
        </c:manualLayout>
      </c:layout>
      <c:pieChart>
        <c:varyColors val="1"/>
        <c:ser>
          <c:idx val="0"/>
          <c:order val="0"/>
          <c:tx>
            <c:strRef>
              <c:f>Performance!$E$177</c:f>
              <c:strCache>
                <c:ptCount val="1"/>
                <c:pt idx="0">
                  <c:v>FY-1</c:v>
                </c:pt>
              </c:strCache>
            </c:strRef>
          </c:tx>
          <c:spPr/>
          <c:explosion val="2"/>
          <c:dPt>
            <c:idx val="0"/>
            <c:bubble3D val="0"/>
            <c:spPr>
              <a:solidFill>
                <a:schemeClr val="accent5">
                  <a:lumMod val="60000"/>
                  <a:lumOff val="40000"/>
                </a:schemeClr>
              </a:solidFill>
              <a:ln w="19050">
                <a:solidFill>
                  <a:schemeClr val="lt1"/>
                </a:solidFill>
              </a:ln>
              <a:effectLst/>
            </c:spPr>
          </c:dPt>
          <c:dPt>
            <c:idx val="1"/>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Performance!$D$178:$D$179</c:f>
              <c:strCache>
                <c:ptCount val="2"/>
                <c:pt idx="0" c:formatCode="#,##0;[Red]\-#,##0">
                  <c:v>Profit Before Taxes</c:v>
                </c:pt>
                <c:pt idx="1" c:formatCode="#,##0;[Red]\-#,##0">
                  <c:v>Fixed Costs</c:v>
                </c:pt>
              </c:strCache>
            </c:strRef>
          </c:cat>
          <c:val>
            <c:numRef>
              <c:f>Performance!$F$178:$F$179</c:f>
              <c:numCache>
                <c:formatCode>_("$"* #,##0_);_("$"* \(#,##0\);_("$"* "-"??_);_(@_)</c:formatCode>
                <c:ptCount val="2"/>
                <c:pt idx="0">
                  <c:v>535671.269387819</c:v>
                </c:pt>
                <c:pt idx="1">
                  <c:v>278721.248179254</c:v>
                </c:pt>
              </c:numCache>
            </c:numRef>
          </c:val>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2"/>
          <c:y val="0.0775757279596362"/>
          <c:w val="0.49072111032365"/>
          <c:h val="0.865453451509062"/>
        </c:manualLayout>
      </c:layout>
      <c:pieChart>
        <c:varyColors val="1"/>
        <c:ser>
          <c:idx val="0"/>
          <c:order val="0"/>
          <c:tx>
            <c:strRef>
              <c:f>Performance!$E$177</c:f>
              <c:strCache>
                <c:ptCount val="1"/>
                <c:pt idx="0">
                  <c:v>FY-1</c:v>
                </c:pt>
              </c:strCache>
            </c:strRef>
          </c:tx>
          <c:spPr/>
          <c:explosion val="3"/>
          <c:dPt>
            <c:idx val="0"/>
            <c:bubble3D val="0"/>
            <c:spPr>
              <a:solidFill>
                <a:schemeClr val="accent5">
                  <a:lumMod val="60000"/>
                  <a:lumOff val="40000"/>
                </a:schemeClr>
              </a:solidFill>
              <a:ln w="19050">
                <a:solidFill>
                  <a:schemeClr val="lt1"/>
                </a:solidFill>
              </a:ln>
              <a:effectLst/>
            </c:spPr>
          </c:dPt>
          <c:dPt>
            <c:idx val="1"/>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Performance!$D$178:$D$179</c:f>
              <c:strCache>
                <c:ptCount val="2"/>
                <c:pt idx="0" c:formatCode="#,##0;[Red]\-#,##0">
                  <c:v>Profit Before Taxes</c:v>
                </c:pt>
                <c:pt idx="1" c:formatCode="#,##0;[Red]\-#,##0">
                  <c:v>Fixed Costs</c:v>
                </c:pt>
              </c:strCache>
            </c:strRef>
          </c:cat>
          <c:val>
            <c:numRef>
              <c:f>Performance!$E$178:$E$179</c:f>
              <c:numCache>
                <c:formatCode>_("$"* #,##0_);_("$"* \(#,##0\);_("$"* "-"??_);_(@_)</c:formatCode>
                <c:ptCount val="2"/>
                <c:pt idx="0">
                  <c:v>490595.264699885</c:v>
                </c:pt>
                <c:pt idx="1">
                  <c:v>280556.248179254</c:v>
                </c:pt>
              </c:numCache>
            </c:numRef>
          </c:val>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0.0273967629046369"/>
          <c:y val="0.394096675415573"/>
          <c:w val="0.403738204599425"/>
          <c:h val="0.542273234687717"/>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82171461518095"/>
          <c:y val="0.0783684414891035"/>
          <c:w val="0.690175983472917"/>
          <c:h val="0.66412860586646"/>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cat>
            <c:strRef>
              <c:f>Performance!$G$220:$J$220</c:f>
              <c:strCache>
                <c:ptCount val="4"/>
                <c:pt idx="0">
                  <c:v>Q-1</c:v>
                </c:pt>
                <c:pt idx="1">
                  <c:v>Q-2</c:v>
                </c:pt>
                <c:pt idx="2">
                  <c:v>Q-3</c:v>
                </c:pt>
                <c:pt idx="3">
                  <c:v>Q-4</c:v>
                </c:pt>
              </c:strCache>
            </c:strRef>
          </c:cat>
          <c:val>
            <c:numRef>
              <c:f>Performance!$G$221:$J$221</c:f>
              <c:numCache>
                <c:formatCode>"$"#,##0_);[Red]\("$"#,##0\)</c:formatCode>
                <c:ptCount val="4"/>
                <c:pt idx="0">
                  <c:v>119036.891394165</c:v>
                </c:pt>
                <c:pt idx="1">
                  <c:v>325258.624160882</c:v>
                </c:pt>
                <c:pt idx="2">
                  <c:v>383730.227889126</c:v>
                </c:pt>
                <c:pt idx="3">
                  <c:v>205446.499062219</c:v>
                </c:pt>
              </c:numCache>
            </c:numRef>
          </c:val>
          <c:smooth val="0"/>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cat>
            <c:strRef>
              <c:f>Performance!$G$220:$J$220</c:f>
              <c:strCache>
                <c:ptCount val="4"/>
                <c:pt idx="0">
                  <c:v>Q-1</c:v>
                </c:pt>
                <c:pt idx="1">
                  <c:v>Q-2</c:v>
                </c:pt>
                <c:pt idx="2">
                  <c:v>Q-3</c:v>
                </c:pt>
                <c:pt idx="3">
                  <c:v>Q-4</c:v>
                </c:pt>
              </c:strCache>
            </c:strRef>
          </c:cat>
          <c:val>
            <c:numRef>
              <c:f>Performance!$G$222:$J$222</c:f>
              <c:numCache>
                <c:formatCode>"$"#,##0_);[Red]\("$"#,##0\)</c:formatCode>
                <c:ptCount val="4"/>
                <c:pt idx="0">
                  <c:v>21501.6</c:v>
                </c:pt>
                <c:pt idx="1">
                  <c:v>73851.4125367655</c:v>
                </c:pt>
                <c:pt idx="2">
                  <c:v>83203.5124025534</c:v>
                </c:pt>
                <c:pt idx="3">
                  <c:v>40523.2</c:v>
                </c:pt>
              </c:numCache>
            </c:numRef>
          </c:val>
          <c:smooth val="0"/>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cat>
            <c:strRef>
              <c:f>Performance!$G$220:$J$220</c:f>
              <c:strCache>
                <c:ptCount val="4"/>
                <c:pt idx="0">
                  <c:v>Q-1</c:v>
                </c:pt>
                <c:pt idx="1">
                  <c:v>Q-2</c:v>
                </c:pt>
                <c:pt idx="2">
                  <c:v>Q-3</c:v>
                </c:pt>
                <c:pt idx="3">
                  <c:v>Q-4</c:v>
                </c:pt>
              </c:strCache>
            </c:strRef>
          </c:cat>
          <c:val>
            <c:numRef>
              <c:f>Performance!$G$223:$J$223</c:f>
              <c:numCache>
                <c:formatCode>"$"#,##0_);[Red]\("$"#,##0\)</c:formatCode>
                <c:ptCount val="4"/>
                <c:pt idx="0">
                  <c:v>97535.2913941646</c:v>
                </c:pt>
                <c:pt idx="1">
                  <c:v>251407.211624116</c:v>
                </c:pt>
                <c:pt idx="2">
                  <c:v>300526.715486573</c:v>
                </c:pt>
                <c:pt idx="3">
                  <c:v>164923.299062219</c:v>
                </c:pt>
              </c:numCache>
            </c:numRef>
          </c:val>
          <c:smooth val="0"/>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cat>
            <c:strRef>
              <c:f>Performance!$G$220:$J$220</c:f>
              <c:strCache>
                <c:ptCount val="4"/>
                <c:pt idx="0">
                  <c:v>Q-1</c:v>
                </c:pt>
                <c:pt idx="1">
                  <c:v>Q-2</c:v>
                </c:pt>
                <c:pt idx="2">
                  <c:v>Q-3</c:v>
                </c:pt>
                <c:pt idx="3">
                  <c:v>Q-4</c:v>
                </c:pt>
              </c:strCache>
            </c:strRef>
          </c:cat>
          <c:val>
            <c:numRef>
              <c:f>Performance!$G$224:$J$224</c:f>
              <c:numCache>
                <c:formatCode>"$"#,##0_);[Red]\("$"#,##0\)</c:formatCode>
                <c:ptCount val="4"/>
                <c:pt idx="0">
                  <c:v>69680.3120448136</c:v>
                </c:pt>
                <c:pt idx="1">
                  <c:v>69680.3120448136</c:v>
                </c:pt>
                <c:pt idx="2">
                  <c:v>69680.3120448136</c:v>
                </c:pt>
                <c:pt idx="3">
                  <c:v>69680.3120448136</c:v>
                </c:pt>
              </c:numCache>
            </c:numRef>
          </c:val>
          <c:smooth val="0"/>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cat>
            <c:strRef>
              <c:f>Performance!$G$220:$J$220</c:f>
              <c:strCache>
                <c:ptCount val="4"/>
                <c:pt idx="0">
                  <c:v>Q-1</c:v>
                </c:pt>
                <c:pt idx="1">
                  <c:v>Q-2</c:v>
                </c:pt>
                <c:pt idx="2">
                  <c:v>Q-3</c:v>
                </c:pt>
                <c:pt idx="3">
                  <c:v>Q-4</c:v>
                </c:pt>
              </c:strCache>
            </c:strRef>
          </c:cat>
          <c:val>
            <c:numRef>
              <c:f>Performance!$G$225:$J$225</c:f>
              <c:numCache>
                <c:formatCode>"$"#,##0_);[Red]\("$"#,##0\)</c:formatCode>
                <c:ptCount val="4"/>
                <c:pt idx="0">
                  <c:v>27854.979349351</c:v>
                </c:pt>
                <c:pt idx="1">
                  <c:v>181726.899579303</c:v>
                </c:pt>
                <c:pt idx="2">
                  <c:v>230846.403441759</c:v>
                </c:pt>
                <c:pt idx="3">
                  <c:v>95242.9870174057</c:v>
                </c:pt>
              </c:numCache>
            </c:numRef>
          </c:val>
          <c:smooth val="0"/>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Performance!$K$221:$N$221</c:f>
              <c:numCache>
                <c:formatCode>"$"#,##0_);[Red]\("$"#,##0\)</c:formatCode>
                <c:ptCount val="4"/>
                <c:pt idx="0">
                  <c:v>143014.05400288</c:v>
                </c:pt>
                <c:pt idx="1">
                  <c:v>339983.516860978</c:v>
                </c:pt>
                <c:pt idx="2">
                  <c:v>419552.387263038</c:v>
                </c:pt>
                <c:pt idx="3">
                  <c:v>236597.341041307</c:v>
                </c:pt>
              </c:numCache>
            </c:numRef>
          </c:val>
          <c:smooth val="0"/>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Performance!$K$222:$N$222</c:f>
              <c:numCache>
                <c:formatCode>"$"#,##0_);[Red]\("$"#,##0\)</c:formatCode>
                <c:ptCount val="4"/>
                <c:pt idx="0">
                  <c:v>27653.0761326561</c:v>
                </c:pt>
                <c:pt idx="1">
                  <c:v>79034.9166534758</c:v>
                </c:pt>
                <c:pt idx="2">
                  <c:v>92513.7166534758</c:v>
                </c:pt>
                <c:pt idx="3">
                  <c:v>47789.1283188234</c:v>
                </c:pt>
              </c:numCache>
            </c:numRef>
          </c:val>
          <c:smooth val="0"/>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Performance!$K$223:$N$223</c:f>
              <c:numCache>
                <c:formatCode>"$"#,##0_);[Red]\("$"#,##0\)</c:formatCode>
                <c:ptCount val="4"/>
                <c:pt idx="0">
                  <c:v>115360.977870224</c:v>
                </c:pt>
                <c:pt idx="1">
                  <c:v>260948.600207502</c:v>
                </c:pt>
                <c:pt idx="2">
                  <c:v>327038.670609563</c:v>
                </c:pt>
                <c:pt idx="3">
                  <c:v>188808.212722483</c:v>
                </c:pt>
              </c:numCache>
            </c:numRef>
          </c:val>
          <c:smooth val="0"/>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Performance!$K$224:$N$224</c:f>
              <c:numCache>
                <c:formatCode>"$"#,##0_);[Red]\("$"#,##0\)</c:formatCode>
                <c:ptCount val="4"/>
                <c:pt idx="0">
                  <c:v>65988.4995448136</c:v>
                </c:pt>
                <c:pt idx="1">
                  <c:v>65988.4995448136</c:v>
                </c:pt>
                <c:pt idx="2">
                  <c:v>65988.4995448136</c:v>
                </c:pt>
                <c:pt idx="3">
                  <c:v>65988.4995448136</c:v>
                </c:pt>
              </c:numCache>
            </c:numRef>
          </c:val>
          <c:smooth val="0"/>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Performance!$K$225:$N$225</c:f>
              <c:numCache>
                <c:formatCode>"$"#,##0_);[Red]\("$"#,##0\)</c:formatCode>
                <c:ptCount val="4"/>
                <c:pt idx="0">
                  <c:v>49372.4783254106</c:v>
                </c:pt>
                <c:pt idx="1">
                  <c:v>194960.100662688</c:v>
                </c:pt>
                <c:pt idx="2">
                  <c:v>261050.171064749</c:v>
                </c:pt>
                <c:pt idx="3">
                  <c:v>122819.71317767</c:v>
                </c:pt>
              </c:numCache>
            </c:numRef>
          </c:val>
          <c:smooth val="0"/>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cat>
            <c:strRef>
              <c:f>Performance!$C$220:$F$220</c:f>
              <c:strCache>
                <c:ptCount val="4"/>
                <c:pt idx="0">
                  <c:v>Q-1</c:v>
                </c:pt>
                <c:pt idx="1">
                  <c:v>Q-2</c:v>
                </c:pt>
                <c:pt idx="2">
                  <c:v>Q-3</c:v>
                </c:pt>
                <c:pt idx="3">
                  <c:v>Q-4</c:v>
                </c:pt>
              </c:strCache>
            </c:strRef>
          </c:cat>
          <c:val>
            <c:numRef>
              <c:f>Performance!$C$221:$F$221</c:f>
              <c:numCache>
                <c:formatCode>"$"#,##0_);[Red]\("$"#,##0\)</c:formatCode>
                <c:ptCount val="4"/>
                <c:pt idx="0">
                  <c:v>117781.462092511</c:v>
                </c:pt>
                <c:pt idx="1">
                  <c:v>295857.925595032</c:v>
                </c:pt>
                <c:pt idx="2">
                  <c:v>362898.673438509</c:v>
                </c:pt>
                <c:pt idx="3">
                  <c:v>201688.652284509</c:v>
                </c:pt>
              </c:numCache>
            </c:numRef>
          </c:val>
          <c:smooth val="0"/>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cat>
            <c:strRef>
              <c:f>Performance!$C$220:$F$220</c:f>
              <c:strCache>
                <c:ptCount val="4"/>
                <c:pt idx="0">
                  <c:v>Q-1</c:v>
                </c:pt>
                <c:pt idx="1">
                  <c:v>Q-2</c:v>
                </c:pt>
                <c:pt idx="2">
                  <c:v>Q-3</c:v>
                </c:pt>
                <c:pt idx="3">
                  <c:v>Q-4</c:v>
                </c:pt>
              </c:strCache>
            </c:strRef>
          </c:cat>
          <c:val>
            <c:numRef>
              <c:f>Performance!$C$224:$F$224</c:f>
              <c:numCache>
                <c:formatCode>"$"#,##0_);[Red]\("$"#,##0\)</c:formatCode>
                <c:ptCount val="4"/>
                <c:pt idx="0">
                  <c:v>70139.0620448136</c:v>
                </c:pt>
                <c:pt idx="1">
                  <c:v>70139.0620448136</c:v>
                </c:pt>
                <c:pt idx="2">
                  <c:v>70139.0620448136</c:v>
                </c:pt>
                <c:pt idx="3">
                  <c:v>70139.0620448136</c:v>
                </c:pt>
              </c:numCache>
            </c:numRef>
          </c:val>
          <c:smooth val="0"/>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cat>
            <c:strRef>
              <c:f>Performance!$C$220:$F$220</c:f>
              <c:strCache>
                <c:ptCount val="4"/>
                <c:pt idx="0">
                  <c:v>Q-1</c:v>
                </c:pt>
                <c:pt idx="1">
                  <c:v>Q-2</c:v>
                </c:pt>
                <c:pt idx="2">
                  <c:v>Q-3</c:v>
                </c:pt>
                <c:pt idx="3">
                  <c:v>Q-4</c:v>
                </c:pt>
              </c:strCache>
            </c:strRef>
          </c:cat>
          <c:val>
            <c:numRef>
              <c:f>Performance!$C$225:$F$225</c:f>
              <c:numCache>
                <c:formatCode>"$"#,##0_);[Red]\("$"#,##0\)</c:formatCode>
                <c:ptCount val="4"/>
                <c:pt idx="0">
                  <c:v>25807.3201765399</c:v>
                </c:pt>
                <c:pt idx="1">
                  <c:v>158016.003978831</c:v>
                </c:pt>
                <c:pt idx="2">
                  <c:v>214728.093005992</c:v>
                </c:pt>
                <c:pt idx="3">
                  <c:v>92043.8475385217</c:v>
                </c:pt>
              </c:numCache>
            </c:numRef>
          </c:val>
          <c:smooth val="0"/>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cat>
            <c:strRef>
              <c:f>Performance!$C$220:$F$220</c:f>
              <c:strCache>
                <c:ptCount val="4"/>
                <c:pt idx="0">
                  <c:v>Q-1</c:v>
                </c:pt>
                <c:pt idx="1">
                  <c:v>Q-2</c:v>
                </c:pt>
                <c:pt idx="2">
                  <c:v>Q-3</c:v>
                </c:pt>
                <c:pt idx="3">
                  <c:v>Q-4</c:v>
                </c:pt>
              </c:strCache>
            </c:strRef>
          </c:cat>
          <c:val>
            <c:numRef>
              <c:f>Performance!$C$222:$F$222</c:f>
              <c:numCache>
                <c:formatCode>"$"#,##0_);[Red]\("$"#,##0\)</c:formatCode>
                <c:ptCount val="4"/>
                <c:pt idx="0">
                  <c:v>21835.0798711575</c:v>
                </c:pt>
                <c:pt idx="1">
                  <c:v>67702.8595713871</c:v>
                </c:pt>
                <c:pt idx="2">
                  <c:v>78031.5183877035</c:v>
                </c:pt>
                <c:pt idx="3">
                  <c:v>39505.7427011734</c:v>
                </c:pt>
              </c:numCache>
            </c:numRef>
          </c:val>
          <c:smooth val="0"/>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cat>
            <c:strRef>
              <c:f>Performance!$C$220:$F$220</c:f>
              <c:strCache>
                <c:ptCount val="4"/>
                <c:pt idx="0">
                  <c:v>Q-1</c:v>
                </c:pt>
                <c:pt idx="1">
                  <c:v>Q-2</c:v>
                </c:pt>
                <c:pt idx="2">
                  <c:v>Q-3</c:v>
                </c:pt>
                <c:pt idx="3">
                  <c:v>Q-4</c:v>
                </c:pt>
              </c:strCache>
            </c:strRef>
          </c:cat>
          <c:val>
            <c:numRef>
              <c:f>Performance!$C$223:$F$223</c:f>
              <c:numCache>
                <c:formatCode>"$"#,##0_);[Red]\("$"#,##0\)</c:formatCode>
                <c:ptCount val="4"/>
                <c:pt idx="0">
                  <c:v>95946.3822213534</c:v>
                </c:pt>
                <c:pt idx="1">
                  <c:v>228155.066023645</c:v>
                </c:pt>
                <c:pt idx="2">
                  <c:v>284867.155050806</c:v>
                </c:pt>
                <c:pt idx="3">
                  <c:v>162182.909583335</c:v>
                </c:pt>
              </c:numCache>
            </c:numRef>
          </c:val>
          <c:smooth val="0"/>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en-US" sz="1200"/>
              <a:t>1. Total Sales/Type of Product [%]</a:t>
            </a:r>
            <a:endParaRPr lang="en-US" sz="1200"/>
          </a:p>
        </c:rich>
      </c:tx>
      <c:layout>
        <c:manualLayout>
          <c:xMode val="edge"/>
          <c:yMode val="edge"/>
          <c:x val="0.177593016626368"/>
          <c:y val="0.0538116591928251"/>
        </c:manualLayout>
      </c:layout>
      <c:overlay val="0"/>
      <c:spPr>
        <a:noFill/>
        <a:ln>
          <a:noFill/>
        </a:ln>
        <a:effectLst/>
      </c:spPr>
    </c:title>
    <c:autoTitleDeleted val="0"/>
    <c:plotArea>
      <c:layout/>
      <c:pieChart>
        <c:varyColors val="1"/>
        <c:ser>
          <c:idx val="0"/>
          <c:order val="0"/>
          <c:explosion val="0"/>
          <c:dPt>
            <c:idx val="0"/>
            <c:bubble3D val="0"/>
            <c:explosion val="3"/>
            <c:spPr>
              <a:solidFill>
                <a:schemeClr val="accent1"/>
              </a:solidFill>
              <a:ln w="19050">
                <a:solidFill>
                  <a:schemeClr val="lt1"/>
                </a:solidFill>
              </a:ln>
              <a:effectLst/>
            </c:spPr>
          </c:dPt>
          <c:dPt>
            <c:idx val="1"/>
            <c:bubble3D val="0"/>
            <c:explosion val="5"/>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explosion val="6"/>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prstDash val="solid"/>
                      <a:round/>
                    </a:ln>
                    <a:effectLst/>
                  </c:spPr>
                </c15:leaderLines>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0.0528520567110558</c:v>
                </c:pt>
                <c:pt idx="1">
                  <c:v>0.0837606947906563</c:v>
                </c:pt>
                <c:pt idx="2">
                  <c:v>0.03975908825079</c:v>
                </c:pt>
                <c:pt idx="3">
                  <c:v>0.138775474309757</c:v>
                </c:pt>
                <c:pt idx="4">
                  <c:v>0.118922044508647</c:v>
                </c:pt>
                <c:pt idx="5">
                  <c:v>0.118922044508647</c:v>
                </c:pt>
                <c:pt idx="6">
                  <c:v>0.18950678727888</c:v>
                </c:pt>
                <c:pt idx="7">
                  <c:v>0.250842545749899</c:v>
                </c:pt>
                <c:pt idx="8">
                  <c:v>0.00665926389166715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8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endParaRPr lang="en-US" sz="1100"/>
          </a:p>
        </c:rich>
      </c:tx>
      <c:layout>
        <c:manualLayout>
          <c:xMode val="edge"/>
          <c:yMode val="edge"/>
          <c:x val="0.141129815785334"/>
          <c:y val="0.0597907324364723"/>
        </c:manualLayout>
      </c:layout>
      <c:overlay val="0"/>
      <c:spPr>
        <a:noFill/>
        <a:ln>
          <a:noFill/>
        </a:ln>
        <a:effectLst/>
      </c:spPr>
    </c:title>
    <c:autoTitleDeleted val="0"/>
    <c:plotArea>
      <c:layout/>
      <c:pieChart>
        <c:varyColors val="1"/>
        <c:ser>
          <c:idx val="1"/>
          <c:order val="0"/>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prstDash val="solid"/>
                      <a:round/>
                    </a:ln>
                    <a:effectLst/>
                  </c:spPr>
                </c15:leaderLines>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0.0451801324109838</c:v>
                </c:pt>
                <c:pt idx="1">
                  <c:v>0.0480168565482282</c:v>
                </c:pt>
                <c:pt idx="2">
                  <c:v>0.0281358642725984</c:v>
                </c:pt>
                <c:pt idx="3">
                  <c:v>0.0778532691376971</c:v>
                </c:pt>
                <c:pt idx="4">
                  <c:v>0.0770277330621798</c:v>
                </c:pt>
                <c:pt idx="5">
                  <c:v>0.0770277330621798</c:v>
                </c:pt>
                <c:pt idx="6">
                  <c:v>0.29688662504392</c:v>
                </c:pt>
                <c:pt idx="7">
                  <c:v>0.33690054796061</c:v>
                </c:pt>
                <c:pt idx="8">
                  <c:v>0.0129712385016034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9"/>
          <c:y val="0.172035427842436"/>
          <c:w val="0.250231860930419"/>
          <c:h val="0.756114649015487"/>
        </c:manualLayout>
      </c:layout>
      <c:overlay val="0"/>
      <c:spPr>
        <a:noFill/>
        <a:ln>
          <a:noFill/>
        </a:ln>
        <a:effectLst/>
      </c:spPr>
      <c:txPr>
        <a:bodyPr rot="0" spcFirstLastPara="1" vertOverflow="ellipsis" vert="horz" wrap="square" anchor="ctr" anchorCtr="1"/>
        <a:lstStyle/>
        <a:p>
          <a:pPr>
            <a:defRPr lang="zh-CN" sz="8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endParaRPr lang="en-US" sz="1100"/>
          </a:p>
        </c:rich>
      </c:tx>
      <c:layout/>
      <c:overlay val="0"/>
      <c:spPr>
        <a:noFill/>
        <a:ln>
          <a:noFill/>
        </a:ln>
        <a:effectLst/>
      </c:spPr>
    </c:title>
    <c:autoTitleDeleted val="0"/>
    <c:plotArea>
      <c:layout/>
      <c:pieChart>
        <c:varyColors val="1"/>
        <c:ser>
          <c:idx val="1"/>
          <c:order val="0"/>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prstDash val="solid"/>
                      <a:round/>
                    </a:ln>
                    <a:effectLst/>
                  </c:spPr>
                </c15:leaderLines>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0.0549363777802823</c:v>
                </c:pt>
                <c:pt idx="1">
                  <c:v>0.093471639819535</c:v>
                </c:pt>
                <c:pt idx="2">
                  <c:v>0.0429169049448176</c:v>
                </c:pt>
                <c:pt idx="3">
                  <c:v>0.155326919665217</c:v>
                </c:pt>
                <c:pt idx="4">
                  <c:v>0.130303960259275</c:v>
                </c:pt>
                <c:pt idx="5">
                  <c:v>0.130303960259275</c:v>
                </c:pt>
                <c:pt idx="6">
                  <c:v>0.16033365554429</c:v>
                </c:pt>
                <c:pt idx="7">
                  <c:v>0.227462165526173</c:v>
                </c:pt>
                <c:pt idx="8">
                  <c:v>0.00494441620113535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8"/>
          <c:y val="0.193283767815876"/>
          <c:w val="0.257206967619402"/>
          <c:h val="0.734866309042047"/>
        </c:manualLayout>
      </c:layout>
      <c:overlay val="0"/>
      <c:spPr>
        <a:noFill/>
        <a:ln>
          <a:noFill/>
        </a:ln>
        <a:effectLst/>
      </c:spPr>
      <c:txPr>
        <a:bodyPr rot="0" spcFirstLastPara="1" vertOverflow="ellipsis" vert="horz" wrap="square" anchor="ctr" anchorCtr="1"/>
        <a:lstStyle/>
        <a:p>
          <a:pPr>
            <a:defRPr lang="zh-CN" sz="8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explosion val="0"/>
          <c:dPt>
            <c:idx val="0"/>
            <c:bubble3D val="0"/>
            <c:spPr>
              <a:solidFill>
                <a:schemeClr val="accent5"/>
              </a:solidFill>
              <a:ln w="19050">
                <a:solidFill>
                  <a:schemeClr val="lt1"/>
                </a:solidFill>
              </a:ln>
              <a:effectLst/>
            </c:spPr>
          </c:dPt>
          <c:dPt>
            <c:idx val="1"/>
            <c:bubble3D val="0"/>
            <c:explosion val="8"/>
            <c:spPr>
              <a:solidFill>
                <a:schemeClr val="accent5">
                  <a:lumMod val="50000"/>
                </a:schemeClr>
              </a:solidFill>
              <a:ln w="19050">
                <a:solidFill>
                  <a:schemeClr val="lt1"/>
                </a:solidFill>
              </a:ln>
              <a:effectLst/>
            </c:spPr>
          </c:dPt>
          <c:dLbls>
            <c:dLbl>
              <c:idx val="1"/>
              <c:layout/>
              <c:tx>
                <c:rich>
                  <a:bodyPr rot="0" spcFirstLastPara="1" vertOverflow="ellipsis" vert="horz" wrap="square" lIns="38100" tIns="19050" rIns="38100" bIns="19050" anchor="ctr" anchorCtr="1"/>
                  <a:lstStyle/>
                  <a:p>
                    <a:fld id="{85eb8dd6-a40f-4139-ad39-be48cacbf099}" type="CATEGORYNAME">
                      <a:t>[CATEGORY NAME]</a:t>
                    </a:fld>
                    <a:endParaRPr lang="en-US" b="0" i="0" u="none" strike="noStrike" baseline="0">
                      <a:solidFill>
                        <a:schemeClr val="bg1"/>
                      </a:solidFill>
                      <a:latin typeface="Arial" panose="020B0604020202020204" pitchFamily="7" charset="0"/>
                      <a:ea typeface="Arial" panose="020B0604020202020204" pitchFamily="7" charset="0"/>
                      <a:cs typeface="+mn-ea"/>
                    </a:endParaRPr>
                  </a:p>
                </c:rich>
              </c:tx>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8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(Performance!$H$47,Performance!$H$50)</c:f>
              <c:numCache>
                <c:formatCode>0.0%</c:formatCode>
                <c:ptCount val="2"/>
                <c:pt idx="0">
                  <c:v>0.38</c:v>
                </c:pt>
                <c:pt idx="1" c:formatCode="0%">
                  <c:v>0.62</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c:explosion val="0"/>
          <c:dPt>
            <c:idx val="0"/>
            <c:bubble3D val="0"/>
            <c:explosion val="9"/>
            <c:spPr>
              <a:solidFill>
                <a:schemeClr val="accent6"/>
              </a:solidFill>
              <a:ln w="19050">
                <a:solidFill>
                  <a:schemeClr val="lt1"/>
                </a:solidFill>
              </a:ln>
              <a:effectLst/>
            </c:spPr>
          </c:dPt>
          <c:dPt>
            <c:idx val="1"/>
            <c:bubble3D val="0"/>
            <c:spPr>
              <a:solidFill>
                <a:schemeClr val="accent6">
                  <a:lumMod val="75000"/>
                </a:schemeClr>
              </a:solidFill>
              <a:ln w="19050">
                <a:solidFill>
                  <a:schemeClr val="lt1"/>
                </a:solidFill>
              </a:ln>
              <a:effectLst/>
            </c:spPr>
          </c:dPt>
          <c:dLbls>
            <c:dLbl>
              <c:idx val="1"/>
              <c:layout/>
              <c:numFmt formatCode="General" sourceLinked="1"/>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bg1"/>
                      </a:solidFill>
                      <a:latin typeface="+mn-lt"/>
                      <a:ea typeface="+mn-ea"/>
                      <a:cs typeface="+mn-cs"/>
                    </a:defRPr>
                  </a:pPr>
                </a:p>
              </c:txPr>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(Performance!$H$63,Performance!$H$66)</c:f>
              <c:numCache>
                <c:formatCode>0%</c:formatCode>
                <c:ptCount val="2"/>
                <c:pt idx="0">
                  <c:v>0.375669532705572</c:v>
                </c:pt>
                <c:pt idx="1">
                  <c:v>0.624330467294428</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explosion val="0"/>
          <c:dPt>
            <c:idx val="0"/>
            <c:bubble3D val="0"/>
            <c:spPr>
              <a:solidFill>
                <a:schemeClr val="accent5"/>
              </a:solidFill>
              <a:ln w="19050">
                <a:solidFill>
                  <a:schemeClr val="lt1"/>
                </a:solidFill>
              </a:ln>
              <a:effectLst/>
            </c:spPr>
          </c:dPt>
          <c:dPt>
            <c:idx val="1"/>
            <c:bubble3D val="0"/>
            <c:explosion val="8"/>
            <c:spPr>
              <a:solidFill>
                <a:schemeClr val="accent5">
                  <a:lumMod val="50000"/>
                </a:schemeClr>
              </a:solidFill>
              <a:ln w="19050">
                <a:solidFill>
                  <a:schemeClr val="lt1"/>
                </a:solidFill>
              </a:ln>
              <a:effectLst/>
            </c:spPr>
          </c:dPt>
          <c:dLbls>
            <c:dLbl>
              <c:idx val="1"/>
              <c:layout/>
              <c:tx>
                <c:rich>
                  <a:bodyPr rot="0" spcFirstLastPara="1" vertOverflow="ellipsis" vert="horz" wrap="square" lIns="38100" tIns="19050" rIns="38100" bIns="19050" anchor="ctr" anchorCtr="1"/>
                  <a:lstStyle/>
                  <a:p>
                    <a:fld id="{48e58724-d3e5-48d5-a561-3faa471d86f1}" type="CATEGORYNAME">
                      <a:t>[CATEGORY NAME]</a:t>
                    </a:fld>
                    <a:endParaRPr lang="en-US" b="0" i="0" u="none" strike="noStrike" baseline="0">
                      <a:solidFill>
                        <a:schemeClr val="bg1"/>
                      </a:solidFill>
                      <a:latin typeface="Arial" panose="020B0604020202020204" pitchFamily="7" charset="0"/>
                      <a:ea typeface="Arial" panose="020B0604020202020204" pitchFamily="7" charset="0"/>
                      <a:cs typeface="+mn-ea"/>
                    </a:endParaRPr>
                  </a:p>
                </c:rich>
              </c:tx>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8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(Performance!$I$47,Performance!$I$50)</c:f>
              <c:numCache>
                <c:formatCode>0.0%</c:formatCode>
                <c:ptCount val="2"/>
                <c:pt idx="0">
                  <c:v>0.38</c:v>
                </c:pt>
                <c:pt idx="1" c:formatCode="0%">
                  <c:v>0.62</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c:explosion val="0"/>
          <c:dPt>
            <c:idx val="0"/>
            <c:bubble3D val="0"/>
            <c:explosion val="9"/>
            <c:spPr>
              <a:solidFill>
                <a:schemeClr val="accent6"/>
              </a:solidFill>
              <a:ln w="19050">
                <a:solidFill>
                  <a:schemeClr val="lt1"/>
                </a:solidFill>
              </a:ln>
              <a:effectLst/>
            </c:spPr>
          </c:dPt>
          <c:dPt>
            <c:idx val="1"/>
            <c:bubble3D val="0"/>
            <c:spPr>
              <a:solidFill>
                <a:schemeClr val="accent6">
                  <a:lumMod val="75000"/>
                </a:schemeClr>
              </a:solidFill>
              <a:ln w="19050">
                <a:solidFill>
                  <a:schemeClr val="lt1"/>
                </a:solidFill>
              </a:ln>
              <a:effectLst/>
            </c:spPr>
          </c:dPt>
          <c:dLbls>
            <c:dLbl>
              <c:idx val="1"/>
              <c:layout/>
              <c:numFmt formatCode="General" sourceLinked="1"/>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bg1"/>
                      </a:solidFill>
                      <a:latin typeface="+mn-lt"/>
                      <a:ea typeface="+mn-ea"/>
                      <a:cs typeface="+mn-cs"/>
                    </a:defRPr>
                  </a:pPr>
                </a:p>
              </c:txPr>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(Performance!$I$63,Performance!$I$66)</c:f>
              <c:numCache>
                <c:formatCode>0%</c:formatCode>
                <c:ptCount val="2"/>
                <c:pt idx="0">
                  <c:v>0.373643818836622</c:v>
                </c:pt>
                <c:pt idx="1">
                  <c:v>0.626356181163378</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explosion val="0"/>
          <c:dPt>
            <c:idx val="0"/>
            <c:bubble3D val="0"/>
            <c:spPr>
              <a:solidFill>
                <a:schemeClr val="accent5"/>
              </a:solidFill>
              <a:ln w="19050">
                <a:solidFill>
                  <a:schemeClr val="lt1"/>
                </a:solidFill>
              </a:ln>
              <a:effectLst/>
            </c:spPr>
          </c:dPt>
          <c:dPt>
            <c:idx val="1"/>
            <c:bubble3D val="0"/>
            <c:explosion val="8"/>
            <c:spPr>
              <a:solidFill>
                <a:schemeClr val="accent5">
                  <a:lumMod val="50000"/>
                </a:schemeClr>
              </a:solidFill>
              <a:ln w="19050">
                <a:solidFill>
                  <a:schemeClr val="lt1"/>
                </a:solidFill>
              </a:ln>
              <a:effectLst/>
            </c:spPr>
          </c:dPt>
          <c:dLbls>
            <c:dLbl>
              <c:idx val="1"/>
              <c:layout/>
              <c:tx>
                <c:rich>
                  <a:bodyPr rot="0" spcFirstLastPara="1" vertOverflow="ellipsis" vert="horz" wrap="square" lIns="38100" tIns="19050" rIns="38100" bIns="19050" anchor="ctr" anchorCtr="1"/>
                  <a:lstStyle/>
                  <a:p>
                    <a:fld id="{aeaa1a83-2ab1-4da3-a5fb-eeb2c385d61b}" type="CATEGORYNAME">
                      <a:t>[CATEGORY NAME]</a:t>
                    </a:fld>
                    <a:endParaRPr lang="en-US" b="0" i="0" u="none" strike="noStrike" baseline="0">
                      <a:solidFill>
                        <a:schemeClr val="bg1"/>
                      </a:solidFill>
                      <a:latin typeface="Arial" panose="020B0604020202020204" pitchFamily="7" charset="0"/>
                      <a:ea typeface="Arial" panose="020B0604020202020204" pitchFamily="7" charset="0"/>
                      <a:cs typeface="+mn-ea"/>
                    </a:endParaRPr>
                  </a:p>
                </c:rich>
              </c:tx>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8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(Performance!$J$47,Performance!$J$50)</c:f>
              <c:numCache>
                <c:formatCode>0.0%</c:formatCode>
                <c:ptCount val="2"/>
                <c:pt idx="0">
                  <c:v>0.36</c:v>
                </c:pt>
                <c:pt idx="1" c:formatCode="0%">
                  <c:v>0.64</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c:explosion val="0"/>
          <c:dPt>
            <c:idx val="0"/>
            <c:bubble3D val="0"/>
            <c:explosion val="9"/>
            <c:spPr>
              <a:solidFill>
                <a:schemeClr val="accent6"/>
              </a:solidFill>
              <a:ln w="19050">
                <a:solidFill>
                  <a:schemeClr val="lt1"/>
                </a:solidFill>
              </a:ln>
              <a:effectLst/>
            </c:spPr>
          </c:dPt>
          <c:dPt>
            <c:idx val="1"/>
            <c:bubble3D val="0"/>
            <c:spPr>
              <a:solidFill>
                <a:schemeClr val="accent6">
                  <a:lumMod val="75000"/>
                </a:schemeClr>
              </a:solidFill>
              <a:ln w="19050">
                <a:solidFill>
                  <a:schemeClr val="lt1"/>
                </a:solidFill>
              </a:ln>
              <a:effectLst/>
            </c:spPr>
          </c:dPt>
          <c:dLbls>
            <c:dLbl>
              <c:idx val="1"/>
              <c:layout/>
              <c:numFmt formatCode="General" sourceLinked="1"/>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bg1"/>
                      </a:solidFill>
                      <a:latin typeface="+mn-lt"/>
                      <a:ea typeface="+mn-ea"/>
                      <a:cs typeface="+mn-cs"/>
                    </a:defRPr>
                  </a:pPr>
                </a:p>
              </c:txPr>
              <c:dLblPos val="bestFit"/>
              <c:showLegendKey val="0"/>
              <c:showVal val="0"/>
              <c:showCatName val="1"/>
              <c:showSerName val="0"/>
              <c:showPercent val="1"/>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1"/>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{"R","W"}</c:f>
              <c:strCache>
                <c:ptCount val="2"/>
                <c:pt idx="0">
                  <c:v>R</c:v>
                </c:pt>
                <c:pt idx="1">
                  <c:v>W</c:v>
                </c:pt>
              </c:strCache>
            </c:strRef>
          </c:cat>
          <c:val>
            <c:numRef>
              <c:f>(Performance!$J$63,Performance!$J$66)</c:f>
              <c:numCache>
                <c:formatCode>0%</c:formatCode>
                <c:ptCount val="2"/>
                <c:pt idx="0">
                  <c:v>0.356668225649954</c:v>
                </c:pt>
                <c:pt idx="1">
                  <c:v>0.643331774350046</c:v>
                </c:pt>
              </c:numCache>
            </c:numRef>
          </c:val>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"Project-Start"</c:f>
              <c:strCache>
                <c:ptCount val="1"/>
                <c:pt idx="0">
                  <c:v>Project-Start</c:v>
                </c:pt>
              </c:strCache>
            </c:strRef>
          </c:tx>
          <c:spPr>
            <a:solidFill>
              <a:schemeClr val="accent5"/>
            </a:solidFill>
            <a:ln>
              <a:noFill/>
            </a:ln>
            <a:effectLst/>
          </c:spPr>
          <c:invertIfNegative val="0"/>
          <c:dLbls>
            <c:delete val="1"/>
          </c:dLbls>
          <c:val>
            <c:numRef>
              <c:f>Performance!$C$72:$E$72</c:f>
              <c:numCache>
                <c:formatCode>_(* #,##0_);_(* \(#,##0\);_(* "-"??_);_(@_)</c:formatCode>
                <c:ptCount val="3"/>
                <c:pt idx="0">
                  <c:v>100514.7291456</c:v>
                </c:pt>
                <c:pt idx="1">
                  <c:v>106999.5503808</c:v>
                </c:pt>
                <c:pt idx="2">
                  <c:v>110583.2673792</c:v>
                </c:pt>
              </c:numCache>
            </c:numRef>
          </c:val>
        </c:ser>
        <c:ser>
          <c:idx val="0"/>
          <c:order val="1"/>
          <c:tx>
            <c:strRef>
              <c:f>"Current Cycle"</c:f>
              <c:strCache>
                <c:ptCount val="1"/>
                <c:pt idx="0">
                  <c:v>Current Cycle</c:v>
                </c:pt>
              </c:strCache>
            </c:strRef>
          </c:tx>
          <c:spPr>
            <a:solidFill>
              <a:schemeClr val="accent6"/>
            </a:solidFill>
            <a:ln>
              <a:noFill/>
            </a:ln>
            <a:effectLst/>
          </c:spPr>
          <c:invertIfNegative val="0"/>
          <c:dLbls>
            <c:delete val="1"/>
          </c:dLbls>
          <c:cat>
            <c:strRef>
              <c:f>{"FY-1","FY-2","FY-3"}</c:f>
              <c:strCache>
                <c:ptCount val="3"/>
                <c:pt idx="0">
                  <c:v>FY-1</c:v>
                </c:pt>
                <c:pt idx="1">
                  <c:v>FY-2</c:v>
                </c:pt>
                <c:pt idx="2">
                  <c:v>FY-3</c:v>
                </c:pt>
              </c:strCache>
            </c:strRef>
          </c:cat>
          <c:val>
            <c:numRef>
              <c:f>Performance!$C$73:$E$73</c:f>
              <c:numCache>
                <c:formatCode>_(* #,##0_);_(* \(#,##0\);_(* "-"??_);_(@_)</c:formatCode>
                <c:ptCount val="3"/>
                <c:pt idx="0">
                  <c:v>92852.9922164812</c:v>
                </c:pt>
                <c:pt idx="1">
                  <c:v>97760.1687604137</c:v>
                </c:pt>
                <c:pt idx="2">
                  <c:v>105259.926753815</c:v>
                </c:pt>
              </c:numCache>
            </c:numRef>
          </c:val>
        </c:ser>
        <c:dLbls>
          <c:showLegendKey val="0"/>
          <c:showVal val="1"/>
          <c:showCatName val="0"/>
          <c:showSerName val="0"/>
          <c:showPercent val="0"/>
          <c:showBubbleSize val="0"/>
        </c:dLbls>
        <c:gapWidth val="75"/>
        <c:axId val="370048256"/>
        <c:axId val="370047696"/>
      </c:barChart>
      <c:scatterChart>
        <c:scatterStyle val="marker"/>
        <c:varyColors val="0"/>
        <c:ser>
          <c:idx val="2"/>
          <c:order val="2"/>
          <c:tx>
            <c:strRef>
              <c:f>"Percentage"</c:f>
              <c:strCache>
                <c:ptCount val="1"/>
                <c:pt idx="0">
                  <c:v>Percentage</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0.0216429375430836"/>
                  <c:y val="-0.0801827155739141"/>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c:v>
                </c:pt>
                <c:pt idx="1">
                  <c:v>0.913650276216074</c:v>
                </c:pt>
                <c:pt idx="2">
                  <c:v>0.951861246718897</c:v>
                </c:pt>
              </c:numCache>
            </c:numRef>
          </c:yVal>
          <c:smooth val="0"/>
        </c:ser>
        <c:dLbls>
          <c:showLegendKey val="0"/>
          <c:showVal val="1"/>
          <c:showCatName val="0"/>
          <c:showSerName val="0"/>
          <c:showPercent val="0"/>
          <c:showBubbleSize val="0"/>
        </c:dLbls>
        <c:axId val="370049376"/>
        <c:axId val="370048816"/>
      </c:scatterChart>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0047696"/>
        <c:crosses val="autoZero"/>
        <c:auto val="1"/>
        <c:lblAlgn val="ctr"/>
        <c:lblOffset val="100"/>
        <c:noMultiLvlLbl val="0"/>
      </c:catAx>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0048256"/>
        <c:crosses val="autoZero"/>
        <c:crossBetween val="between"/>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0048816"/>
        <c:crossesAt val="1"/>
        <c:crossBetween val="midCat"/>
      </c:val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00493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c:v>
                </c:pt>
                <c:pt idx="1">
                  <c:v>174578.2137792</c:v>
                </c:pt>
                <c:pt idx="2">
                  <c:v>196592.4753408</c:v>
                </c:pt>
              </c:numCache>
            </c:numRef>
          </c:val>
        </c:ser>
        <c:ser>
          <c:idx val="0"/>
          <c:order val="1"/>
          <c:tx>
            <c:strRef>
              <c:f>"Current Cycle"</c:f>
              <c:strCache>
                <c:ptCount val="1"/>
                <c:pt idx="0">
                  <c:v>Current Cycle</c:v>
                </c:pt>
              </c:strCache>
            </c:strRef>
          </c:tx>
          <c:spPr>
            <a:solidFill>
              <a:schemeClr val="accent6"/>
            </a:solidFill>
            <a:ln>
              <a:noFill/>
            </a:ln>
            <a:effectLst/>
          </c:spPr>
          <c:invertIfNegative val="0"/>
          <c:dLbls>
            <c:delete val="1"/>
          </c:dLbls>
          <c:cat>
            <c:strRef>
              <c:f>{"FY-1","FY-2","FY-3"}</c:f>
              <c:strCache>
                <c:ptCount val="3"/>
                <c:pt idx="0">
                  <c:v>FY-1</c:v>
                </c:pt>
                <c:pt idx="1">
                  <c:v>FY-2</c:v>
                </c:pt>
                <c:pt idx="2">
                  <c:v>FY-3</c:v>
                </c:pt>
              </c:strCache>
            </c:strRef>
          </c:cat>
          <c:val>
            <c:numRef>
              <c:f>Performance!$I$73:$K$73</c:f>
              <c:numCache>
                <c:formatCode>_(* #,##0_);_(* \(#,##0\);_(* "-"??_);_(@_)</c:formatCode>
                <c:ptCount val="3"/>
                <c:pt idx="0">
                  <c:v>154313.690553223</c:v>
                </c:pt>
                <c:pt idx="1">
                  <c:v>163879.831239586</c:v>
                </c:pt>
                <c:pt idx="2">
                  <c:v>189860.073246186</c:v>
                </c:pt>
              </c:numCache>
            </c:numRef>
          </c:val>
        </c:ser>
        <c:dLbls>
          <c:showLegendKey val="0"/>
          <c:showVal val="1"/>
          <c:showCatName val="0"/>
          <c:showSerName val="0"/>
          <c:showPercent val="0"/>
          <c:showBubbleSize val="0"/>
        </c:dLbls>
        <c:gapWidth val="75"/>
        <c:axId val="371051536"/>
        <c:axId val="371050976"/>
      </c:barChart>
      <c:scatterChart>
        <c:scatterStyle val="marker"/>
        <c:varyColors val="0"/>
        <c:ser>
          <c:idx val="2"/>
          <c:order val="2"/>
          <c:tx>
            <c:strRef>
              <c:f>"Percentage"</c:f>
              <c:strCache>
                <c:ptCount val="1"/>
                <c:pt idx="0">
                  <c:v>Percentage</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0.0216429375430836"/>
                  <c:y val="-0.0801827155739141"/>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0.940950242119905</c:v>
                </c:pt>
                <c:pt idx="1">
                  <c:v>0.938718684834612</c:v>
                </c:pt>
                <c:pt idx="2">
                  <c:v>0.965754528076705</c:v>
                </c:pt>
              </c:numCache>
            </c:numRef>
          </c:yVal>
          <c:smooth val="0"/>
        </c:ser>
        <c:dLbls>
          <c:showLegendKey val="0"/>
          <c:showVal val="1"/>
          <c:showCatName val="0"/>
          <c:showSerName val="0"/>
          <c:showPercent val="0"/>
          <c:showBubbleSize val="0"/>
        </c:dLbls>
        <c:axId val="371052656"/>
        <c:axId val="371052096"/>
      </c:scatterChart>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050976"/>
        <c:crosses val="autoZero"/>
        <c:auto val="1"/>
        <c:lblAlgn val="ctr"/>
        <c:lblOffset val="100"/>
        <c:noMultiLvlLbl val="0"/>
      </c:catAx>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051536"/>
        <c:crosses val="autoZero"/>
        <c:crossBetween val="between"/>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052096"/>
        <c:crossesAt val="0"/>
        <c:crossBetween val="midCat"/>
      </c:val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05265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lang="zh-CN" sz="1050" b="0" i="0" u="none" strike="noStrike" kern="1200" spc="0" baseline="0">
                <a:solidFill>
                  <a:schemeClr val="tx1">
                    <a:lumMod val="65000"/>
                    <a:lumOff val="35000"/>
                  </a:schemeClr>
                </a:solidFill>
                <a:latin typeface="+mn-lt"/>
                <a:ea typeface="+mn-ea"/>
                <a:cs typeface="+mn-cs"/>
              </a:defRPr>
            </a:pPr>
            <a:r>
              <a:rPr lang="en-US" sz="1200"/>
              <a:t>Efficiency Ratio of Task 4,5,6</a:t>
            </a:r>
            <a:endParaRPr lang="en-US" sz="1200"/>
          </a:p>
        </c:rich>
      </c:tx>
      <c:layout/>
      <c:overlay val="0"/>
      <c:spPr>
        <a:noFill/>
        <a:ln>
          <a:noFill/>
        </a:ln>
        <a:effectLst/>
      </c:spPr>
    </c:title>
    <c:autoTitleDeleted val="0"/>
    <c:plotArea>
      <c:layout/>
      <c:lineChart>
        <c:grouping val="standard"/>
        <c:varyColors val="0"/>
        <c:ser>
          <c:idx val="0"/>
          <c:order val="0"/>
          <c:tx>
            <c:strRef>
              <c:f>"Fixed cost/Total overall sales"</c:f>
              <c:strCache>
                <c:ptCount val="1"/>
                <c:pt idx="0">
                  <c:v>Fixed cost/Total overall sales</c:v>
                </c:pt>
              </c:strCache>
            </c:strRef>
          </c:tx>
          <c:spPr>
            <a:ln w="28575" cap="rnd">
              <a:solidFill>
                <a:schemeClr val="accent2">
                  <a:shade val="65000"/>
                </a:schemeClr>
              </a:solidFill>
              <a:round/>
            </a:ln>
            <a:effectLst/>
          </c:spPr>
          <c:marker>
            <c:symbol val="none"/>
          </c:marker>
          <c:dLbls>
            <c:delete val="1"/>
          </c:dLbls>
          <c:cat>
            <c:strRef>
              <c:f>Performance!$E$135:$G$135</c:f>
              <c:strCache>
                <c:ptCount val="3"/>
                <c:pt idx="0">
                  <c:v>FY-1</c:v>
                </c:pt>
                <c:pt idx="1">
                  <c:v>FY-2</c:v>
                </c:pt>
                <c:pt idx="2">
                  <c:v>FY-3</c:v>
                </c:pt>
              </c:strCache>
            </c:strRef>
          </c:cat>
          <c:val>
            <c:numRef>
              <c:f>Performance!$E$136:$G$136</c:f>
              <c:numCache>
                <c:formatCode>"$"#,##0.00_);[Red]\("$"#,##0.00\)</c:formatCode>
                <c:ptCount val="3"/>
                <c:pt idx="0">
                  <c:v>0.286800845175351</c:v>
                </c:pt>
                <c:pt idx="1">
                  <c:v>0.269693985687797</c:v>
                </c:pt>
                <c:pt idx="2">
                  <c:v>0.231711911507837</c:v>
                </c:pt>
              </c:numCache>
            </c:numRef>
          </c:val>
          <c:smooth val="0"/>
        </c:ser>
        <c:ser>
          <c:idx val="1"/>
          <c:order val="1"/>
          <c:tx>
            <c:strRef>
              <c:f>"Compensations/total overall sales"</c:f>
              <c:strCache>
                <c:ptCount val="1"/>
                <c:pt idx="0">
                  <c:v>Compensations/total overall sales</c:v>
                </c:pt>
              </c:strCache>
            </c:strRef>
          </c:tx>
          <c:spPr>
            <a:ln w="28575" cap="rnd">
              <a:solidFill>
                <a:schemeClr val="accent2"/>
              </a:solidFill>
              <a:round/>
            </a:ln>
            <a:effectLst/>
          </c:spPr>
          <c:marker>
            <c:symbol val="none"/>
          </c:marker>
          <c:dLbls>
            <c:delete val="1"/>
          </c:dLbls>
          <c:cat>
            <c:strRef>
              <c:f>Performance!$E$135:$G$135</c:f>
              <c:strCache>
                <c:ptCount val="3"/>
                <c:pt idx="0">
                  <c:v>FY-1</c:v>
                </c:pt>
                <c:pt idx="1">
                  <c:v>FY-2</c:v>
                </c:pt>
                <c:pt idx="2">
                  <c:v>FY-3</c:v>
                </c:pt>
              </c:strCache>
            </c:strRef>
          </c:cat>
          <c:val>
            <c:numRef>
              <c:f>Performance!$E$141:$G$141</c:f>
              <c:numCache>
                <c:formatCode>"$"#,##0.00_);[Red]\("$"#,##0.00\)</c:formatCode>
                <c:ptCount val="3"/>
                <c:pt idx="0">
                  <c:v>0.0858696648214976</c:v>
                </c:pt>
                <c:pt idx="1">
                  <c:v>0.0774089488905699</c:v>
                </c:pt>
                <c:pt idx="2">
                  <c:v>0.0672783932823806</c:v>
                </c:pt>
              </c:numCache>
            </c:numRef>
          </c:val>
          <c:smooth val="0"/>
        </c:ser>
        <c:ser>
          <c:idx val="2"/>
          <c:order val="2"/>
          <c:tx>
            <c:strRef>
              <c:f>"(Advertising + Trade Shows)/Total overall sales"</c:f>
              <c:strCache>
                <c:ptCount val="1"/>
                <c:pt idx="0">
                  <c:v>(Advertising + Trade Shows)/Total overall sales</c:v>
                </c:pt>
              </c:strCache>
            </c:strRef>
          </c:tx>
          <c:spPr>
            <a:ln w="28575" cap="rnd">
              <a:solidFill>
                <a:schemeClr val="accent2">
                  <a:tint val="65000"/>
                </a:schemeClr>
              </a:solidFill>
              <a:round/>
            </a:ln>
            <a:effectLst/>
          </c:spPr>
          <c:marker>
            <c:symbol val="none"/>
          </c:marker>
          <c:dLbls>
            <c:delete val="1"/>
          </c:dLbls>
          <c:cat>
            <c:strRef>
              <c:f>Performance!$E$135:$G$135</c:f>
              <c:strCache>
                <c:ptCount val="3"/>
                <c:pt idx="0">
                  <c:v>FY-1</c:v>
                </c:pt>
                <c:pt idx="1">
                  <c:v>FY-2</c:v>
                </c:pt>
                <c:pt idx="2">
                  <c:v>FY-3</c:v>
                </c:pt>
              </c:strCache>
            </c:strRef>
          </c:cat>
          <c:val>
            <c:numRef>
              <c:f>Performance!$E$146:$G$146</c:f>
              <c:numCache>
                <c:formatCode>"$"#,##0.00_);[Red]\("$"#,##0.00\)</c:formatCode>
                <c:ptCount val="3"/>
                <c:pt idx="0">
                  <c:v>0.0888342127736683</c:v>
                </c:pt>
                <c:pt idx="1">
                  <c:v>0.0704324673718073</c:v>
                </c:pt>
                <c:pt idx="2">
                  <c:v>0.0539078660370265</c:v>
                </c:pt>
              </c:numCache>
            </c:numRef>
          </c:val>
          <c:smooth val="0"/>
        </c:ser>
        <c:dLbls>
          <c:showLegendKey val="0"/>
          <c:showVal val="0"/>
          <c:showCatName val="0"/>
          <c:showSerName val="0"/>
          <c:showPercent val="0"/>
          <c:showBubbleSize val="0"/>
        </c:dLbls>
        <c:marker val="0"/>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1056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noFill/>
    <a:ln w="15875" cap="flat" cmpd="sng" algn="ctr">
      <a:solidFill>
        <a:schemeClr val="accent2"/>
      </a:solidFill>
      <a:round/>
    </a:ln>
    <a:effectLst/>
  </c:spPr>
  <c:txPr>
    <a:bodyPr/>
    <a:lstStyle/>
    <a:p>
      <a:pPr>
        <a:defRPr lang="zh-CN" sz="1000"/>
      </a:pP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2"/>
          <c:y val="0.0864370203243673"/>
        </c:manualLayout>
      </c:layout>
      <c:overlay val="0"/>
      <c:spPr>
        <a:noFill/>
        <a:ln>
          <a:noFill/>
        </a:ln>
        <a:effectLst/>
      </c:spPr>
    </c:title>
    <c:autoTitleDeleted val="0"/>
    <c:plotArea>
      <c:layout>
        <c:manualLayout>
          <c:layoutTarget val="inner"/>
          <c:xMode val="edge"/>
          <c:yMode val="edge"/>
          <c:x val="0.106955877831523"/>
          <c:y val="0.273540433458246"/>
          <c:w val="0.511740156186237"/>
          <c:h val="0.51435316266917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Lbls>
            <c:delete val="1"/>
          </c:dLbls>
          <c:cat>
            <c:strRef>
              <c:f>{"FY-1","FY-2","FY-3"}</c:f>
              <c:strCache>
                <c:ptCount val="3"/>
                <c:pt idx="0">
                  <c:v>FY-1</c:v>
                </c:pt>
                <c:pt idx="1">
                  <c:v>FY-2</c:v>
                </c:pt>
                <c:pt idx="2">
                  <c:v>FY-3</c:v>
                </c:pt>
              </c:strCache>
            </c:strRef>
          </c:cat>
          <c:val>
            <c:numRef>
              <c:f>Performance!$E$155:$G$155</c:f>
              <c:numCache>
                <c:formatCode>"$"#,##0.00_);[Red]\("$"#,##0.00\)</c:formatCode>
                <c:ptCount val="3"/>
                <c:pt idx="0">
                  <c:v>0.501514892176107</c:v>
                </c:pt>
                <c:pt idx="1">
                  <c:v>0.518321873927355</c:v>
                </c:pt>
                <c:pt idx="2">
                  <c:v>0.551467280560843</c:v>
                </c:pt>
              </c:numCache>
            </c:numRef>
          </c:val>
          <c:smooth val="0"/>
        </c:ser>
        <c:dLbls>
          <c:showLegendKey val="0"/>
          <c:showVal val="0"/>
          <c:showCatName val="0"/>
          <c:showSerName val="0"/>
          <c:showPercent val="0"/>
          <c:showBubbleSize val="0"/>
        </c:dLbls>
        <c:marker val="0"/>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lang="zh-CN" sz="1000"/>
      </a:pP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
          <c:y val="0.0168945936202413"/>
        </c:manualLayout>
      </c:layout>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p>
      </c:txPr>
    </c:title>
    <c:autoTitleDeleted val="0"/>
    <c:plotArea>
      <c:layout>
        <c:manualLayout>
          <c:layoutTarget val="inner"/>
          <c:xMode val="edge"/>
          <c:yMode val="edge"/>
          <c:x val="0.458976941090374"/>
          <c:y val="0.157081412592011"/>
          <c:w val="0.533360943863264"/>
          <c:h val="0.842918587407989"/>
        </c:manualLayout>
      </c:layout>
      <c:pieChart>
        <c:varyColors val="1"/>
        <c:ser>
          <c:idx val="0"/>
          <c:order val="0"/>
          <c:tx>
            <c:strRef>
              <c:f>Performance!$D$172</c:f>
              <c:strCache>
                <c:ptCount val="1"/>
                <c:pt idx="0">
                  <c:v>FY-1</c:v>
                </c:pt>
              </c:strCache>
            </c:strRef>
          </c:tx>
          <c:spPr/>
          <c:explosion val="2"/>
          <c:dPt>
            <c:idx val="0"/>
            <c:bubble3D val="0"/>
            <c:spPr>
              <a:solidFill>
                <a:schemeClr val="accent1">
                  <a:lumMod val="60000"/>
                  <a:lumOff val="40000"/>
                </a:schemeClr>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Performance!$C$173:$C$175</c:f>
              <c:strCache>
                <c:ptCount val="3"/>
                <c:pt idx="0" c:formatCode="#,##0;[Red]\-#,##0">
                  <c:v>Revenue</c:v>
                </c:pt>
                <c:pt idx="1" c:formatCode="#,##0;[Red]\-#,##0">
                  <c:v>Expenses</c:v>
                </c:pt>
                <c:pt idx="2" c:formatCode="#,##0;[Red]\-#,##0">
                  <c:v>Total contribution</c:v>
                </c:pt>
              </c:strCache>
            </c:strRef>
          </c:cat>
          <c:val>
            <c:numRef>
              <c:f>Performance!$D$174:$D$175</c:f>
              <c:numCache>
                <c:formatCode>_("$"* #,##0_);_("$"* \(#,##0\);_("$"* "-"??_);_(@_)</c:formatCode>
                <c:ptCount val="2"/>
                <c:pt idx="0">
                  <c:v>207075.200531422</c:v>
                </c:pt>
                <c:pt idx="1">
                  <c:v>771151.512879139</c:v>
                </c:pt>
              </c:numCache>
            </c:numRef>
          </c:val>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0.0330684075107524"/>
          <c:y val="0.379052924315319"/>
          <c:w val="0.419640427528342"/>
          <c:h val="0.334467935591192"/>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9"/>
          <c:y val="0.0232410320726243"/>
        </c:manualLayout>
      </c:layout>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p>
      </c:txPr>
    </c:title>
    <c:autoTitleDeleted val="0"/>
    <c:plotArea>
      <c:layout>
        <c:manualLayout>
          <c:layoutTarget val="inner"/>
          <c:xMode val="edge"/>
          <c:yMode val="edge"/>
          <c:x val="0.123397328142971"/>
          <c:y val="0.150909938255715"/>
          <c:w val="0.820990887375033"/>
          <c:h val="0.849090061744285"/>
        </c:manualLayout>
      </c:layout>
      <c:pieChart>
        <c:varyColors val="1"/>
        <c:ser>
          <c:idx val="0"/>
          <c:order val="0"/>
          <c:tx>
            <c:strRef>
              <c:f>Performance!$E$172</c:f>
              <c:strCache>
                <c:ptCount val="1"/>
                <c:pt idx="0">
                  <c:v>FY-2</c:v>
                </c:pt>
              </c:strCache>
            </c:strRef>
          </c:tx>
          <c:spPr/>
          <c:explosion val="2"/>
          <c:dPt>
            <c:idx val="0"/>
            <c:bubble3D val="0"/>
            <c:spPr>
              <a:solidFill>
                <a:schemeClr val="accent1">
                  <a:lumMod val="60000"/>
                  <a:lumOff val="40000"/>
                </a:schemeClr>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Performance!$C$173:$C$175</c:f>
              <c:strCache>
                <c:ptCount val="3"/>
                <c:pt idx="0" c:formatCode="#,##0;[Red]\-#,##0">
                  <c:v>Revenue</c:v>
                </c:pt>
                <c:pt idx="1" c:formatCode="#,##0;[Red]\-#,##0">
                  <c:v>Expenses</c:v>
                </c:pt>
                <c:pt idx="2" c:formatCode="#,##0;[Red]\-#,##0">
                  <c:v>Total contribution</c:v>
                </c:pt>
              </c:strCache>
            </c:strRef>
          </c:cat>
          <c:val>
            <c:numRef>
              <c:f>Performance!$E$174:$E$175</c:f>
              <c:numCache>
                <c:formatCode>_("$"* #,##0_);_("$"* \(#,##0\);_("$"* "-"??_);_(@_)</c:formatCode>
                <c:ptCount val="2"/>
                <c:pt idx="0">
                  <c:v>219079.724939319</c:v>
                </c:pt>
                <c:pt idx="1">
                  <c:v>814392.517567073</c:v>
                </c:pt>
              </c:numCache>
            </c:numRef>
          </c:val>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9"/>
          <c:y val="0.0154940213817495"/>
        </c:manualLayout>
      </c:layout>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p>
      </c:txPr>
    </c:title>
    <c:autoTitleDeleted val="0"/>
    <c:plotArea>
      <c:layout>
        <c:manualLayout>
          <c:layoutTarget val="inner"/>
          <c:xMode val="edge"/>
          <c:yMode val="edge"/>
          <c:x val="0.1047881093515"/>
          <c:y val="0.167946651766379"/>
          <c:w val="0.82248311657672"/>
          <c:h val="0.832053348233621"/>
        </c:manualLayout>
      </c:layout>
      <c:pieChart>
        <c:varyColors val="1"/>
        <c:ser>
          <c:idx val="0"/>
          <c:order val="0"/>
          <c:tx>
            <c:strRef>
              <c:f>Performance!$F$172</c:f>
              <c:strCache>
                <c:ptCount val="1"/>
                <c:pt idx="0">
                  <c:v>FY-3</c:v>
                </c:pt>
              </c:strCache>
            </c:strRef>
          </c:tx>
          <c:spPr/>
          <c:explosion val="2"/>
          <c:dPt>
            <c:idx val="0"/>
            <c:bubble3D val="0"/>
            <c:spPr>
              <a:solidFill>
                <a:schemeClr val="accent1">
                  <a:lumMod val="60000"/>
                  <a:lumOff val="40000"/>
                </a:schemeClr>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bestFit"/>
            <c:showLegendKey val="0"/>
            <c:showVal val="0"/>
            <c:showCatName val="0"/>
            <c:showSerName val="0"/>
            <c:showPercent val="1"/>
            <c:showBubbleSize val="0"/>
            <c:showLeaderLines val="0"/>
            <c:extLst>
              <c:ext xmlns:c15="http://schemas.microsoft.com/office/drawing/2012/chart" uri="{CE6537A1-D6FC-4f65-9D91-7224C49458BB}">
                <c15:layout/>
                <c15:showLeaderLines val="0"/>
                <c15:leaderLines>
                  <c:spPr>
                    <a:ln w="9525" cap="flat" cmpd="sng" algn="ctr">
                      <a:solidFill>
                        <a:schemeClr val="tx1">
                          <a:lumMod val="35000"/>
                          <a:lumOff val="65000"/>
                        </a:schemeClr>
                      </a:solidFill>
                      <a:round/>
                    </a:ln>
                    <a:effectLst/>
                  </c:spPr>
                </c15:leaderLines>
              </c:ext>
            </c:extLst>
          </c:dLbls>
          <c:cat>
            <c:strRef>
              <c:f>Performance!$C$174:$C$175</c:f>
              <c:strCache>
                <c:ptCount val="2"/>
                <c:pt idx="0" c:formatCode="#,##0;[Red]\-#,##0">
                  <c:v>Expenses</c:v>
                </c:pt>
                <c:pt idx="1" c:formatCode="#,##0;[Red]\-#,##0">
                  <c:v>Total contribution</c:v>
                </c:pt>
              </c:strCache>
            </c:strRef>
          </c:cat>
          <c:val>
            <c:numRef>
              <c:f>Performance!$F$174:$F$175</c:f>
              <c:numCache>
                <c:formatCode>_("$"* #,##0_);_("$"* \(#,##0\);_("$"* "-"??_);_(@_)</c:formatCode>
                <c:ptCount val="2"/>
                <c:pt idx="0">
                  <c:v>246990.837758431</c:v>
                </c:pt>
                <c:pt idx="1">
                  <c:v>892156.461409772</c:v>
                </c:pt>
              </c:numCache>
            </c:numRef>
          </c:val>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lang="zh-CN"/>
      </a:pP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Performance!$K$221:$N$221</c:f>
              <c:numCache>
                <c:formatCode>"$"#,##0_);[Red]\("$"#,##0\)</c:formatCode>
                <c:ptCount val="4"/>
                <c:pt idx="0">
                  <c:v>143014.05400288</c:v>
                </c:pt>
                <c:pt idx="1">
                  <c:v>339983.516860978</c:v>
                </c:pt>
                <c:pt idx="2">
                  <c:v>419552.387263038</c:v>
                </c:pt>
                <c:pt idx="3">
                  <c:v>236597.341041307</c:v>
                </c:pt>
              </c:numCache>
            </c:numRef>
          </c:val>
          <c:smooth val="0"/>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val>
            <c:numRef>
              <c:f>Performance!$G$221:$J$221</c:f>
              <c:numCache>
                <c:formatCode>"$"#,##0_);[Red]\("$"#,##0\)</c:formatCode>
                <c:ptCount val="4"/>
                <c:pt idx="0">
                  <c:v>119036.891394165</c:v>
                </c:pt>
                <c:pt idx="1">
                  <c:v>325258.624160882</c:v>
                </c:pt>
                <c:pt idx="2">
                  <c:v>383730.227889126</c:v>
                </c:pt>
                <c:pt idx="3">
                  <c:v>205446.499062219</c:v>
                </c:pt>
              </c:numCache>
            </c:numRef>
          </c:val>
          <c:smooth val="0"/>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val>
            <c:numRef>
              <c:f>Performance!$C$221:$F$221</c:f>
              <c:numCache>
                <c:formatCode>"$"#,##0_);[Red]\("$"#,##0\)</c:formatCode>
                <c:ptCount val="4"/>
                <c:pt idx="0">
                  <c:v>117781.462092511</c:v>
                </c:pt>
                <c:pt idx="1">
                  <c:v>295857.925595032</c:v>
                </c:pt>
                <c:pt idx="2">
                  <c:v>362898.673438509</c:v>
                </c:pt>
                <c:pt idx="3">
                  <c:v>201688.652284509</c:v>
                </c:pt>
              </c:numCache>
            </c:numRef>
          </c:val>
          <c:smooth val="0"/>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Performance!$K$222:$N$222</c:f>
              <c:numCache>
                <c:formatCode>"$"#,##0_);[Red]\("$"#,##0\)</c:formatCode>
                <c:ptCount val="4"/>
                <c:pt idx="0">
                  <c:v>27653.0761326561</c:v>
                </c:pt>
                <c:pt idx="1">
                  <c:v>79034.9166534758</c:v>
                </c:pt>
                <c:pt idx="2">
                  <c:v>92513.7166534758</c:v>
                </c:pt>
                <c:pt idx="3">
                  <c:v>47789.1283188234</c:v>
                </c:pt>
              </c:numCache>
            </c:numRef>
          </c:val>
          <c:smooth val="0"/>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val>
            <c:numRef>
              <c:f>Performance!$G$222:$J$222</c:f>
              <c:numCache>
                <c:formatCode>"$"#,##0_);[Red]\("$"#,##0\)</c:formatCode>
                <c:ptCount val="4"/>
                <c:pt idx="0">
                  <c:v>21501.6</c:v>
                </c:pt>
                <c:pt idx="1">
                  <c:v>73851.4125367655</c:v>
                </c:pt>
                <c:pt idx="2">
                  <c:v>83203.5124025534</c:v>
                </c:pt>
                <c:pt idx="3">
                  <c:v>40523.2</c:v>
                </c:pt>
              </c:numCache>
            </c:numRef>
          </c:val>
          <c:smooth val="0"/>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val>
            <c:numRef>
              <c:f>Performance!$C$222:$F$222</c:f>
              <c:numCache>
                <c:formatCode>"$"#,##0_);[Red]\("$"#,##0\)</c:formatCode>
                <c:ptCount val="4"/>
                <c:pt idx="0">
                  <c:v>21835.0798711575</c:v>
                </c:pt>
                <c:pt idx="1">
                  <c:v>67702.8595713871</c:v>
                </c:pt>
                <c:pt idx="2">
                  <c:v>78031.5183877035</c:v>
                </c:pt>
                <c:pt idx="3">
                  <c:v>39505.7427011734</c:v>
                </c:pt>
              </c:numCache>
            </c:numRef>
          </c:val>
          <c:smooth val="0"/>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Performance!$K$223:$N$223</c:f>
              <c:numCache>
                <c:formatCode>"$"#,##0_);[Red]\("$"#,##0\)</c:formatCode>
                <c:ptCount val="4"/>
                <c:pt idx="0">
                  <c:v>115360.977870224</c:v>
                </c:pt>
                <c:pt idx="1">
                  <c:v>260948.600207502</c:v>
                </c:pt>
                <c:pt idx="2">
                  <c:v>327038.670609563</c:v>
                </c:pt>
                <c:pt idx="3">
                  <c:v>188808.212722483</c:v>
                </c:pt>
              </c:numCache>
            </c:numRef>
          </c:val>
          <c:smooth val="0"/>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val>
            <c:numRef>
              <c:f>Performance!$G$223:$J$223</c:f>
              <c:numCache>
                <c:formatCode>"$"#,##0_);[Red]\("$"#,##0\)</c:formatCode>
                <c:ptCount val="4"/>
                <c:pt idx="0">
                  <c:v>97535.2913941646</c:v>
                </c:pt>
                <c:pt idx="1">
                  <c:v>251407.211624116</c:v>
                </c:pt>
                <c:pt idx="2">
                  <c:v>300526.715486573</c:v>
                </c:pt>
                <c:pt idx="3">
                  <c:v>164923.299062219</c:v>
                </c:pt>
              </c:numCache>
            </c:numRef>
          </c:val>
          <c:smooth val="0"/>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val>
            <c:numRef>
              <c:f>Performance!$C$223:$F$223</c:f>
              <c:numCache>
                <c:formatCode>"$"#,##0_);[Red]\("$"#,##0\)</c:formatCode>
                <c:ptCount val="4"/>
                <c:pt idx="0">
                  <c:v>95946.3822213534</c:v>
                </c:pt>
                <c:pt idx="1">
                  <c:v>228155.066023645</c:v>
                </c:pt>
                <c:pt idx="2">
                  <c:v>284867.155050806</c:v>
                </c:pt>
                <c:pt idx="3">
                  <c:v>162182.909583335</c:v>
                </c:pt>
              </c:numCache>
            </c:numRef>
          </c:val>
          <c:smooth val="0"/>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Performance!$K$224:$N$224</c:f>
              <c:numCache>
                <c:formatCode>"$"#,##0_);[Red]\("$"#,##0\)</c:formatCode>
                <c:ptCount val="4"/>
                <c:pt idx="0">
                  <c:v>65988.4995448136</c:v>
                </c:pt>
                <c:pt idx="1">
                  <c:v>65988.4995448136</c:v>
                </c:pt>
                <c:pt idx="2">
                  <c:v>65988.4995448136</c:v>
                </c:pt>
                <c:pt idx="3">
                  <c:v>65988.4995448136</c:v>
                </c:pt>
              </c:numCache>
            </c:numRef>
          </c:val>
          <c:smooth val="0"/>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val>
            <c:numRef>
              <c:f>Performance!$G$224:$J$224</c:f>
              <c:numCache>
                <c:formatCode>"$"#,##0_);[Red]\("$"#,##0\)</c:formatCode>
                <c:ptCount val="4"/>
                <c:pt idx="0">
                  <c:v>69680.3120448136</c:v>
                </c:pt>
                <c:pt idx="1">
                  <c:v>69680.3120448136</c:v>
                </c:pt>
                <c:pt idx="2">
                  <c:v>69680.3120448136</c:v>
                </c:pt>
                <c:pt idx="3">
                  <c:v>69680.3120448136</c:v>
                </c:pt>
              </c:numCache>
            </c:numRef>
          </c:val>
          <c:smooth val="0"/>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val>
            <c:numRef>
              <c:f>Performance!$C$224:$F$224</c:f>
              <c:numCache>
                <c:formatCode>"$"#,##0_);[Red]\("$"#,##0\)</c:formatCode>
                <c:ptCount val="4"/>
                <c:pt idx="0">
                  <c:v>70139.0620448136</c:v>
                </c:pt>
                <c:pt idx="1">
                  <c:v>70139.0620448136</c:v>
                </c:pt>
                <c:pt idx="2">
                  <c:v>70139.0620448136</c:v>
                </c:pt>
                <c:pt idx="3">
                  <c:v>70139.0620448136</c:v>
                </c:pt>
              </c:numCache>
            </c:numRef>
          </c:val>
          <c:smooth val="0"/>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3"/>
          <c:y val="0.0918645648954785"/>
          <c:w val="0.706860839784258"/>
          <c:h val="0.64878572403356"/>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Performance!$K$220:$N$220</c:f>
              <c:strCache>
                <c:ptCount val="4"/>
                <c:pt idx="0">
                  <c:v>Q-1</c:v>
                </c:pt>
                <c:pt idx="1">
                  <c:v>Q-2</c:v>
                </c:pt>
                <c:pt idx="2">
                  <c:v>Q-3</c:v>
                </c:pt>
                <c:pt idx="3">
                  <c:v>Q-4</c:v>
                </c:pt>
              </c:strCache>
            </c:strRef>
          </c:cat>
          <c:val>
            <c:numRef>
              <c:f>Performance!$K$225:$N$225</c:f>
              <c:numCache>
                <c:formatCode>"$"#,##0_);[Red]\("$"#,##0\)</c:formatCode>
                <c:ptCount val="4"/>
                <c:pt idx="0">
                  <c:v>49372.4783254106</c:v>
                </c:pt>
                <c:pt idx="1">
                  <c:v>194960.100662688</c:v>
                </c:pt>
                <c:pt idx="2">
                  <c:v>261050.171064749</c:v>
                </c:pt>
                <c:pt idx="3">
                  <c:v>122819.71317767</c:v>
                </c:pt>
              </c:numCache>
            </c:numRef>
          </c:val>
          <c:smooth val="0"/>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elete val="1"/>
          </c:dLbls>
          <c:val>
            <c:numRef>
              <c:f>Performance!$G$225:$J$225</c:f>
              <c:numCache>
                <c:formatCode>"$"#,##0_);[Red]\("$"#,##0\)</c:formatCode>
                <c:ptCount val="4"/>
                <c:pt idx="0">
                  <c:v>27854.979349351</c:v>
                </c:pt>
                <c:pt idx="1">
                  <c:v>181726.899579303</c:v>
                </c:pt>
                <c:pt idx="2">
                  <c:v>230846.403441759</c:v>
                </c:pt>
                <c:pt idx="3">
                  <c:v>95242.9870174057</c:v>
                </c:pt>
              </c:numCache>
            </c:numRef>
          </c:val>
          <c:smooth val="0"/>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delete val="1"/>
          </c:dLbls>
          <c:val>
            <c:numRef>
              <c:f>Performance!$C$225:$F$225</c:f>
              <c:numCache>
                <c:formatCode>"$"#,##0_);[Red]\("$"#,##0\)</c:formatCode>
                <c:ptCount val="4"/>
                <c:pt idx="0">
                  <c:v>25807.3201765399</c:v>
                </c:pt>
                <c:pt idx="1">
                  <c:v>158016.003978831</c:v>
                </c:pt>
                <c:pt idx="2">
                  <c:v>214728.093005992</c:v>
                </c:pt>
                <c:pt idx="3">
                  <c:v>92043.8475385217</c:v>
                </c:pt>
              </c:numCache>
            </c:numRef>
          </c:val>
          <c:smooth val="0"/>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dLbls>
            <c:delete val="1"/>
          </c:dLbls>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ser>
        <c:ser>
          <c:idx val="1"/>
          <c:order val="1"/>
          <c:tx>
            <c:strRef>
              <c:f>Performance!$B$14</c:f>
              <c:strCache>
                <c:ptCount val="1"/>
                <c:pt idx="0">
                  <c:v>Retention of critical technology personnel</c:v>
                </c:pt>
              </c:strCache>
            </c:strRef>
          </c:tx>
          <c:spPr>
            <a:solidFill>
              <a:schemeClr val="accent6"/>
            </a:solidFill>
            <a:ln>
              <a:noFill/>
            </a:ln>
            <a:effectLst/>
          </c:spPr>
          <c:invertIfNegative val="0"/>
          <c:dLbls>
            <c:delete val="1"/>
          </c:dLbls>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sz="1000"/>
      </a:pP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200" b="0" i="0" u="none" strike="noStrike" kern="1200" spc="0" baseline="0">
                <a:solidFill>
                  <a:schemeClr val="tx1">
                    <a:lumMod val="65000"/>
                    <a:lumOff val="35000"/>
                  </a:schemeClr>
                </a:solidFill>
                <a:latin typeface="+mn-lt"/>
                <a:ea typeface="+mn-ea"/>
                <a:cs typeface="+mn-cs"/>
              </a:defRPr>
            </a:pPr>
            <a:r>
              <a:rPr lang="en-US"/>
              <a:t>Retention of critical marketing personnel</a:t>
            </a:r>
            <a:endParaRPr lang="en-US"/>
          </a:p>
        </c:rich>
      </c:tx>
      <c:layout/>
      <c:overlay val="0"/>
      <c:spPr>
        <a:noFill/>
        <a:ln>
          <a:noFill/>
        </a:ln>
        <a:effectLst/>
      </c:sp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dLbls>
            <c:delete val="1"/>
          </c:dLbls>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ser>
        <c:ser>
          <c:idx val="0"/>
          <c:order val="1"/>
          <c:tx>
            <c:strRef>
              <c:f>Performance!$B$15</c:f>
              <c:strCache>
                <c:ptCount val="1"/>
                <c:pt idx="0">
                  <c:v>Retention of critical marketing personnel</c:v>
                </c:pt>
              </c:strCache>
            </c:strRef>
          </c:tx>
          <c:spPr>
            <a:solidFill>
              <a:schemeClr val="accent6"/>
            </a:solidFill>
            <a:ln>
              <a:noFill/>
            </a:ln>
            <a:effectLst/>
          </c:spPr>
          <c:invertIfNegative val="0"/>
          <c:dLbls>
            <c:delete val="1"/>
          </c:dLbls>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sz="1000"/>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23.xml><?xml version="1.0" encoding="utf-8"?>
<formControlPr xmlns="http://schemas.microsoft.com/office/spreadsheetml/2009/9/main" objectType="Button" val="0"/>
</file>

<file path=xl/ctrlProps/ctrlProp25.xml><?xml version="1.0" encoding="utf-8"?>
<formControlPr xmlns="http://schemas.microsoft.com/office/spreadsheetml/2009/9/main" objectType="CheckBox"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noThreeD="1" val="0"/>
</file>

<file path=xl/ctrlProps/ctrlProp28.xml><?xml version="1.0" encoding="utf-8"?>
<formControlPr xmlns="http://schemas.microsoft.com/office/spreadsheetml/2009/9/main" objectType="CheckBox" noThreeD="1" val="0"/>
</file>

<file path=xl/ctrlProps/ctrlProp29.xml><?xml version="1.0" encoding="utf-8"?>
<formControlPr xmlns="http://schemas.microsoft.com/office/spreadsheetml/2009/9/main" objectType="CheckBox" noThreeD="1" val="0"/>
</file>

<file path=xl/ctrlProps/ctrlProp31.xml><?xml version="1.0" encoding="utf-8"?>
<formControlPr xmlns="http://schemas.microsoft.com/office/spreadsheetml/2009/9/main" objectType="CheckBox" noThreeD="1" val="0"/>
</file>

<file path=xl/ctrlProps/ctrlProp32.xml><?xml version="1.0" encoding="utf-8"?>
<formControlPr xmlns="http://schemas.microsoft.com/office/spreadsheetml/2009/9/main" objectType="CheckBox" noThreeD="1" val="0"/>
</file>

<file path=xl/ctrlProps/ctrlProp33.xml><?xml version="1.0" encoding="utf-8"?>
<formControlPr xmlns="http://schemas.microsoft.com/office/spreadsheetml/2009/9/main" objectType="CheckBox" noThreeD="1" val="0"/>
</file>

<file path=xl/ctrlProps/ctrlProp34.xml><?xml version="1.0" encoding="utf-8"?>
<formControlPr xmlns="http://schemas.microsoft.com/office/spreadsheetml/2009/9/main" objectType="CheckBox" noThreeD="1" val="0"/>
</file>

<file path=xl/ctrlProps/ctrlProp35.xml><?xml version="1.0" encoding="utf-8"?>
<formControlPr xmlns="http://schemas.microsoft.com/office/spreadsheetml/2009/9/main" objectType="CheckBox" noThreeD="1" val="0"/>
</file>

<file path=xl/ctrlProps/ctrlProp36.xml><?xml version="1.0" encoding="utf-8"?>
<formControlPr xmlns="http://schemas.microsoft.com/office/spreadsheetml/2009/9/main" objectType="CheckBox" noThreeD="1" val="0"/>
</file>

<file path=xl/ctrlProps/ctrlProp37.xml><?xml version="1.0" encoding="utf-8"?>
<formControlPr xmlns="http://schemas.microsoft.com/office/spreadsheetml/2009/9/main" objectType="CheckBox" noThreeD="1" val="0"/>
</file>

<file path=xl/ctrlProps/ctrlProp39.xml><?xml version="1.0" encoding="utf-8"?>
<formControlPr xmlns="http://schemas.microsoft.com/office/spreadsheetml/2009/9/main" objectType="CheckBox" noThreeD="1" val="0"/>
</file>

<file path=xl/ctrlProps/ctrlProp40.xml><?xml version="1.0" encoding="utf-8"?>
<formControlPr xmlns="http://schemas.microsoft.com/office/spreadsheetml/2009/9/main" objectType="CheckBox" noThreeD="1" val="0"/>
</file>

<file path=xl/ctrlProps/ctrlProp41.xml><?xml version="1.0" encoding="utf-8"?>
<formControlPr xmlns="http://schemas.microsoft.com/office/spreadsheetml/2009/9/main" objectType="CheckBox" noThreeD="1" val="0"/>
</file>

<file path=xl/ctrlProps/ctrlProp42.xml><?xml version="1.0" encoding="utf-8"?>
<formControlPr xmlns="http://schemas.microsoft.com/office/spreadsheetml/2009/9/main" objectType="CheckBox" noThreeD="1" val="0"/>
</file>

<file path=xl/ctrlProps/ctrlProp43.xml><?xml version="1.0" encoding="utf-8"?>
<formControlPr xmlns="http://schemas.microsoft.com/office/spreadsheetml/2009/9/main" objectType="CheckBox" noThreeD="1" val="0"/>
</file>

<file path=xl/ctrlProps/ctrlProp44.xml><?xml version="1.0" encoding="utf-8"?>
<formControlPr xmlns="http://schemas.microsoft.com/office/spreadsheetml/2009/9/main" objectType="CheckBox" noThreeD="1" val="0"/>
</file>

<file path=xl/ctrlProps/ctrlProp45.xml><?xml version="1.0" encoding="utf-8"?>
<formControlPr xmlns="http://schemas.microsoft.com/office/spreadsheetml/2009/9/main" objectType="CheckBox" noThreeD="1" val="0"/>
</file>

<file path=xl/ctrlProps/ctrlProp46.xml><?xml version="1.0" encoding="utf-8"?>
<formControlPr xmlns="http://schemas.microsoft.com/office/spreadsheetml/2009/9/main" objectType="CheckBox" noThreeD="1" val="0"/>
</file>

<file path=xl/ctrlProps/ctrlProp48.xml><?xml version="1.0" encoding="utf-8"?>
<formControlPr xmlns="http://schemas.microsoft.com/office/spreadsheetml/2009/9/main" objectType="CheckBox" noThreeD="1" val="0"/>
</file>

<file path=xl/ctrlProps/ctrlProp49.xml><?xml version="1.0" encoding="utf-8"?>
<formControlPr xmlns="http://schemas.microsoft.com/office/spreadsheetml/2009/9/main" objectType="CheckBox" noThreeD="1" val="0"/>
</file>

<file path=xl/ctrlProps/ctrlProp50.xml><?xml version="1.0" encoding="utf-8"?>
<formControlPr xmlns="http://schemas.microsoft.com/office/spreadsheetml/2009/9/main" objectType="CheckBox" noThreeD="1" val="0"/>
</file>

<file path=xl/ctrlProps/ctrlProp51.xml><?xml version="1.0" encoding="utf-8"?>
<formControlPr xmlns="http://schemas.microsoft.com/office/spreadsheetml/2009/9/main" objectType="CheckBox" noThreeD="1" val="0"/>
</file>

<file path=xl/ctrlProps/ctrlProp52.xml><?xml version="1.0" encoding="utf-8"?>
<formControlPr xmlns="http://schemas.microsoft.com/office/spreadsheetml/2009/9/main" objectType="CheckBox" noThreeD="1" val="0"/>
</file>

<file path=xl/ctrlProps/ctrlProp53.xml><?xml version="1.0" encoding="utf-8"?>
<formControlPr xmlns="http://schemas.microsoft.com/office/spreadsheetml/2009/9/main" objectType="CheckBox" noThreeD="1" val="0"/>
</file>

<file path=xl/ctrlProps/ctrlProp54.xml><?xml version="1.0" encoding="utf-8"?>
<formControlPr xmlns="http://schemas.microsoft.com/office/spreadsheetml/2009/9/main" objectType="CheckBox" noThreeD="1" val="0"/>
</file>

<file path=xl/ctrlProps/ctrlProp57.xml><?xml version="1.0" encoding="utf-8"?>
<formControlPr xmlns="http://schemas.microsoft.com/office/spreadsheetml/2009/9/main" objectType="CheckBox" noThreeD="1" val="0"/>
</file>

<file path=xl/ctrlProps/ctrlProp58.xml><?xml version="1.0" encoding="utf-8"?>
<formControlPr xmlns="http://schemas.microsoft.com/office/spreadsheetml/2009/9/main" objectType="CheckBox" noThreeD="1" val="0"/>
</file>

<file path=xl/ctrlProps/ctrlProp59.xml><?xml version="1.0" encoding="utf-8"?>
<formControlPr xmlns="http://schemas.microsoft.com/office/spreadsheetml/2009/9/main" objectType="CheckBox" noThreeD="1" val="0"/>
</file>

<file path=xl/ctrlProps/ctrlProp60.xml><?xml version="1.0" encoding="utf-8"?>
<formControlPr xmlns="http://schemas.microsoft.com/office/spreadsheetml/2009/9/main" objectType="CheckBox" noThreeD="1" val="0"/>
</file>

<file path=xl/ctrlProps/ctrlProp62.xml><?xml version="1.0" encoding="utf-8"?>
<formControlPr xmlns="http://schemas.microsoft.com/office/spreadsheetml/2009/9/main" objectType="CheckBox" noThreeD="1" val="0"/>
</file>

<file path=xl/ctrlProps/ctrlProp64.xml><?xml version="1.0" encoding="utf-8"?>
<formControlPr xmlns="http://schemas.microsoft.com/office/spreadsheetml/2009/9/main" objectType="CheckBox" noThreeD="1" val="0"/>
</file>

<file path=xl/ctrlProps/ctrlProp65.xml><?xml version="1.0" encoding="utf-8"?>
<formControlPr xmlns="http://schemas.microsoft.com/office/spreadsheetml/2009/9/main" objectType="CheckBox" noThreeD="1" val="0"/>
</file>

<file path=xl/ctrlProps/ctrlProp66.xml><?xml version="1.0" encoding="utf-8"?>
<formControlPr xmlns="http://schemas.microsoft.com/office/spreadsheetml/2009/9/main" objectType="CheckBox" noThreeD="1" val="0"/>
</file>

<file path=xl/ctrlProps/ctrlProp68.xml><?xml version="1.0" encoding="utf-8"?>
<formControlPr xmlns="http://schemas.microsoft.com/office/spreadsheetml/2009/9/main" objectType="CheckBox" noThreeD="1" val="0"/>
</file>

<file path=xl/ctrlProps/ctrlProp69.xml><?xml version="1.0" encoding="utf-8"?>
<formControlPr xmlns="http://schemas.microsoft.com/office/spreadsheetml/2009/9/main" objectType="CheckBox" noThreeD="1" val="0"/>
</file>

<file path=xl/ctrlProps/ctrlProp70.xml><?xml version="1.0" encoding="utf-8"?>
<formControlPr xmlns="http://schemas.microsoft.com/office/spreadsheetml/2009/9/main" objectType="CheckBox" noThreeD="1" val="0"/>
</file>

<file path=xl/ctrlProps/ctrlProp71.xml><?xml version="1.0" encoding="utf-8"?>
<formControlPr xmlns="http://schemas.microsoft.com/office/spreadsheetml/2009/9/main" objectType="CheckBox" noThreeD="1" val="0"/>
</file>

<file path=xl/ctrlProps/ctrlProp72.xml><?xml version="1.0" encoding="utf-8"?>
<formControlPr xmlns="http://schemas.microsoft.com/office/spreadsheetml/2009/9/main" objectType="CheckBox" noThreeD="1" val="0"/>
</file>

<file path=xl/ctrlProps/ctrlProp73.xml><?xml version="1.0" encoding="utf-8"?>
<formControlPr xmlns="http://schemas.microsoft.com/office/spreadsheetml/2009/9/main" objectType="CheckBox" noThreeD="1" val="0"/>
</file>

<file path=xl/ctrlProps/ctrlProp74.xml><?xml version="1.0" encoding="utf-8"?>
<formControlPr xmlns="http://schemas.microsoft.com/office/spreadsheetml/2009/9/main" objectType="CheckBox" noThreeD="1" val="0"/>
</file>

<file path=xl/ctrlProps/ctrlProp76.xml><?xml version="1.0" encoding="utf-8"?>
<formControlPr xmlns="http://schemas.microsoft.com/office/spreadsheetml/2009/9/main" objectType="CheckBox" noThreeD="1" val="0"/>
</file>

<file path=xl/ctrlProps/ctrlProp77.xml><?xml version="1.0" encoding="utf-8"?>
<formControlPr xmlns="http://schemas.microsoft.com/office/spreadsheetml/2009/9/main" objectType="CheckBox" noThreeD="1" val="0"/>
</file>

<file path=xl/drawings/_rels/drawing3.xml.rels><?xml version="1.0" encoding="UTF-8" standalone="yes"?>
<Relationships xmlns="http://schemas.openxmlformats.org/package/2006/relationships"><Relationship Id="rId9" Type="http://schemas.openxmlformats.org/officeDocument/2006/relationships/hyperlink" Target="#Help!A1"/><Relationship Id="rId8" Type="http://schemas.openxmlformats.org/officeDocument/2006/relationships/image" Target="../media/image7.png"/><Relationship Id="rId7" Type="http://schemas.openxmlformats.org/officeDocument/2006/relationships/image" Target="../media/image6.png"/><Relationship Id="rId6" Type="http://schemas.openxmlformats.org/officeDocument/2006/relationships/image" Target="../media/image5.png"/><Relationship Id="rId5" Type="http://schemas.openxmlformats.org/officeDocument/2006/relationships/image" Target="../media/image4.png"/><Relationship Id="rId43" Type="http://schemas.openxmlformats.org/officeDocument/2006/relationships/image" Target="../media/image41.png"/><Relationship Id="rId42" Type="http://schemas.openxmlformats.org/officeDocument/2006/relationships/image" Target="../media/image40.png"/><Relationship Id="rId41" Type="http://schemas.openxmlformats.org/officeDocument/2006/relationships/image" Target="../media/image39.png"/><Relationship Id="rId40" Type="http://schemas.openxmlformats.org/officeDocument/2006/relationships/image" Target="../media/image38.png"/><Relationship Id="rId4" Type="http://schemas.openxmlformats.org/officeDocument/2006/relationships/image" Target="../media/image3.png"/><Relationship Id="rId39" Type="http://schemas.openxmlformats.org/officeDocument/2006/relationships/image" Target="../media/image37.png"/><Relationship Id="rId38" Type="http://schemas.openxmlformats.org/officeDocument/2006/relationships/image" Target="../media/image36.png"/><Relationship Id="rId37" Type="http://schemas.openxmlformats.org/officeDocument/2006/relationships/image" Target="../media/image35.png"/><Relationship Id="rId36" Type="http://schemas.openxmlformats.org/officeDocument/2006/relationships/image" Target="../media/image34.png"/><Relationship Id="rId35" Type="http://schemas.openxmlformats.org/officeDocument/2006/relationships/image" Target="../media/image33.png"/><Relationship Id="rId34" Type="http://schemas.openxmlformats.org/officeDocument/2006/relationships/image" Target="../media/image32.png"/><Relationship Id="rId33" Type="http://schemas.openxmlformats.org/officeDocument/2006/relationships/image" Target="../media/image31.png"/><Relationship Id="rId32" Type="http://schemas.openxmlformats.org/officeDocument/2006/relationships/image" Target="../media/image30.png"/><Relationship Id="rId31" Type="http://schemas.openxmlformats.org/officeDocument/2006/relationships/image" Target="../media/image29.png"/><Relationship Id="rId30" Type="http://schemas.openxmlformats.org/officeDocument/2006/relationships/image" Target="../media/image28.png"/><Relationship Id="rId3" Type="http://schemas.openxmlformats.org/officeDocument/2006/relationships/image" Target="../media/image2.png"/><Relationship Id="rId29" Type="http://schemas.openxmlformats.org/officeDocument/2006/relationships/image" Target="../media/image27.png"/><Relationship Id="rId28" Type="http://schemas.openxmlformats.org/officeDocument/2006/relationships/image" Target="../media/image26.png"/><Relationship Id="rId27" Type="http://schemas.openxmlformats.org/officeDocument/2006/relationships/image" Target="../media/image25.png"/><Relationship Id="rId26" Type="http://schemas.openxmlformats.org/officeDocument/2006/relationships/image" Target="../media/image24.png"/><Relationship Id="rId25" Type="http://schemas.openxmlformats.org/officeDocument/2006/relationships/image" Target="../media/image23.png"/><Relationship Id="rId24" Type="http://schemas.openxmlformats.org/officeDocument/2006/relationships/image" Target="../media/image22.png"/><Relationship Id="rId23" Type="http://schemas.openxmlformats.org/officeDocument/2006/relationships/image" Target="../media/image21.png"/><Relationship Id="rId22" Type="http://schemas.openxmlformats.org/officeDocument/2006/relationships/image" Target="../media/image20.png"/><Relationship Id="rId21" Type="http://schemas.openxmlformats.org/officeDocument/2006/relationships/image" Target="../media/image19.png"/><Relationship Id="rId20" Type="http://schemas.openxmlformats.org/officeDocument/2006/relationships/image" Target="../media/image18.png"/><Relationship Id="rId2" Type="http://schemas.openxmlformats.org/officeDocument/2006/relationships/hyperlink" Target="#HelpMenu"/><Relationship Id="rId19" Type="http://schemas.openxmlformats.org/officeDocument/2006/relationships/image" Target="../media/image17.png"/><Relationship Id="rId18" Type="http://schemas.openxmlformats.org/officeDocument/2006/relationships/image" Target="../media/image16.png"/><Relationship Id="rId17" Type="http://schemas.openxmlformats.org/officeDocument/2006/relationships/image" Target="../media/image15.png"/><Relationship Id="rId16" Type="http://schemas.openxmlformats.org/officeDocument/2006/relationships/image" Target="../media/image14.png"/><Relationship Id="rId15" Type="http://schemas.openxmlformats.org/officeDocument/2006/relationships/image" Target="../media/image13.png"/><Relationship Id="rId14" Type="http://schemas.openxmlformats.org/officeDocument/2006/relationships/image" Target="../media/image12.png"/><Relationship Id="rId13" Type="http://schemas.openxmlformats.org/officeDocument/2006/relationships/image" Target="../media/image11.png"/><Relationship Id="rId12" Type="http://schemas.openxmlformats.org/officeDocument/2006/relationships/image" Target="../media/image10.png"/><Relationship Id="rId11" Type="http://schemas.openxmlformats.org/officeDocument/2006/relationships/image" Target="../media/image9.png"/><Relationship Id="rId10"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9" Type="http://schemas.openxmlformats.org/officeDocument/2006/relationships/chart" Target="../charts/chart14.xml"/><Relationship Id="rId8" Type="http://schemas.openxmlformats.org/officeDocument/2006/relationships/chart" Target="../charts/chart13.xml"/><Relationship Id="rId7" Type="http://schemas.openxmlformats.org/officeDocument/2006/relationships/chart" Target="../charts/chart12.xml"/><Relationship Id="rId6" Type="http://schemas.openxmlformats.org/officeDocument/2006/relationships/chart" Target="../charts/chart11.xml"/><Relationship Id="rId5" Type="http://schemas.openxmlformats.org/officeDocument/2006/relationships/chart" Target="../charts/chart10.xml"/><Relationship Id="rId45" Type="http://schemas.openxmlformats.org/officeDocument/2006/relationships/image" Target="../media/image1.png"/><Relationship Id="rId44" Type="http://schemas.openxmlformats.org/officeDocument/2006/relationships/chart" Target="../charts/chart49.xml"/><Relationship Id="rId43" Type="http://schemas.openxmlformats.org/officeDocument/2006/relationships/chart" Target="../charts/chart48.xml"/><Relationship Id="rId42" Type="http://schemas.openxmlformats.org/officeDocument/2006/relationships/chart" Target="../charts/chart47.xml"/><Relationship Id="rId41" Type="http://schemas.openxmlformats.org/officeDocument/2006/relationships/chart" Target="../charts/chart46.xml"/><Relationship Id="rId40" Type="http://schemas.openxmlformats.org/officeDocument/2006/relationships/chart" Target="../charts/chart45.xml"/><Relationship Id="rId4" Type="http://schemas.openxmlformats.org/officeDocument/2006/relationships/chart" Target="../charts/chart9.xml"/><Relationship Id="rId39" Type="http://schemas.openxmlformats.org/officeDocument/2006/relationships/chart" Target="../charts/chart44.xml"/><Relationship Id="rId38" Type="http://schemas.openxmlformats.org/officeDocument/2006/relationships/chart" Target="../charts/chart43.xml"/><Relationship Id="rId37" Type="http://schemas.openxmlformats.org/officeDocument/2006/relationships/chart" Target="../charts/chart42.xml"/><Relationship Id="rId36" Type="http://schemas.openxmlformats.org/officeDocument/2006/relationships/chart" Target="../charts/chart41.xml"/><Relationship Id="rId35" Type="http://schemas.openxmlformats.org/officeDocument/2006/relationships/chart" Target="../charts/chart40.xml"/><Relationship Id="rId34" Type="http://schemas.openxmlformats.org/officeDocument/2006/relationships/chart" Target="../charts/chart39.xml"/><Relationship Id="rId33" Type="http://schemas.openxmlformats.org/officeDocument/2006/relationships/chart" Target="../charts/chart38.xml"/><Relationship Id="rId32" Type="http://schemas.openxmlformats.org/officeDocument/2006/relationships/chart" Target="../charts/chart37.xml"/><Relationship Id="rId31" Type="http://schemas.openxmlformats.org/officeDocument/2006/relationships/chart" Target="../charts/chart36.xml"/><Relationship Id="rId30" Type="http://schemas.openxmlformats.org/officeDocument/2006/relationships/chart" Target="../charts/chart35.xml"/><Relationship Id="rId3" Type="http://schemas.openxmlformats.org/officeDocument/2006/relationships/chart" Target="../charts/chart8.xml"/><Relationship Id="rId29" Type="http://schemas.openxmlformats.org/officeDocument/2006/relationships/chart" Target="../charts/chart34.xml"/><Relationship Id="rId28" Type="http://schemas.openxmlformats.org/officeDocument/2006/relationships/chart" Target="../charts/chart33.xml"/><Relationship Id="rId27" Type="http://schemas.openxmlformats.org/officeDocument/2006/relationships/chart" Target="../charts/chart32.xml"/><Relationship Id="rId26" Type="http://schemas.openxmlformats.org/officeDocument/2006/relationships/chart" Target="../charts/chart31.xml"/><Relationship Id="rId25" Type="http://schemas.openxmlformats.org/officeDocument/2006/relationships/chart" Target="../charts/chart30.xml"/><Relationship Id="rId24" Type="http://schemas.openxmlformats.org/officeDocument/2006/relationships/chart" Target="../charts/chart29.xml"/><Relationship Id="rId23" Type="http://schemas.openxmlformats.org/officeDocument/2006/relationships/chart" Target="../charts/chart28.xml"/><Relationship Id="rId22" Type="http://schemas.openxmlformats.org/officeDocument/2006/relationships/chart" Target="../charts/chart27.xml"/><Relationship Id="rId21" Type="http://schemas.openxmlformats.org/officeDocument/2006/relationships/chart" Target="../charts/chart26.xml"/><Relationship Id="rId20" Type="http://schemas.openxmlformats.org/officeDocument/2006/relationships/chart" Target="../charts/chart25.xml"/><Relationship Id="rId2" Type="http://schemas.openxmlformats.org/officeDocument/2006/relationships/chart" Target="../charts/chart7.xml"/><Relationship Id="rId19" Type="http://schemas.openxmlformats.org/officeDocument/2006/relationships/chart" Target="../charts/chart24.xml"/><Relationship Id="rId18" Type="http://schemas.openxmlformats.org/officeDocument/2006/relationships/chart" Target="../charts/chart23.xml"/><Relationship Id="rId17" Type="http://schemas.openxmlformats.org/officeDocument/2006/relationships/chart" Target="../charts/chart22.xml"/><Relationship Id="rId16" Type="http://schemas.openxmlformats.org/officeDocument/2006/relationships/chart" Target="../charts/chart21.xml"/><Relationship Id="rId15" Type="http://schemas.openxmlformats.org/officeDocument/2006/relationships/chart" Target="../charts/chart20.xml"/><Relationship Id="rId14" Type="http://schemas.openxmlformats.org/officeDocument/2006/relationships/chart" Target="../charts/chart19.xml"/><Relationship Id="rId13" Type="http://schemas.openxmlformats.org/officeDocument/2006/relationships/chart" Target="../charts/chart18.xml"/><Relationship Id="rId12" Type="http://schemas.openxmlformats.org/officeDocument/2006/relationships/chart" Target="../charts/chart17.xml"/><Relationship Id="rId11" Type="http://schemas.openxmlformats.org/officeDocument/2006/relationships/chart" Target="../charts/chart16.xml"/><Relationship Id="rId10" Type="http://schemas.openxmlformats.org/officeDocument/2006/relationships/chart" Target="../charts/chart15.xml"/><Relationship Id="rId1"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image" Target="../media/image6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9" Type="http://schemas.openxmlformats.org/officeDocument/2006/relationships/image" Target="../media/image50.wmf"/><Relationship Id="rId8" Type="http://schemas.openxmlformats.org/officeDocument/2006/relationships/image" Target="../media/image49.wmf"/><Relationship Id="rId7" Type="http://schemas.openxmlformats.org/officeDocument/2006/relationships/image" Target="../media/image48.wmf"/><Relationship Id="rId6" Type="http://schemas.openxmlformats.org/officeDocument/2006/relationships/image" Target="../media/image47.wmf"/><Relationship Id="rId5" Type="http://schemas.openxmlformats.org/officeDocument/2006/relationships/image" Target="../media/image46.wmf"/><Relationship Id="rId4" Type="http://schemas.openxmlformats.org/officeDocument/2006/relationships/image" Target="../media/image45.wmf"/><Relationship Id="rId3" Type="http://schemas.openxmlformats.org/officeDocument/2006/relationships/image" Target="../media/image44.wmf"/><Relationship Id="rId2" Type="http://schemas.openxmlformats.org/officeDocument/2006/relationships/image" Target="../media/image43.wmf"/><Relationship Id="rId19" Type="http://schemas.openxmlformats.org/officeDocument/2006/relationships/image" Target="../media/image60.wmf"/><Relationship Id="rId18" Type="http://schemas.openxmlformats.org/officeDocument/2006/relationships/image" Target="../media/image59.wmf"/><Relationship Id="rId17" Type="http://schemas.openxmlformats.org/officeDocument/2006/relationships/image" Target="../media/image58.wmf"/><Relationship Id="rId16" Type="http://schemas.openxmlformats.org/officeDocument/2006/relationships/image" Target="../media/image57.wmf"/><Relationship Id="rId15" Type="http://schemas.openxmlformats.org/officeDocument/2006/relationships/image" Target="../media/image56.wmf"/><Relationship Id="rId14" Type="http://schemas.openxmlformats.org/officeDocument/2006/relationships/image" Target="../media/image55.wmf"/><Relationship Id="rId13" Type="http://schemas.openxmlformats.org/officeDocument/2006/relationships/image" Target="../media/image54.wmf"/><Relationship Id="rId12" Type="http://schemas.openxmlformats.org/officeDocument/2006/relationships/image" Target="../media/image53.wmf"/><Relationship Id="rId11" Type="http://schemas.openxmlformats.org/officeDocument/2006/relationships/image" Target="../media/image52.wmf"/><Relationship Id="rId10" Type="http://schemas.openxmlformats.org/officeDocument/2006/relationships/image" Target="../media/image51.wmf"/><Relationship Id="rId1" Type="http://schemas.openxmlformats.org/officeDocument/2006/relationships/image" Target="../media/image42.w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wmf"/><Relationship Id="rId1" Type="http://schemas.openxmlformats.org/officeDocument/2006/relationships/image" Target="../media/image61.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3.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4.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5.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6.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7.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w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0.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1.w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2.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3.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0</xdr:row>
      <xdr:rowOff>28570</xdr:rowOff>
    </xdr:from>
    <xdr:to>
      <xdr:col>6</xdr:col>
      <xdr:colOff>1133475</xdr:colOff>
      <xdr:row>1</xdr:row>
      <xdr:rowOff>14781</xdr:rowOff>
    </xdr:to>
    <xdr:sp>
      <xdr:nvSpPr>
        <xdr:cNvPr id="4" name="Round Single Corner Rectangle 3"/>
        <xdr:cNvSpPr/>
      </xdr:nvSpPr>
      <xdr:spPr>
        <a:xfrm rot="10800000" flipH="1">
          <a:off x="38100" y="27940"/>
          <a:ext cx="9311640" cy="394335"/>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xdr:nvSpPr>
        <xdr:cNvPr id="5" name="TextBox 4"/>
        <xdr:cNvSpPr txBox="1"/>
      </xdr:nvSpPr>
      <xdr:spPr>
        <a:xfrm>
          <a:off x="66675" y="28575"/>
          <a:ext cx="830643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endParaRPr lang="en-US" sz="1600" b="1"/>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15240</xdr:colOff>
      <xdr:row>46</xdr:row>
      <xdr:rowOff>7621</xdr:rowOff>
    </xdr:from>
    <xdr:to>
      <xdr:col>7</xdr:col>
      <xdr:colOff>594360</xdr:colOff>
      <xdr:row>52</xdr:row>
      <xdr:rowOff>99060</xdr:rowOff>
    </xdr:to>
    <xdr:sp>
      <xdr:nvSpPr>
        <xdr:cNvPr id="2" name="Text Box 288"/>
        <xdr:cNvSpPr txBox="1">
          <a:spLocks noChangeArrowheads="1"/>
        </xdr:cNvSpPr>
      </xdr:nvSpPr>
      <xdr:spPr>
        <a:xfrm>
          <a:off x="962025" y="7197725"/>
          <a:ext cx="5781675" cy="1062990"/>
        </a:xfrm>
        <a:prstGeom prst="rect">
          <a:avLst/>
        </a:prstGeom>
        <a:noFill/>
        <a:ln w="9525">
          <a:noFill/>
          <a:miter lim="800000"/>
        </a:ln>
      </xdr:spPr>
      <xdr:txBody>
        <a:bodyPr vertOverflow="clip" wrap="square" lIns="27432" tIns="22860" rIns="0" bIns="0" anchor="t" upright="1"/>
        <a:lstStyle/>
        <a:p>
          <a:pPr algn="l" rtl="1">
            <a:defRPr sz="1000"/>
          </a:pPr>
          <a:r>
            <a:rPr lang="en-US" sz="900" b="1" i="0" strike="noStrike">
              <a:solidFill>
                <a:srgbClr val="3F33D9"/>
              </a:solidFill>
              <a:latin typeface="Arial" panose="020B0604020202020204" pitchFamily="7" charset="0"/>
              <a:cs typeface="Arial" panose="020B0604020202020204" pitchFamily="7" charset="0"/>
            </a:rPr>
            <a:t>©  2012 -2014</a:t>
          </a:r>
          <a:r>
            <a:rPr lang="en-US" sz="900" b="1" i="0" strike="noStrike" baseline="0">
              <a:solidFill>
                <a:srgbClr val="3F33D9"/>
              </a:solidFill>
              <a:latin typeface="Arial" panose="020B0604020202020204" pitchFamily="7" charset="0"/>
              <a:cs typeface="Arial" panose="020B0604020202020204" pitchFamily="7" charset="0"/>
            </a:rPr>
            <a:t>  </a:t>
          </a:r>
          <a:r>
            <a:rPr lang="en-US" sz="900" b="1" i="0" strike="noStrike">
              <a:solidFill>
                <a:srgbClr val="3F33D9"/>
              </a:solidFill>
              <a:latin typeface="Arial" panose="020B0604020202020204" pitchFamily="7" charset="0"/>
              <a:cs typeface="Arial" panose="020B0604020202020204" pitchFamily="7" charset="0"/>
            </a:rPr>
            <a:t>Dr. Vladimir Zlatev, All rights reserved.</a:t>
          </a:r>
          <a:endParaRPr lang="en-US" sz="900" b="0" i="0" strike="noStrike">
            <a:solidFill>
              <a:srgbClr val="3F33D9"/>
            </a:solidFill>
            <a:latin typeface="Arial" panose="020B0604020202020204" pitchFamily="7" charset="0"/>
            <a:cs typeface="Arial" panose="020B0604020202020204" pitchFamily="7" charset="0"/>
          </a:endParaRPr>
        </a:p>
        <a:p>
          <a:pPr algn="l" rtl="1">
            <a:defRPr sz="1000"/>
          </a:pPr>
          <a:endParaRPr lang="en-US" sz="900" b="0" i="0" strike="noStrike">
            <a:solidFill>
              <a:srgbClr val="3F33D9"/>
            </a:solidFill>
            <a:latin typeface="Arial" panose="020B0604020202020204" pitchFamily="7" charset="0"/>
            <a:cs typeface="Arial" panose="020B0604020202020204" pitchFamily="7" charset="0"/>
          </a:endParaRPr>
        </a:p>
        <a:p>
          <a:pPr marL="0" marR="0" indent="0" algn="l" defTabSz="914400" rtl="1" eaLnBrk="1" fontAlgn="auto" latinLnBrk="0" hangingPunct="1">
            <a:lnSpc>
              <a:spcPct val="100000"/>
            </a:lnSpc>
            <a:spcBef>
              <a:spcPts val="0"/>
            </a:spcBef>
            <a:spcAft>
              <a:spcPts val="0"/>
            </a:spcAft>
            <a:buClrTx/>
            <a:buSzTx/>
            <a:buFontTx/>
            <a:buNone/>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anose="020B0604020202020204" pitchFamily="7" charset="0"/>
              <a:cs typeface="Arial" panose="020B0604020202020204" pitchFamily="7" charset="0"/>
            </a:rPr>
            <a:t>.</a:t>
          </a:r>
          <a:endParaRPr lang="en-US" sz="900" b="0" i="0" strike="noStrike">
            <a:solidFill>
              <a:schemeClr val="accent1"/>
            </a:solidFill>
            <a:latin typeface="Arial" panose="020B0604020202020204" pitchFamily="7" charset="0"/>
            <a:cs typeface="Arial" panose="020B0604020202020204" pitchFamily="7"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xdr:nvSpPr>
            <xdr:cNvPr id="24577" name="ListBox1" hidden="1">
              <a:extLst>
                <a:ext uri="{63B3BB69-23CF-44E3-9099-C40C66FF867C}">
                  <a14:compatExt spid="_x0000_s24577"/>
                </a:ext>
              </a:extLst>
            </xdr:cNvPr>
            <xdr:cNvSpPr/>
          </xdr:nvSpPr>
          <xdr:spPr>
            <a:xfrm>
              <a:off x="1468120" y="685800"/>
              <a:ext cx="3493770" cy="19221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xdr:nvSpPr>
            <xdr:cNvPr id="24581" name="ListBox4" hidden="1">
              <a:extLst>
                <a:ext uri="{63B3BB69-23CF-44E3-9099-C40C66FF867C}">
                  <a14:compatExt spid="_x0000_s24581"/>
                </a:ext>
              </a:extLst>
            </xdr:cNvPr>
            <xdr:cNvSpPr/>
          </xdr:nvSpPr>
          <xdr:spPr>
            <a:xfrm>
              <a:off x="1343025" y="4601210"/>
              <a:ext cx="3618865" cy="561975"/>
            </a:xfrm>
            <a:prstGeom prst="rect">
              <a:avLst/>
            </a:prstGeom>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r:embed="rId1"/>
        <a:stretch>
          <a:fillRect/>
        </a:stretch>
      </xdr:blipFill>
      <xdr:spPr>
        <a:xfrm>
          <a:off x="145415" y="44450"/>
          <a:ext cx="464820" cy="44640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xdr:nvSpPr>
            <xdr:cNvPr id="24582" name="gotoprojectstart" hidden="1">
              <a:extLst>
                <a:ext uri="{63B3BB69-23CF-44E3-9099-C40C66FF867C}">
                  <a14:compatExt spid="_x0000_s24582"/>
                </a:ext>
              </a:extLst>
            </xdr:cNvPr>
            <xdr:cNvSpPr/>
          </xdr:nvSpPr>
          <xdr:spPr>
            <a:xfrm>
              <a:off x="3691255" y="4410710"/>
              <a:ext cx="1270635" cy="2190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xdr:nvSpPr>
            <xdr:cNvPr id="24584" name="gotosim" hidden="1">
              <a:extLst>
                <a:ext uri="{63B3BB69-23CF-44E3-9099-C40C66FF867C}">
                  <a14:compatExt spid="_x0000_s24584"/>
                </a:ext>
              </a:extLst>
            </xdr:cNvPr>
            <xdr:cNvSpPr/>
          </xdr:nvSpPr>
          <xdr:spPr>
            <a:xfrm>
              <a:off x="3615055" y="504825"/>
              <a:ext cx="1337310" cy="228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xdr:nvSpPr>
            <xdr:cNvPr id="24585" name="goto36mo" hidden="1">
              <a:extLst>
                <a:ext uri="{63B3BB69-23CF-44E3-9099-C40C66FF867C}">
                  <a14:compatExt spid="_x0000_s24585"/>
                </a:ext>
              </a:extLst>
            </xdr:cNvPr>
            <xdr:cNvSpPr/>
          </xdr:nvSpPr>
          <xdr:spPr>
            <a:xfrm>
              <a:off x="8104505" y="504825"/>
              <a:ext cx="1307465" cy="228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xdr:nvSpPr>
            <xdr:cNvPr id="24586" name="gotoperformance" hidden="1">
              <a:extLst>
                <a:ext uri="{63B3BB69-23CF-44E3-9099-C40C66FF867C}">
                  <a14:compatExt spid="_x0000_s24586"/>
                </a:ext>
              </a:extLst>
            </xdr:cNvPr>
            <xdr:cNvSpPr/>
          </xdr:nvSpPr>
          <xdr:spPr>
            <a:xfrm>
              <a:off x="8085455" y="1836420"/>
              <a:ext cx="130746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xdr:nvSpPr>
            <xdr:cNvPr id="24587" name="gotodanalysis" hidden="1">
              <a:extLst>
                <a:ext uri="{63B3BB69-23CF-44E3-9099-C40C66FF867C}">
                  <a14:compatExt spid="_x0000_s24587"/>
                </a:ext>
              </a:extLst>
            </xdr:cNvPr>
            <xdr:cNvSpPr/>
          </xdr:nvSpPr>
          <xdr:spPr>
            <a:xfrm>
              <a:off x="8104505" y="3084195"/>
              <a:ext cx="130746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xdr:nvSpPr>
            <xdr:cNvPr id="24588" name="gotomktg" hidden="1">
              <a:extLst>
                <a:ext uri="{63B3BB69-23CF-44E3-9099-C40C66FF867C}">
                  <a14:compatExt spid="_x0000_s24588"/>
                </a:ext>
              </a:extLst>
            </xdr:cNvPr>
            <xdr:cNvSpPr/>
          </xdr:nvSpPr>
          <xdr:spPr>
            <a:xfrm>
              <a:off x="12554585" y="504825"/>
              <a:ext cx="1307465" cy="228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xdr:nvSpPr>
            <xdr:cNvPr id="24589" name="gotoinn" hidden="1">
              <a:extLst>
                <a:ext uri="{63B3BB69-23CF-44E3-9099-C40C66FF867C}">
                  <a14:compatExt spid="_x0000_s24589"/>
                </a:ext>
              </a:extLst>
            </xdr:cNvPr>
            <xdr:cNvSpPr/>
          </xdr:nvSpPr>
          <xdr:spPr>
            <a:xfrm>
              <a:off x="12545060" y="1645920"/>
              <a:ext cx="1307465" cy="228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xdr:nvSpPr>
            <xdr:cNvPr id="24590" name="gotooper" hidden="1">
              <a:extLst>
                <a:ext uri="{63B3BB69-23CF-44E3-9099-C40C66FF867C}">
                  <a14:compatExt spid="_x0000_s24590"/>
                </a:ext>
              </a:extLst>
            </xdr:cNvPr>
            <xdr:cNvSpPr/>
          </xdr:nvSpPr>
          <xdr:spPr>
            <a:xfrm>
              <a:off x="12545060" y="2655570"/>
              <a:ext cx="1307465" cy="2286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xdr:nvSpPr>
            <xdr:cNvPr id="24591" name="gotofin" hidden="1">
              <a:extLst>
                <a:ext uri="{63B3BB69-23CF-44E3-9099-C40C66FF867C}">
                  <a14:compatExt spid="_x0000_s24591"/>
                </a:ext>
              </a:extLst>
            </xdr:cNvPr>
            <xdr:cNvSpPr/>
          </xdr:nvSpPr>
          <xdr:spPr>
            <a:xfrm>
              <a:off x="12545060" y="3484245"/>
              <a:ext cx="1307465"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xdr:nvSpPr>
            <xdr:cNvPr id="24592" name="gotoorg" hidden="1">
              <a:extLst>
                <a:ext uri="{63B3BB69-23CF-44E3-9099-C40C66FF867C}">
                  <a14:compatExt spid="_x0000_s24592"/>
                </a:ext>
              </a:extLst>
            </xdr:cNvPr>
            <xdr:cNvSpPr/>
          </xdr:nvSpPr>
          <xdr:spPr>
            <a:xfrm>
              <a:off x="12545060" y="4191635"/>
              <a:ext cx="1307465" cy="247650"/>
            </a:xfrm>
            <a:prstGeom prst="rect">
              <a:avLst/>
            </a:prstGeom>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r:embed="rId3"/>
        <a:stretch>
          <a:fillRect/>
        </a:stretch>
      </xdr:blipFill>
      <xdr:spPr>
        <a:xfrm>
          <a:off x="504825" y="9106535"/>
          <a:ext cx="6548120" cy="2466340"/>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r:embed="rId4"/>
        <a:stretch>
          <a:fillRect/>
        </a:stretch>
      </xdr:blipFill>
      <xdr:spPr>
        <a:xfrm>
          <a:off x="381000" y="12011660"/>
          <a:ext cx="7206615" cy="2742565"/>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r:embed="rId5"/>
        <a:stretch>
          <a:fillRect/>
        </a:stretch>
      </xdr:blipFill>
      <xdr:spPr>
        <a:xfrm>
          <a:off x="647700" y="15316835"/>
          <a:ext cx="7360285" cy="3580765"/>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r:embed="rId6"/>
        <a:stretch>
          <a:fillRect/>
        </a:stretch>
      </xdr:blipFill>
      <xdr:spPr>
        <a:xfrm>
          <a:off x="895350" y="18945860"/>
          <a:ext cx="6635115" cy="5637530"/>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r:embed="rId7"/>
        <a:stretch>
          <a:fillRect/>
        </a:stretch>
      </xdr:blipFill>
      <xdr:spPr>
        <a:xfrm>
          <a:off x="657225" y="25079960"/>
          <a:ext cx="6109970" cy="313690"/>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r:embed="rId8"/>
        <a:stretch>
          <a:fillRect/>
        </a:stretch>
      </xdr:blipFill>
      <xdr:spPr>
        <a:xfrm>
          <a:off x="523875" y="25727660"/>
          <a:ext cx="6386195" cy="447040"/>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r:embed="rId10"/>
        <a:stretch>
          <a:fillRect/>
        </a:stretch>
      </xdr:blipFill>
      <xdr:spPr>
        <a:xfrm>
          <a:off x="542925" y="26422985"/>
          <a:ext cx="6148070" cy="475615"/>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r:embed="rId11"/>
        <a:stretch>
          <a:fillRect/>
        </a:stretch>
      </xdr:blipFill>
      <xdr:spPr>
        <a:xfrm>
          <a:off x="504825" y="27108785"/>
          <a:ext cx="6338570" cy="447040"/>
        </a:xfrm>
        <a:prstGeom prst="rect">
          <a:avLst/>
        </a:prstGeom>
      </xdr:spPr>
    </xdr:pic>
    <xdr:clientData/>
  </xdr:twoCellAnchor>
  <xdr:twoCellAnchor editAs="oneCell">
    <xdr:from>
      <xdr:col>0</xdr:col>
      <xdr:colOff>428625</xdr:colOff>
      <xdr:row>145</xdr:row>
      <xdr:rowOff>9525</xdr:rowOff>
    </xdr:from>
    <xdr:to>
      <xdr:col>9</xdr:col>
      <xdr:colOff>85048</xdr:colOff>
      <xdr:row>148</xdr:row>
      <xdr:rowOff>9456</xdr:rowOff>
    </xdr:to>
    <xdr:pic>
      <xdr:nvPicPr>
        <xdr:cNvPr id="8" name="Picture 7">
          <a:hlinkClick xmlns:r="http://schemas.openxmlformats.org/officeDocument/2006/relationships" r:id="rId9"/>
        </xdr:cNvPr>
        <xdr:cNvPicPr>
          <a:picLocks noChangeAspect="1"/>
        </xdr:cNvPicPr>
      </xdr:nvPicPr>
      <xdr:blipFill>
        <a:blip r:embed="rId12"/>
        <a:stretch>
          <a:fillRect/>
        </a:stretch>
      </xdr:blipFill>
      <xdr:spPr>
        <a:xfrm>
          <a:off x="428625" y="27766010"/>
          <a:ext cx="6262370" cy="513715"/>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r:embed="rId13"/>
        <a:stretch>
          <a:fillRect/>
        </a:stretch>
      </xdr:blipFill>
      <xdr:spPr>
        <a:xfrm>
          <a:off x="457200" y="28489910"/>
          <a:ext cx="5795010" cy="380365"/>
        </a:xfrm>
        <a:prstGeom prst="rect">
          <a:avLst/>
        </a:prstGeom>
      </xdr:spPr>
    </xdr:pic>
    <xdr:clientData/>
  </xdr:twoCellAnchor>
  <xdr:twoCellAnchor editAs="oneCell">
    <xdr:from>
      <xdr:col>0</xdr:col>
      <xdr:colOff>476250</xdr:colOff>
      <xdr:row>153</xdr:row>
      <xdr:rowOff>66675</xdr:rowOff>
    </xdr:from>
    <xdr:to>
      <xdr:col>9</xdr:col>
      <xdr:colOff>104101</xdr:colOff>
      <xdr:row>155</xdr:row>
      <xdr:rowOff>19011</xdr:rowOff>
    </xdr:to>
    <xdr:pic>
      <xdr:nvPicPr>
        <xdr:cNvPr id="10" name="Picture 9">
          <a:hlinkClick xmlns:r="http://schemas.openxmlformats.org/officeDocument/2006/relationships" r:id="rId9"/>
        </xdr:cNvPr>
        <xdr:cNvPicPr>
          <a:picLocks noChangeAspect="1"/>
        </xdr:cNvPicPr>
      </xdr:nvPicPr>
      <xdr:blipFill>
        <a:blip r:embed="rId14"/>
        <a:stretch>
          <a:fillRect/>
        </a:stretch>
      </xdr:blipFill>
      <xdr:spPr>
        <a:xfrm>
          <a:off x="476250" y="29194760"/>
          <a:ext cx="6233795" cy="294640"/>
        </a:xfrm>
        <a:prstGeom prst="rect">
          <a:avLst/>
        </a:prstGeom>
      </xdr:spPr>
    </xdr:pic>
    <xdr:clientData/>
  </xdr:twoCellAnchor>
  <xdr:twoCellAnchor editAs="oneCell">
    <xdr:from>
      <xdr:col>0</xdr:col>
      <xdr:colOff>428625</xdr:colOff>
      <xdr:row>157</xdr:row>
      <xdr:rowOff>28575</xdr:rowOff>
    </xdr:from>
    <xdr:to>
      <xdr:col>8</xdr:col>
      <xdr:colOff>599409</xdr:colOff>
      <xdr:row>161</xdr:row>
      <xdr:rowOff>9435</xdr:rowOff>
    </xdr:to>
    <xdr:pic>
      <xdr:nvPicPr>
        <xdr:cNvPr id="11" name="Picture 10">
          <a:hlinkClick xmlns:r="http://schemas.openxmlformats.org/officeDocument/2006/relationships" r:id="rId9"/>
        </xdr:cNvPr>
        <xdr:cNvPicPr>
          <a:picLocks noChangeAspect="1"/>
        </xdr:cNvPicPr>
      </xdr:nvPicPr>
      <xdr:blipFill>
        <a:blip r:embed="rId15"/>
        <a:stretch>
          <a:fillRect/>
        </a:stretch>
      </xdr:blipFill>
      <xdr:spPr>
        <a:xfrm>
          <a:off x="428625" y="29842460"/>
          <a:ext cx="6080125" cy="666115"/>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r:embed="rId16"/>
        <a:stretch>
          <a:fillRect/>
        </a:stretch>
      </xdr:blipFill>
      <xdr:spPr>
        <a:xfrm>
          <a:off x="485775" y="33881060"/>
          <a:ext cx="5880100" cy="1170940"/>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a:blip r:embed="rId17" cstate="email"/>
        <a:srcRect t="1099"/>
        <a:stretch>
          <a:fillRect/>
        </a:stretch>
      </xdr:blipFill>
      <xdr:spPr>
        <a:xfrm>
          <a:off x="304800" y="35357435"/>
          <a:ext cx="6652895" cy="6170930"/>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xdr:nvSpPr>
        <xdr:cNvPr id="31" name="TextBox 30"/>
        <xdr:cNvSpPr txBox="1"/>
      </xdr:nvSpPr>
      <xdr:spPr>
        <a:xfrm>
          <a:off x="2383155" y="37624385"/>
          <a:ext cx="46037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rPr>
            <a:t>http://probarserv.com/quantities-for-beer-and-wine-bar.html)</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xdr:nvSpPr>
            <xdr:cNvPr id="24593" name="ListBox2" hidden="1">
              <a:extLst>
                <a:ext uri="{63B3BB69-23CF-44E3-9099-C40C66FF867C}">
                  <a14:compatExt spid="_x0000_s24593"/>
                </a:ext>
              </a:extLst>
            </xdr:cNvPr>
            <xdr:cNvSpPr/>
          </xdr:nvSpPr>
          <xdr:spPr>
            <a:xfrm>
              <a:off x="5784850" y="2074545"/>
              <a:ext cx="3617595" cy="809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xdr:nvSpPr>
            <xdr:cNvPr id="24594" name="ListBox3" hidden="1">
              <a:extLst>
                <a:ext uri="{63B3BB69-23CF-44E3-9099-C40C66FF867C}">
                  <a14:compatExt spid="_x0000_s24594"/>
                </a:ext>
              </a:extLst>
            </xdr:cNvPr>
            <xdr:cNvSpPr/>
          </xdr:nvSpPr>
          <xdr:spPr>
            <a:xfrm>
              <a:off x="5784850" y="695325"/>
              <a:ext cx="3617595" cy="9505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xdr:nvSpPr>
            <xdr:cNvPr id="24596" name="ListBox5" hidden="1">
              <a:extLst>
                <a:ext uri="{63B3BB69-23CF-44E3-9099-C40C66FF867C}">
                  <a14:compatExt spid="_x0000_s24596"/>
                </a:ext>
              </a:extLst>
            </xdr:cNvPr>
            <xdr:cNvSpPr/>
          </xdr:nvSpPr>
          <xdr:spPr>
            <a:xfrm>
              <a:off x="5813425" y="3312795"/>
              <a:ext cx="3617595" cy="9455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xdr:nvSpPr>
            <xdr:cNvPr id="24597" name="ListBox6" hidden="1">
              <a:extLst>
                <a:ext uri="{63B3BB69-23CF-44E3-9099-C40C66FF867C}">
                  <a14:compatExt spid="_x0000_s24597"/>
                </a:ext>
              </a:extLst>
            </xdr:cNvPr>
            <xdr:cNvSpPr/>
          </xdr:nvSpPr>
          <xdr:spPr>
            <a:xfrm>
              <a:off x="10253980" y="685800"/>
              <a:ext cx="3608070" cy="8096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xdr:nvSpPr>
            <xdr:cNvPr id="24598" name="ListBox7" hidden="1">
              <a:extLst>
                <a:ext uri="{63B3BB69-23CF-44E3-9099-C40C66FF867C}">
                  <a14:compatExt spid="_x0000_s24598"/>
                </a:ext>
              </a:extLst>
            </xdr:cNvPr>
            <xdr:cNvSpPr/>
          </xdr:nvSpPr>
          <xdr:spPr>
            <a:xfrm>
              <a:off x="10234930" y="1836420"/>
              <a:ext cx="3627120" cy="419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xdr:nvSpPr>
            <xdr:cNvPr id="24599" name="ListBox8" hidden="1">
              <a:extLst>
                <a:ext uri="{63B3BB69-23CF-44E3-9099-C40C66FF867C}">
                  <a14:compatExt spid="_x0000_s24599"/>
                </a:ext>
              </a:extLst>
            </xdr:cNvPr>
            <xdr:cNvSpPr/>
          </xdr:nvSpPr>
          <xdr:spPr>
            <a:xfrm>
              <a:off x="10225405" y="2846070"/>
              <a:ext cx="3617595" cy="590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xdr:nvSpPr>
            <xdr:cNvPr id="24600" name="ListBox9" hidden="1">
              <a:extLst>
                <a:ext uri="{63B3BB69-23CF-44E3-9099-C40C66FF867C}">
                  <a14:compatExt spid="_x0000_s24600"/>
                </a:ext>
              </a:extLst>
            </xdr:cNvPr>
            <xdr:cNvSpPr/>
          </xdr:nvSpPr>
          <xdr:spPr>
            <a:xfrm>
              <a:off x="10225405" y="3674745"/>
              <a:ext cx="3617595" cy="419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xdr:nvSpPr>
            <xdr:cNvPr id="24601" name="ListBox10" hidden="1">
              <a:extLst>
                <a:ext uri="{63B3BB69-23CF-44E3-9099-C40C66FF867C}">
                  <a14:compatExt spid="_x0000_s24601"/>
                </a:ext>
              </a:extLst>
            </xdr:cNvPr>
            <xdr:cNvSpPr/>
          </xdr:nvSpPr>
          <xdr:spPr>
            <a:xfrm>
              <a:off x="10225405" y="4420235"/>
              <a:ext cx="3617595" cy="390525"/>
            </a:xfrm>
            <a:prstGeom prst="rect">
              <a:avLst/>
            </a:prstGeom>
          </xdr:spPr>
        </xdr:sp>
        <xdr:clientData/>
      </xdr:twoCellAnchor>
    </mc:Choice>
    <mc:Fallback/>
  </mc:AlternateContent>
  <xdr:twoCellAnchor editAs="oneCell">
    <xdr:from>
      <xdr:col>0</xdr:col>
      <xdr:colOff>523875</xdr:colOff>
      <xdr:row>237</xdr:row>
      <xdr:rowOff>57150</xdr:rowOff>
    </xdr:from>
    <xdr:to>
      <xdr:col>8</xdr:col>
      <xdr:colOff>590550</xdr:colOff>
      <xdr:row>240</xdr:row>
      <xdr:rowOff>2579</xdr:rowOff>
    </xdr:to>
    <xdr:pic>
      <xdr:nvPicPr>
        <xdr:cNvPr id="12" name="Picture 11">
          <a:hlinkClick xmlns:r="http://schemas.openxmlformats.org/officeDocument/2006/relationships" r:id="rId9"/>
        </xdr:cNvPr>
        <xdr:cNvPicPr>
          <a:picLocks noChangeAspect="1"/>
        </xdr:cNvPicPr>
      </xdr:nvPicPr>
      <xdr:blipFill>
        <a:blip r:embed="rId18"/>
        <a:stretch>
          <a:fillRect/>
        </a:stretch>
      </xdr:blipFill>
      <xdr:spPr>
        <a:xfrm>
          <a:off x="523875" y="43606085"/>
          <a:ext cx="5976620" cy="459740"/>
        </a:xfrm>
        <a:prstGeom prst="rect">
          <a:avLst/>
        </a:prstGeom>
      </xdr:spPr>
    </xdr:pic>
    <xdr:clientData/>
  </xdr:twoCellAnchor>
  <xdr:twoCellAnchor editAs="oneCell">
    <xdr:from>
      <xdr:col>0</xdr:col>
      <xdr:colOff>457200</xdr:colOff>
      <xdr:row>242</xdr:row>
      <xdr:rowOff>19050</xdr:rowOff>
    </xdr:from>
    <xdr:to>
      <xdr:col>9</xdr:col>
      <xdr:colOff>313623</xdr:colOff>
      <xdr:row>244</xdr:row>
      <xdr:rowOff>9481</xdr:rowOff>
    </xdr:to>
    <xdr:pic>
      <xdr:nvPicPr>
        <xdr:cNvPr id="13" name="Picture 12">
          <a:hlinkClick xmlns:r="http://schemas.openxmlformats.org/officeDocument/2006/relationships" r:id="rId9"/>
        </xdr:cNvPr>
        <xdr:cNvPicPr>
          <a:picLocks noChangeAspect="1"/>
        </xdr:cNvPicPr>
      </xdr:nvPicPr>
      <xdr:blipFill>
        <a:blip r:embed="rId19"/>
        <a:stretch>
          <a:fillRect/>
        </a:stretch>
      </xdr:blipFill>
      <xdr:spPr>
        <a:xfrm>
          <a:off x="457200" y="44453810"/>
          <a:ext cx="6462395" cy="332740"/>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r:embed="rId20"/>
        <a:stretch>
          <a:fillRect/>
        </a:stretch>
      </xdr:blipFill>
      <xdr:spPr>
        <a:xfrm>
          <a:off x="504825" y="46101635"/>
          <a:ext cx="6405245" cy="351790"/>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r:embed="rId21"/>
        <a:stretch>
          <a:fillRect/>
        </a:stretch>
      </xdr:blipFill>
      <xdr:spPr>
        <a:xfrm>
          <a:off x="504825" y="46854110"/>
          <a:ext cx="6433820" cy="494665"/>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r:embed="rId22"/>
        <a:stretch>
          <a:fillRect/>
        </a:stretch>
      </xdr:blipFill>
      <xdr:spPr>
        <a:xfrm>
          <a:off x="466725" y="50092610"/>
          <a:ext cx="6471920" cy="408940"/>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r:embed="rId23"/>
        <a:stretch>
          <a:fillRect/>
        </a:stretch>
      </xdr:blipFill>
      <xdr:spPr>
        <a:xfrm>
          <a:off x="523875" y="50806985"/>
          <a:ext cx="5889625" cy="980440"/>
        </a:xfrm>
        <a:prstGeom prst="rect">
          <a:avLst/>
        </a:prstGeom>
      </xdr:spPr>
    </xdr:pic>
    <xdr:clientData/>
  </xdr:twoCellAnchor>
  <xdr:twoCellAnchor editAs="oneCell">
    <xdr:from>
      <xdr:col>0</xdr:col>
      <xdr:colOff>457200</xdr:colOff>
      <xdr:row>285</xdr:row>
      <xdr:rowOff>38100</xdr:rowOff>
    </xdr:from>
    <xdr:to>
      <xdr:col>8</xdr:col>
      <xdr:colOff>447032</xdr:colOff>
      <xdr:row>294</xdr:row>
      <xdr:rowOff>18830</xdr:rowOff>
    </xdr:to>
    <xdr:pic>
      <xdr:nvPicPr>
        <xdr:cNvPr id="23" name="Picture 22">
          <a:hlinkClick xmlns:r="http://schemas.openxmlformats.org/officeDocument/2006/relationships" r:id="rId9"/>
        </xdr:cNvPr>
        <xdr:cNvPicPr>
          <a:picLocks noChangeAspect="1"/>
        </xdr:cNvPicPr>
      </xdr:nvPicPr>
      <xdr:blipFill>
        <a:blip r:embed="rId24"/>
        <a:stretch>
          <a:fillRect/>
        </a:stretch>
      </xdr:blipFill>
      <xdr:spPr>
        <a:xfrm>
          <a:off x="457200" y="52064285"/>
          <a:ext cx="5899150" cy="1609090"/>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r:embed="rId25"/>
        <a:stretch>
          <a:fillRect/>
        </a:stretch>
      </xdr:blipFill>
      <xdr:spPr>
        <a:xfrm>
          <a:off x="495300" y="53874035"/>
          <a:ext cx="5870575" cy="1170940"/>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r:embed="rId26"/>
        <a:stretch>
          <a:fillRect/>
        </a:stretch>
      </xdr:blipFill>
      <xdr:spPr>
        <a:xfrm>
          <a:off x="495300" y="55302785"/>
          <a:ext cx="5889625" cy="989965"/>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r:embed="rId27"/>
        <a:stretch>
          <a:fillRect/>
        </a:stretch>
      </xdr:blipFill>
      <xdr:spPr>
        <a:xfrm>
          <a:off x="447675" y="59446160"/>
          <a:ext cx="6605270" cy="266065"/>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r:embed="rId28"/>
        <a:stretch>
          <a:fillRect/>
        </a:stretch>
      </xdr:blipFill>
      <xdr:spPr>
        <a:xfrm>
          <a:off x="457200" y="59979560"/>
          <a:ext cx="6920865" cy="351790"/>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r:embed="rId29"/>
        <a:stretch>
          <a:fillRect/>
        </a:stretch>
      </xdr:blipFill>
      <xdr:spPr>
        <a:xfrm>
          <a:off x="504825" y="61703585"/>
          <a:ext cx="6939915" cy="713740"/>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r:embed="rId30"/>
        <a:stretch>
          <a:fillRect/>
        </a:stretch>
      </xdr:blipFill>
      <xdr:spPr>
        <a:xfrm>
          <a:off x="628650" y="64789685"/>
          <a:ext cx="5880100" cy="84709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r:embed="rId31"/>
        <a:stretch>
          <a:fillRect/>
        </a:stretch>
      </xdr:blipFill>
      <xdr:spPr>
        <a:xfrm>
          <a:off x="657225" y="66066035"/>
          <a:ext cx="5986145" cy="3409315"/>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r:embed="rId32"/>
        <a:stretch>
          <a:fillRect/>
        </a:stretch>
      </xdr:blipFill>
      <xdr:spPr>
        <a:xfrm>
          <a:off x="647700" y="69885560"/>
          <a:ext cx="5986145" cy="1732915"/>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r:embed="rId33"/>
        <a:stretch>
          <a:fillRect/>
        </a:stretch>
      </xdr:blipFill>
      <xdr:spPr>
        <a:xfrm>
          <a:off x="790575" y="71809610"/>
          <a:ext cx="5881370" cy="856615"/>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r:embed="rId34"/>
        <a:stretch>
          <a:fillRect/>
        </a:stretch>
      </xdr:blipFill>
      <xdr:spPr>
        <a:xfrm>
          <a:off x="571500" y="76333985"/>
          <a:ext cx="5908675" cy="666115"/>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r:embed="rId35"/>
        <a:stretch>
          <a:fillRect/>
        </a:stretch>
      </xdr:blipFill>
      <xdr:spPr>
        <a:xfrm>
          <a:off x="533400" y="79591535"/>
          <a:ext cx="5889625" cy="389890"/>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r:embed="rId36"/>
        <a:stretch>
          <a:fillRect/>
        </a:stretch>
      </xdr:blipFill>
      <xdr:spPr>
        <a:xfrm>
          <a:off x="523875" y="80334485"/>
          <a:ext cx="5937250" cy="1104265"/>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r:embed="rId37"/>
        <a:stretch>
          <a:fillRect/>
        </a:stretch>
      </xdr:blipFill>
      <xdr:spPr>
        <a:xfrm>
          <a:off x="581025" y="81744185"/>
          <a:ext cx="2670175" cy="199390"/>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r:embed="rId38"/>
        <a:stretch>
          <a:fillRect/>
        </a:stretch>
      </xdr:blipFill>
      <xdr:spPr>
        <a:xfrm>
          <a:off x="571500" y="82287110"/>
          <a:ext cx="5880100" cy="84709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r:embed="rId39"/>
        <a:stretch>
          <a:fillRect/>
        </a:stretch>
      </xdr:blipFill>
      <xdr:spPr>
        <a:xfrm>
          <a:off x="485775" y="86620985"/>
          <a:ext cx="5851525" cy="875665"/>
        </a:xfrm>
        <a:prstGeom prst="rect">
          <a:avLst/>
        </a:prstGeom>
      </xdr:spPr>
    </xdr:pic>
    <xdr:clientData/>
  </xdr:twoCellAnchor>
  <xdr:twoCellAnchor editAs="oneCell">
    <xdr:from>
      <xdr:col>0</xdr:col>
      <xdr:colOff>476250</xdr:colOff>
      <xdr:row>485</xdr:row>
      <xdr:rowOff>19050</xdr:rowOff>
    </xdr:from>
    <xdr:to>
      <xdr:col>8</xdr:col>
      <xdr:colOff>418463</xdr:colOff>
      <xdr:row>490</xdr:row>
      <xdr:rowOff>18927</xdr:rowOff>
    </xdr:to>
    <xdr:pic>
      <xdr:nvPicPr>
        <xdr:cNvPr id="24604" name="Picture 24603">
          <a:hlinkClick xmlns:r="http://schemas.openxmlformats.org/officeDocument/2006/relationships" r:id="rId9"/>
        </xdr:cNvPr>
        <xdr:cNvPicPr>
          <a:picLocks noChangeAspect="1"/>
        </xdr:cNvPicPr>
      </xdr:nvPicPr>
      <xdr:blipFill>
        <a:blip r:embed="rId40"/>
        <a:stretch>
          <a:fillRect/>
        </a:stretch>
      </xdr:blipFill>
      <xdr:spPr>
        <a:xfrm>
          <a:off x="476250" y="87859235"/>
          <a:ext cx="5851525" cy="904240"/>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r:embed="rId41"/>
        <a:stretch>
          <a:fillRect/>
        </a:stretch>
      </xdr:blipFill>
      <xdr:spPr>
        <a:xfrm>
          <a:off x="485775" y="92574110"/>
          <a:ext cx="5861050" cy="1199515"/>
        </a:xfrm>
        <a:prstGeom prst="rect">
          <a:avLst/>
        </a:prstGeom>
      </xdr:spPr>
    </xdr:pic>
    <xdr:clientData/>
  </xdr:twoCellAnchor>
  <xdr:twoCellAnchor editAs="oneCell">
    <xdr:from>
      <xdr:col>0</xdr:col>
      <xdr:colOff>485775</xdr:colOff>
      <xdr:row>520</xdr:row>
      <xdr:rowOff>28575</xdr:rowOff>
    </xdr:from>
    <xdr:to>
      <xdr:col>8</xdr:col>
      <xdr:colOff>418464</xdr:colOff>
      <xdr:row>533</xdr:row>
      <xdr:rowOff>9220</xdr:rowOff>
    </xdr:to>
    <xdr:pic>
      <xdr:nvPicPr>
        <xdr:cNvPr id="24606" name="Picture 24605">
          <a:hlinkClick xmlns:r="http://schemas.openxmlformats.org/officeDocument/2006/relationships" r:id="rId9"/>
        </xdr:cNvPr>
        <xdr:cNvPicPr>
          <a:picLocks noChangeAspect="1"/>
        </xdr:cNvPicPr>
      </xdr:nvPicPr>
      <xdr:blipFill>
        <a:blip r:embed="rId42"/>
        <a:stretch>
          <a:fillRect/>
        </a:stretch>
      </xdr:blipFill>
      <xdr:spPr>
        <a:xfrm>
          <a:off x="485775" y="94107635"/>
          <a:ext cx="5842000" cy="220916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r:embed="rId43"/>
        <a:stretch>
          <a:fillRect/>
        </a:stretch>
      </xdr:blipFill>
      <xdr:spPr>
        <a:xfrm>
          <a:off x="485775" y="44987210"/>
          <a:ext cx="1744980" cy="18034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r:embed="rId43"/>
        <a:stretch>
          <a:fillRect/>
        </a:stretch>
      </xdr:blipFill>
      <xdr:spPr>
        <a:xfrm>
          <a:off x="495300" y="45558710"/>
          <a:ext cx="1744980" cy="18034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19045</xdr:rowOff>
    </xdr:from>
    <xdr:to>
      <xdr:col>0</xdr:col>
      <xdr:colOff>1490062</xdr:colOff>
      <xdr:row>0</xdr:row>
      <xdr:rowOff>396278</xdr:rowOff>
    </xdr:to>
    <xdr:sp>
      <xdr:nvSpPr>
        <xdr:cNvPr id="2" name="Rectangle 1"/>
        <xdr:cNvSpPr/>
      </xdr:nvSpPr>
      <xdr:spPr>
        <a:xfrm>
          <a:off x="209550" y="18415"/>
          <a:ext cx="1280160" cy="377825"/>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endParaRPr lang="en-US" sz="1200" b="1" cap="none" spc="0">
            <a:ln w="0"/>
            <a:solidFill>
              <a:schemeClr val="bg1"/>
            </a:solidFill>
            <a:effectLst>
              <a:outerShdw blurRad="50800" dist="38100" dir="2700000" algn="tl" rotWithShape="0">
                <a:prstClr val="black">
                  <a:alpha val="40000"/>
                </a:prstClr>
              </a:outerShdw>
            </a:effectLst>
          </a:endParaRP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560445" y="1112520"/>
          <a:ext cx="2166620" cy="1967865"/>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endParaRPr lang="en-US" sz="1200" b="1">
                <a:solidFill>
                  <a:sysClr val="windowText" lastClr="000000"/>
                </a:solidFill>
                <a:latin typeface="+mn-lt"/>
                <a:ea typeface="+mn-ea"/>
                <a:cs typeface="+mn-cs"/>
              </a:endParaRPr>
            </a:p>
          </xdr:txBody>
        </xdr:sp>
        <xdr:sp macro="[0]!TPerformance">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endParaRPr lang="en-US" sz="1200" b="1">
                <a:solidFill>
                  <a:sysClr val="windowText" lastClr="000000"/>
                </a:solidFill>
                <a:latin typeface="+mn-lt"/>
                <a:ea typeface="+mn-ea"/>
                <a:cs typeface="+mn-cs"/>
              </a:endParaRPr>
            </a:p>
          </xdr:txBody>
        </xdr:sp>
        <xdr:sp macro="[0]!TDAnalysis">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endParaRPr lang="en-US" sz="1200" b="1">
                <a:solidFill>
                  <a:sysClr val="windowText" lastClr="000000"/>
                </a:solidFill>
                <a:latin typeface="+mn-lt"/>
                <a:ea typeface="+mn-ea"/>
                <a:cs typeface="+mn-cs"/>
              </a:endParaRPr>
            </a:p>
          </xdr:txBody>
        </xdr:sp>
        <xdr:sp macro="[0]!TSimReport">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endParaRPr lang="en-US" sz="1200" b="1">
                <a:solidFill>
                  <a:sysClr val="windowText" lastClr="000000"/>
                </a:solidFill>
                <a:latin typeface="+mn-lt"/>
                <a:ea typeface="+mn-ea"/>
                <a:cs typeface="+mn-cs"/>
              </a:endParaRP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8822055" y="931545"/>
          <a:ext cx="2692400" cy="3403600"/>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xdr:nvSpPr>
            <xdr:cNvPr id="15" name="ShapeOper"/>
            <xdr:cNvSpPr/>
          </xdr:nvSpPr>
          <xdr:spPr>
            <a:xfrm>
              <a:off x="6987732" y="2983014"/>
              <a:ext cx="1828800" cy="457200"/>
            </a:xfrm>
            <a:prstGeom prst="roundRect">
              <a:avLst/>
            </a:prstGeom>
            <a:ln>
              <a:solidFill>
                <a:srgbClr val="FF0000"/>
              </a:solidFill>
              <a:headEnd type="none" w="med" len="med"/>
              <a:tailEnd type="none" w="med" len="med"/>
            </a:ln>
            <a:effectLst>
              <a:glow>
                <a:srgbClr val="FF0000">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endParaRPr lang="en-US" sz="1200" b="1">
                <a:solidFill>
                  <a:sysClr val="windowText" lastClr="000000"/>
                </a:solidFill>
                <a:latin typeface="+mn-lt"/>
                <a:ea typeface="+mn-ea"/>
                <a:cs typeface="+mn-cs"/>
              </a:endParaRPr>
            </a:p>
          </xdr:txBody>
        </xdr:sp>
        <xdr:sp macro="[0]!MoveToOrgMgt">
          <xdr:nvSpPr>
            <xdr:cNvPr id="16" name="ShapeOrg"/>
            <xdr:cNvSpPr/>
          </xdr:nvSpPr>
          <xdr:spPr>
            <a:xfrm>
              <a:off x="6988148" y="4176306"/>
              <a:ext cx="1828800" cy="457200"/>
            </a:xfrm>
            <a:prstGeom prst="roundRect">
              <a:avLst/>
            </a:prstGeom>
            <a:ln>
              <a:solidFill>
                <a:srgbClr val="FF0000"/>
              </a:solidFill>
              <a:headEnd type="none" w="med" len="med"/>
              <a:tailEnd type="none" w="med" len="med"/>
            </a:ln>
            <a:effectLst>
              <a:glow>
                <a:srgbClr val="FF0000">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endParaRPr lang="en-US" sz="1200" b="1">
                <a:solidFill>
                  <a:sysClr val="windowText" lastClr="000000"/>
                </a:solidFill>
                <a:latin typeface="+mn-lt"/>
                <a:ea typeface="+mn-ea"/>
                <a:cs typeface="+mn-cs"/>
              </a:endParaRPr>
            </a:p>
          </xdr:txBody>
        </xdr:sp>
        <xdr:sp macro="[0]!MoveToInnMgt">
          <xdr:nvSpPr>
            <xdr:cNvPr id="17" name="ShapeInn"/>
            <xdr:cNvSpPr/>
          </xdr:nvSpPr>
          <xdr:spPr>
            <a:xfrm>
              <a:off x="6978624" y="2412519"/>
              <a:ext cx="1828800" cy="457200"/>
            </a:xfrm>
            <a:prstGeom prst="roundRect">
              <a:avLst/>
            </a:prstGeom>
            <a:ln>
              <a:solidFill>
                <a:srgbClr val="FF0000"/>
              </a:solidFill>
              <a:headEnd type="none" w="med" len="med"/>
              <a:tailEnd type="none" w="med" len="med"/>
            </a:ln>
            <a:effectLst>
              <a:glow>
                <a:srgbClr val="FF0000">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endParaRPr lang="en-US" sz="1200" b="1">
                <a:solidFill>
                  <a:sysClr val="windowText" lastClr="000000"/>
                </a:solidFill>
                <a:latin typeface="+mn-lt"/>
                <a:ea typeface="+mn-ea"/>
                <a:cs typeface="+mn-cs"/>
              </a:endParaRPr>
            </a:p>
          </xdr:txBody>
        </xdr:sp>
        <xdr:sp macro="[0]!MoveToFinMgt">
          <xdr:nvSpPr>
            <xdr:cNvPr id="18" name="ShapeFin"/>
            <xdr:cNvSpPr/>
          </xdr:nvSpPr>
          <xdr:spPr>
            <a:xfrm>
              <a:off x="6988148" y="3559474"/>
              <a:ext cx="1828800" cy="457200"/>
            </a:xfrm>
            <a:prstGeom prst="roundRect">
              <a:avLst/>
            </a:prstGeom>
            <a:ln>
              <a:solidFill>
                <a:srgbClr val="FF0000"/>
              </a:solidFill>
              <a:headEnd type="none" w="med" len="med"/>
              <a:tailEnd type="none" w="med" len="med"/>
            </a:ln>
            <a:effectLst>
              <a:glow>
                <a:srgbClr val="FF0000">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endParaRPr lang="en-US" sz="1200" b="1">
                <a:solidFill>
                  <a:sysClr val="windowText" lastClr="000000"/>
                </a:solidFill>
                <a:latin typeface="+mn-lt"/>
                <a:ea typeface="+mn-ea"/>
                <a:cs typeface="+mn-cs"/>
              </a:endParaRPr>
            </a:p>
          </xdr:txBody>
        </xdr:sp>
        <xdr:sp macro="[0]!MoveToMktgMgt">
          <xdr:nvSpPr>
            <xdr:cNvPr id="19" name="ShapeMktg"/>
            <xdr:cNvSpPr/>
          </xdr:nvSpPr>
          <xdr:spPr>
            <a:xfrm>
              <a:off x="6978103" y="1833917"/>
              <a:ext cx="1828800" cy="453437"/>
            </a:xfrm>
            <a:prstGeom prst="roundRect">
              <a:avLst/>
            </a:prstGeom>
            <a:ln>
              <a:solidFill>
                <a:srgbClr val="FF0000"/>
              </a:solidFill>
              <a:headEnd type="none" w="med" len="med"/>
              <a:tailEnd type="none" w="med" len="med"/>
            </a:ln>
            <a:effectLst>
              <a:glow>
                <a:srgbClr val="FF0000">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endParaRPr lang="en-US" sz="1200" b="1">
                <a:solidFill>
                  <a:sysClr val="windowText" lastClr="000000"/>
                </a:solidFill>
                <a:latin typeface="+mn-lt"/>
                <a:ea typeface="+mn-ea"/>
                <a:cs typeface="+mn-cs"/>
              </a:endParaRPr>
            </a:p>
          </xdr:txBody>
        </xdr:sp>
      </xdr:grpSp>
    </xdr:grpSp>
    <xdr:clientData/>
  </xdr:twoCellAnchor>
  <xdr:twoCellAnchor>
    <xdr:from>
      <xdr:col>5</xdr:col>
      <xdr:colOff>565336</xdr:colOff>
      <xdr:row>20</xdr:row>
      <xdr:rowOff>126065</xdr:rowOff>
    </xdr:from>
    <xdr:to>
      <xdr:col>7</xdr:col>
      <xdr:colOff>220195</xdr:colOff>
      <xdr:row>23</xdr:row>
      <xdr:rowOff>30495</xdr:rowOff>
    </xdr:to>
    <xdr:sp>
      <xdr:nvSpPr>
        <xdr:cNvPr id="22" name="Diamond 21"/>
        <xdr:cNvSpPr/>
      </xdr:nvSpPr>
      <xdr:spPr>
        <a:xfrm>
          <a:off x="6257925" y="3609975"/>
          <a:ext cx="1047750" cy="390525"/>
        </a:xfrm>
        <a:prstGeom prst="diamond">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endParaRPr lang="en-US" sz="1600" b="1">
            <a:solidFill>
              <a:schemeClr val="dk1"/>
            </a:solidFill>
            <a:latin typeface="+mn-lt"/>
            <a:ea typeface="+mn-ea"/>
            <a:cs typeface="+mn-cs"/>
          </a:endParaRP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7274560" y="4102100"/>
          <a:ext cx="1346200" cy="915035"/>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xdr:nvSpPr>
            <xdr:cNvPr id="26" name="Rectangle 25"/>
            <xdr:cNvSpPr/>
          </xdr:nvSpPr>
          <xdr:spPr>
            <a:xfrm>
              <a:off x="6129617" y="5390030"/>
              <a:ext cx="2450896" cy="915519"/>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endParaRPr lang="en-US" sz="1400" b="1" cap="none" spc="0">
                <a:ln w="0"/>
                <a:solidFill>
                  <a:schemeClr val="bg1"/>
                </a:solidFill>
                <a:effectLst/>
              </a:endParaRPr>
            </a:p>
          </xdr:txBody>
        </xdr:sp>
      </xdr:grpSp>
      <xdr:sp macro="[0]!NewCycle">
        <xdr:nvSpPr>
          <xdr:cNvPr id="25" name="ShapeNC"/>
          <xdr:cNvSpPr/>
        </xdr:nvSpPr>
        <xdr:spPr>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endParaRPr lang="en-US" sz="1200" b="1">
              <a:solidFill>
                <a:sysClr val="windowText" lastClr="000000"/>
              </a:solidFill>
            </a:endParaRP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0]!test_click">
          <xdr:nvSpPr>
            <xdr:cNvPr id="53249" name="Button 1" hidden="1">
              <a:extLst>
                <a:ext uri="{63B3BB69-23CF-44E3-9099-C40C66FF867C}">
                  <a14:compatExt spid="_x0000_s53249"/>
                </a:ext>
              </a:extLst>
            </xdr:cNvPr>
            <xdr:cNvSpPr/>
          </xdr:nvSpPr>
          <xdr:spPr>
            <a:xfrm>
              <a:off x="13768705" y="4465320"/>
              <a:ext cx="0" cy="32385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test</a:t>
              </a:r>
              <a:endParaRPr 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xdr:nvCxnSpPr>
        <xdr:cNvPr id="29" name="Elbow Connector 28"/>
        <xdr:cNvCxnSpPr>
          <a:stCxn id="26" idx="3"/>
          <a:endCxn id="20" idx="2"/>
        </xdr:cNvCxnSpPr>
      </xdr:nvCxnSpPr>
      <xdr:spPr>
        <a:xfrm flipV="1">
          <a:off x="8620760" y="4335145"/>
          <a:ext cx="1494790" cy="224790"/>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xdr:nvCxnSpPr>
        <xdr:cNvPr id="30" name="Elbow Connector 29"/>
        <xdr:cNvCxnSpPr>
          <a:stCxn id="20" idx="0"/>
          <a:endCxn id="10" idx="0"/>
        </xdr:cNvCxnSpPr>
      </xdr:nvCxnSpPr>
      <xdr:spPr>
        <a:xfrm rot="16200000" flipH="1" flipV="1">
          <a:off x="7286625" y="-1715770"/>
          <a:ext cx="180975" cy="5475605"/>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xdr:nvCxnSpPr>
        <xdr:cNvPr id="31" name="Elbow Connector 30"/>
        <xdr:cNvCxnSpPr>
          <a:stCxn id="10" idx="2"/>
          <a:endCxn id="22" idx="0"/>
        </xdr:cNvCxnSpPr>
      </xdr:nvCxnSpPr>
      <xdr:spPr>
        <a:xfrm rot="16200000" flipH="1">
          <a:off x="5445760" y="2273935"/>
          <a:ext cx="529590" cy="2142490"/>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xdr:nvCxnSpPr>
        <xdr:cNvPr id="32" name="Elbow Connector 31"/>
        <xdr:cNvCxnSpPr>
          <a:stCxn id="22" idx="3"/>
          <a:endCxn id="27" idx="0"/>
        </xdr:cNvCxnSpPr>
      </xdr:nvCxnSpPr>
      <xdr:spPr>
        <a:xfrm>
          <a:off x="7305675" y="3804920"/>
          <a:ext cx="650240" cy="297180"/>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907280" y="4135755"/>
          <a:ext cx="1538605" cy="914400"/>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xdr:nvSpPr>
            <xdr:cNvPr id="36" name="Rectangle 35"/>
            <xdr:cNvSpPr/>
          </xdr:nvSpPr>
          <xdr:spPr>
            <a:xfrm>
              <a:off x="6129617" y="5390030"/>
              <a:ext cx="2646455" cy="9144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endParaRPr lang="en-US" sz="1400" b="1" cap="none" spc="0">
                <a:ln w="0"/>
                <a:solidFill>
                  <a:schemeClr val="bg1"/>
                </a:solidFill>
                <a:effectLst/>
              </a:endParaRPr>
            </a:p>
          </xdr:txBody>
        </xdr:sp>
      </xdr:grpSp>
      <xdr:sp macro="[0]!Module3.MoveToImplementPlan">
        <xdr:nvSpPr>
          <xdr:cNvPr id="35" name="ShapeImplPlan"/>
          <xdr:cNvSpPr/>
        </xdr:nvSpPr>
        <xdr:spPr>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endParaRPr lang="en-US" sz="1200" b="1">
              <a:solidFill>
                <a:sysClr val="windowText" lastClr="000000"/>
              </a:solidFill>
            </a:endParaRPr>
          </a:p>
        </xdr:txBody>
      </xdr:sp>
    </xdr:grpSp>
    <xdr:clientData/>
  </xdr:twoCellAnchor>
  <xdr:twoCellAnchor>
    <xdr:from>
      <xdr:col>5</xdr:col>
      <xdr:colOff>23532</xdr:colOff>
      <xdr:row>21</xdr:row>
      <xdr:rowOff>159243</xdr:rowOff>
    </xdr:from>
    <xdr:to>
      <xdr:col>5</xdr:col>
      <xdr:colOff>565336</xdr:colOff>
      <xdr:row>24</xdr:row>
      <xdr:rowOff>3922</xdr:rowOff>
    </xdr:to>
    <xdr:cxnSp>
      <xdr:nvCxnSpPr>
        <xdr:cNvPr id="38" name="Elbow Connector 37"/>
        <xdr:cNvCxnSpPr>
          <a:stCxn id="22" idx="1"/>
          <a:endCxn id="37" idx="0"/>
        </xdr:cNvCxnSpPr>
      </xdr:nvCxnSpPr>
      <xdr:spPr>
        <a:xfrm rot="10800000" flipV="1">
          <a:off x="5716270" y="3804920"/>
          <a:ext cx="541655" cy="330835"/>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955540" y="5589270"/>
          <a:ext cx="1441450" cy="97155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xdr:nvSpPr>
            <xdr:cNvPr id="42" name="Rectangle 41"/>
            <xdr:cNvSpPr/>
          </xdr:nvSpPr>
          <xdr:spPr>
            <a:xfrm>
              <a:off x="6129617" y="5390031"/>
              <a:ext cx="2129464" cy="114299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xdr:nvSpPr>
          <xdr:cNvPr id="41" name="ShapePrint"/>
          <xdr:cNvSpPr/>
        </xdr:nvSpPr>
        <xdr:spPr>
          <a:xfrm>
            <a:off x="7431656" y="6844087"/>
            <a:ext cx="914400" cy="439175"/>
          </a:xfrm>
          <a:prstGeom prst="roundRect">
            <a:avLst/>
          </a:prstGeom>
          <a:ln>
            <a:solidFill>
              <a:srgbClr val="FF0000"/>
            </a:solidFill>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endParaRPr lang="en-US" sz="1200" b="1">
              <a:solidFill>
                <a:sysClr val="windowText" lastClr="000000"/>
              </a:solidFill>
            </a:endParaRPr>
          </a:p>
        </xdr:txBody>
      </xdr:sp>
    </xdr:grpSp>
    <xdr:clientData/>
  </xdr:twoCellAnchor>
  <xdr:twoCellAnchor>
    <xdr:from>
      <xdr:col>5</xdr:col>
      <xdr:colOff>18769</xdr:colOff>
      <xdr:row>29</xdr:row>
      <xdr:rowOff>108697</xdr:rowOff>
    </xdr:from>
    <xdr:to>
      <xdr:col>5</xdr:col>
      <xdr:colOff>22860</xdr:colOff>
      <xdr:row>33</xdr:row>
      <xdr:rowOff>1</xdr:rowOff>
    </xdr:to>
    <xdr:cxnSp>
      <xdr:nvCxnSpPr>
        <xdr:cNvPr id="44" name="Elbow Connector 43"/>
        <xdr:cNvCxnSpPr>
          <a:stCxn id="36" idx="2"/>
          <a:endCxn id="43" idx="0"/>
        </xdr:cNvCxnSpPr>
      </xdr:nvCxnSpPr>
      <xdr:spPr>
        <a:xfrm rot="16200000" flipH="1">
          <a:off x="5443855" y="5317490"/>
          <a:ext cx="539115" cy="3810"/>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xdr:nvSpPr>
        <xdr:cNvPr id="45" name="Oval 130"/>
        <xdr:cNvSpPr/>
      </xdr:nvSpPr>
      <xdr:spPr>
        <a:xfrm>
          <a:off x="13768705" y="3731895"/>
          <a:ext cx="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xdr:nvSpPr>
        <xdr:cNvPr id="46" name="TextBox 45"/>
        <xdr:cNvSpPr txBox="1"/>
      </xdr:nvSpPr>
      <xdr:spPr>
        <a:xfrm>
          <a:off x="7352030" y="3560445"/>
          <a:ext cx="56388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endParaRPr lang="en-US" sz="1200" b="1"/>
        </a:p>
      </xdr:txBody>
    </xdr:sp>
    <xdr:clientData/>
  </xdr:twoCellAnchor>
  <xdr:twoCellAnchor>
    <xdr:from>
      <xdr:col>5</xdr:col>
      <xdr:colOff>190499</xdr:colOff>
      <xdr:row>20</xdr:row>
      <xdr:rowOff>76200</xdr:rowOff>
    </xdr:from>
    <xdr:to>
      <xdr:col>5</xdr:col>
      <xdr:colOff>581025</xdr:colOff>
      <xdr:row>22</xdr:row>
      <xdr:rowOff>0</xdr:rowOff>
    </xdr:to>
    <xdr:sp>
      <xdr:nvSpPr>
        <xdr:cNvPr id="47" name="TextBox 46"/>
        <xdr:cNvSpPr txBox="1"/>
      </xdr:nvSpPr>
      <xdr:spPr>
        <a:xfrm>
          <a:off x="5882640" y="3560445"/>
          <a:ext cx="39116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endParaRPr lang="en-US" sz="1200" b="1"/>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8415"/>
          <a:ext cx="11296650" cy="394335"/>
          <a:chOff x="666750" y="28570"/>
          <a:chExt cx="9469521" cy="386261"/>
        </a:xfrm>
      </xdr:grpSpPr>
      <xdr:sp>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17220"/>
          <a:ext cx="2894330" cy="2780665"/>
          <a:chOff x="7476705" y="3552825"/>
          <a:chExt cx="2242900" cy="2781299"/>
        </a:xfrm>
      </xdr:grpSpPr>
      <xdr:sp>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endParaRPr lang="en-US" sz="1400" b="1" i="1" u="none" cap="none" spc="0">
              <a:ln w="0"/>
              <a:solidFill>
                <a:schemeClr val="bg1"/>
              </a:solidFill>
              <a:effectLst/>
            </a:endParaRPr>
          </a:p>
        </xdr:txBody>
      </xdr:sp>
    </xdr:grpSp>
    <xdr:clientData/>
  </xdr:twoCellAnchor>
  <xdr:twoCellAnchor>
    <xdr:from>
      <xdr:col>0</xdr:col>
      <xdr:colOff>209550</xdr:colOff>
      <xdr:row>4</xdr:row>
      <xdr:rowOff>95249</xdr:rowOff>
    </xdr:from>
    <xdr:to>
      <xdr:col>1</xdr:col>
      <xdr:colOff>847725</xdr:colOff>
      <xdr:row>20</xdr:row>
      <xdr:rowOff>28574</xdr:rowOff>
    </xdr:to>
    <xdr:sp>
      <xdr:nvSpPr>
        <xdr:cNvPr id="54" name="TextBox 53"/>
        <xdr:cNvSpPr txBox="1"/>
      </xdr:nvSpPr>
      <xdr:spPr>
        <a:xfrm>
          <a:off x="209550" y="988060"/>
          <a:ext cx="2837180"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endParaRPr lang="en-US" sz="1000" i="1">
            <a:solidFill>
              <a:sysClr val="windowText" lastClr="000000"/>
            </a:solidFill>
            <a:effectLst/>
            <a:latin typeface="+mn-lt"/>
            <a:ea typeface="+mn-ea"/>
            <a:cs typeface="+mn-cs"/>
          </a:endParaRPr>
        </a:p>
        <a:p>
          <a:pPr marL="228600" indent="-228600">
            <a:buSzPct val="100000"/>
            <a:buFont typeface="+mj-lt"/>
            <a:buAutoNum type="alphaUcPeriod"/>
          </a:pPr>
          <a:r>
            <a:rPr lang="en-US" sz="1000" i="1">
              <a:solidFill>
                <a:sysClr val="windowText" lastClr="000000"/>
              </a:solidFill>
              <a:effectLst/>
            </a:rPr>
            <a:t>Page '36-Mo-Fin-Pr'</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rPr>
            <a:t>Page 'Performance'</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rPr>
            <a:t>Page 'D-Analysis'</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rPr>
            <a:t>Page 'Impl-Plan'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rPr>
            <a:t>Page 'Sim-Report'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rPr>
            <a:t>Page 'Printout Reports'</a:t>
          </a: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xdr:nvSpPr>
        <xdr:cNvPr id="55" name="Rectangle 54"/>
        <xdr:cNvSpPr/>
      </xdr:nvSpPr>
      <xdr:spPr>
        <a:xfrm>
          <a:off x="208915" y="1036320"/>
          <a:ext cx="2894965"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6216650" y="1976755"/>
          <a:ext cx="2264410" cy="1107440"/>
          <a:chOff x="5353051" y="1613055"/>
          <a:chExt cx="1933574" cy="1453996"/>
        </a:xfrm>
      </xdr:grpSpPr>
      <xdr:sp>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endParaRPr lang="en-US" sz="1400" b="1" cap="none" spc="0">
              <a:ln w="0"/>
              <a:solidFill>
                <a:schemeClr val="bg1"/>
              </a:solidFill>
              <a:effectLst/>
            </a:endParaRPr>
          </a:p>
        </xdr:txBody>
      </xdr:sp>
    </xdr:grpSp>
    <xdr:clientData/>
  </xdr:twoCellAnchor>
  <xdr:twoCellAnchor>
    <xdr:from>
      <xdr:col>6</xdr:col>
      <xdr:colOff>392766</xdr:colOff>
      <xdr:row>17</xdr:row>
      <xdr:rowOff>85726</xdr:rowOff>
    </xdr:from>
    <xdr:to>
      <xdr:col>7</xdr:col>
      <xdr:colOff>266700</xdr:colOff>
      <xdr:row>20</xdr:row>
      <xdr:rowOff>126065</xdr:rowOff>
    </xdr:to>
    <xdr:cxnSp>
      <xdr:nvCxnSpPr>
        <xdr:cNvPr id="59" name="Elbow Connector 58"/>
        <xdr:cNvCxnSpPr>
          <a:stCxn id="57" idx="2"/>
          <a:endCxn id="22" idx="0"/>
        </xdr:cNvCxnSpPr>
      </xdr:nvCxnSpPr>
      <xdr:spPr>
        <a:xfrm rot="5400000">
          <a:off x="6804025" y="3061970"/>
          <a:ext cx="526415" cy="570230"/>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xdr:nvSpPr>
        <xdr:cNvPr id="60" name="Curved Up Arrow 59"/>
        <xdr:cNvSpPr/>
      </xdr:nvSpPr>
      <xdr:spPr>
        <a:xfrm>
          <a:off x="5854700" y="1483995"/>
          <a:ext cx="295084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xdr:nvSpPr>
        <xdr:cNvPr id="61" name="Curved Up Arrow 60"/>
        <xdr:cNvSpPr/>
      </xdr:nvSpPr>
      <xdr:spPr>
        <a:xfrm rot="10800000">
          <a:off x="5720715" y="645160"/>
          <a:ext cx="3017520"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xdr:nvSpPr>
            <xdr:cNvPr id="53250" name="projectstart" hidden="1">
              <a:extLst>
                <a:ext uri="{63B3BB69-23CF-44E3-9099-C40C66FF867C}">
                  <a14:compatExt spid="_x0000_s53250"/>
                </a:ext>
              </a:extLst>
            </xdr:cNvPr>
            <xdr:cNvSpPr/>
          </xdr:nvSpPr>
          <xdr:spPr>
            <a:xfrm>
              <a:off x="6608445" y="2703195"/>
              <a:ext cx="1459865" cy="2952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xdr:nvSpPr>
            <xdr:cNvPr id="53251" name="ShapeIP" hidden="1">
              <a:extLst>
                <a:ext uri="{63B3BB69-23CF-44E3-9099-C40C66FF867C}">
                  <a14:compatExt spid="_x0000_s53251"/>
                </a:ext>
              </a:extLst>
            </xdr:cNvPr>
            <xdr:cNvSpPr/>
          </xdr:nvSpPr>
          <xdr:spPr>
            <a:xfrm>
              <a:off x="6608445" y="2341245"/>
              <a:ext cx="1459865" cy="29527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r:embed="rId1"/>
        <a:stretch>
          <a:fillRect/>
        </a:stretch>
      </xdr:blipFill>
      <xdr:spPr>
        <a:xfrm>
          <a:off x="8159115" y="28575"/>
          <a:ext cx="473710"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8759825" cy="410210"/>
          <a:chOff x="38100" y="0"/>
          <a:chExt cx="7541708" cy="514349"/>
        </a:xfrm>
      </xdr:grpSpPr>
      <xdr:sp>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endParaRPr lang="en-US" sz="1200" b="1" cap="none" spc="0">
              <a:ln w="0"/>
              <a:solidFill>
                <a:schemeClr val="bg1"/>
              </a:solidFill>
              <a:effectLst>
                <a:outerShdw blurRad="50800" dist="38100" dir="2700000" algn="tl" rotWithShape="0">
                  <a:prstClr val="black">
                    <a:alpha val="40000"/>
                  </a:prstClr>
                </a:outerShdw>
              </a:effectLst>
            </a:endParaRP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124" name="Round Single Corner Rectangle 123"/>
          <xdr:cNvSpPr/>
        </xdr:nvSpPr>
        <xdr:spPr>
          <a:xfrm rot="10800000">
            <a:off x="38100" y="0"/>
            <a:ext cx="7541708" cy="514349"/>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7205" name="ComboBox1" hidden="1">
                  <a:extLst>
                    <a:ext uri="{63B3BB69-23CF-44E3-9099-C40C66FF867C}">
                      <a14:compatExt spid="_x0000_s7205"/>
                    </a:ext>
                  </a:extLst>
                </xdr:cNvPr>
                <xdr:cNvSpPr/>
              </xdr:nvSpPr>
              <xdr:spPr>
                <a:xfrm>
                  <a:off x="2651808" y="-166821"/>
                  <a:ext cx="2556401" cy="316092"/>
                </a:xfrm>
                <a:prstGeom prst="rect">
                  <a:avLst/>
                </a:prstGeom>
              </xdr:spPr>
            </xdr:sp>
          </mc:Choice>
          <mc:Fallback/>
        </mc:AlternateContent>
      </xdr:grpSp>
      <xdr:sp macro="[0]!return2navigator">
        <xdr:nvSpPr>
          <xdr:cNvPr id="132" name="ButtonReturn2Sim"/>
          <xdr:cNvSpPr/>
        </xdr:nvSpPr>
        <xdr:spPr>
          <a:xfrm>
            <a:off x="6176458" y="51717"/>
            <a:ext cx="755266" cy="411480"/>
          </a:xfrm>
          <a:prstGeom prst="roundRect">
            <a:avLst>
              <a:gd name="adj" fmla="val 16667"/>
            </a:avLst>
          </a:prstGeom>
          <a:ln>
            <a:solidFill>
              <a:srgbClr val="DCDCDC"/>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endParaRPr lang="en-US" sz="800" b="1">
              <a:solidFill>
                <a:sysClr val="windowText" lastClr="000000"/>
              </a:solidFill>
            </a:endParaRPr>
          </a:p>
        </xdr:txBody>
      </xdr:sp>
      <xdr:sp macro="[0]!return2navigatorfromStartPage">
        <xdr:nvSpPr>
          <xdr:cNvPr id="136" name="ButtonReturn2Sim"/>
          <xdr:cNvSpPr/>
        </xdr:nvSpPr>
        <xdr:spPr>
          <a:xfrm>
            <a:off x="5363912" y="43554"/>
            <a:ext cx="719301" cy="411480"/>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endParaRPr lang="en-US" sz="800" b="1">
              <a:solidFill>
                <a:sysClr val="windowText" lastClr="000000"/>
              </a:solidFill>
            </a:endParaRP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75"/>
          <a:ext cx="8641080" cy="692785"/>
          <a:chOff x="161923" y="495311"/>
          <a:chExt cx="7603566" cy="685788"/>
        </a:xfrm>
      </xdr:grpSpPr>
      <xdr:sp>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00"/>
              <a:t>4. Product Description</a:t>
            </a:r>
            <a:endParaRPr lang="en-US" sz="1000"/>
          </a:p>
          <a:p>
            <a:pPr marL="0" indent="0">
              <a:buFont typeface="Arial" panose="020B0604020202020204" pitchFamily="7" charset="0"/>
              <a:buNone/>
            </a:pPr>
            <a:r>
              <a:rPr lang="en-US" sz="1000" baseline="0"/>
              <a:t>5. Sales Projections</a:t>
            </a:r>
            <a:endParaRPr lang="en-US" sz="1000" baseline="0"/>
          </a:p>
          <a:p>
            <a:pPr marL="0" indent="0">
              <a:buFont typeface="Arial" panose="020B0604020202020204" pitchFamily="7" charset="0"/>
              <a:buNone/>
            </a:pPr>
            <a:endParaRPr lang="en-US" sz="1000" baseline="0"/>
          </a:p>
        </xdr:txBody>
      </xdr:sp>
      <xdr:sp>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endParaRPr lang="en-US" sz="1000"/>
          </a:p>
          <a:p>
            <a:pPr marL="0" indent="0">
              <a:buFontTx/>
              <a:buNone/>
            </a:pPr>
            <a:r>
              <a:rPr lang="en-US" sz="1000"/>
              <a:t>3. Taxes &amp; Fees</a:t>
            </a:r>
            <a:endParaRPr lang="en-US" sz="1000"/>
          </a:p>
        </xdr:txBody>
      </xdr:sp>
      <xdr:sp>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351280" y="407670"/>
          <a:ext cx="304800" cy="581025"/>
          <a:chOff x="1133475" y="571486"/>
          <a:chExt cx="304800" cy="581019"/>
        </a:xfrm>
      </xdr:grpSpPr>
      <mc:AlternateContent xmlns:mc="http://schemas.openxmlformats.org/markup-compatibility/2006">
        <mc:Choice xmlns:a14="http://schemas.microsoft.com/office/drawing/2010/main" Requires="a14">
          <xdr:sp>
            <xdr:nvSpPr>
              <xdr:cNvPr id="7206" name="Check Box 38" hidden="1">
                <a:extLst>
                  <a:ext uri="{63B3BB69-23CF-44E3-9099-C40C66FF867C}">
                    <a14:compatExt spid="_x0000_s7206"/>
                  </a:ext>
                </a:extLst>
              </xdr:cNvPr>
              <xdr:cNvSpPr/>
            </xdr:nvSpPr>
            <xdr:spPr>
              <a:xfrm>
                <a:off x="1133475" y="571486"/>
                <a:ext cx="304800" cy="219069"/>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7207" name="Check Box 39" hidden="1">
                <a:extLst>
                  <a:ext uri="{63B3BB69-23CF-44E3-9099-C40C66FF867C}">
                    <a14:compatExt spid="_x0000_s7207"/>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7208" name="Check Box 40" hidden="1">
                <a:extLst>
                  <a:ext uri="{63B3BB69-23CF-44E3-9099-C40C66FF867C}">
                    <a14:compatExt spid="_x0000_s7208"/>
                  </a:ext>
                </a:extLst>
              </xdr:cNvPr>
              <xdr:cNvSpPr/>
            </xdr:nvSpPr>
            <xdr:spPr>
              <a:xfrm>
                <a:off x="1133475" y="933434"/>
                <a:ext cx="304800" cy="219071"/>
              </a:xfrm>
              <a:prstGeom prst="rect">
                <a:avLst/>
              </a:prstGeom>
            </xdr:spPr>
            <xdr:txBody>
              <a:bodyPr/>
              <a:p>
                <a:endParaRPr lang="zh-CN" altLang="en-US"/>
              </a:p>
            </xdr:txBody>
          </xdr:sp>
        </mc:Choice>
        <mc:Fallback/>
      </mc:AlternateContent>
    </xdr:grpSp>
    <xdr:clientData/>
  </xdr:twoCellAnchor>
  <xdr:oneCellAnchor>
    <xdr:from>
      <xdr:col>1</xdr:col>
      <xdr:colOff>13602</xdr:colOff>
      <xdr:row>49</xdr:row>
      <xdr:rowOff>28574</xdr:rowOff>
    </xdr:from>
    <xdr:ext cx="967473" cy="285749"/>
    <xdr:sp macro="[0]!EmployeeExtend">
      <xdr:nvSpPr>
        <xdr:cNvPr id="254" name="Rounded Rectangle 253"/>
        <xdr:cNvSpPr/>
      </xdr:nvSpPr>
      <xdr:spPr>
        <a:xfrm>
          <a:off x="1221740" y="5246370"/>
          <a:ext cx="967740" cy="28511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1</xdr:col>
      <xdr:colOff>13602</xdr:colOff>
      <xdr:row>72</xdr:row>
      <xdr:rowOff>38099</xdr:rowOff>
    </xdr:from>
    <xdr:ext cx="967473" cy="295274"/>
    <xdr:sp macro="[0]!UtilitiesExtend">
      <xdr:nvSpPr>
        <xdr:cNvPr id="255" name="Rounded Rectangle 254"/>
        <xdr:cNvSpPr/>
      </xdr:nvSpPr>
      <xdr:spPr>
        <a:xfrm>
          <a:off x="1221740" y="5246370"/>
          <a:ext cx="967740" cy="29464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1</xdr:col>
      <xdr:colOff>4077</xdr:colOff>
      <xdr:row>99</xdr:row>
      <xdr:rowOff>9524</xdr:rowOff>
    </xdr:from>
    <xdr:ext cx="967473" cy="266699"/>
    <xdr:sp macro="[0]!DebtExtend">
      <xdr:nvSpPr>
        <xdr:cNvPr id="256" name="Rounded Rectangle 255"/>
        <xdr:cNvSpPr/>
      </xdr:nvSpPr>
      <xdr:spPr>
        <a:xfrm>
          <a:off x="1212215" y="5246370"/>
          <a:ext cx="967740" cy="26606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0</xdr:col>
      <xdr:colOff>1051827</xdr:colOff>
      <xdr:row>91</xdr:row>
      <xdr:rowOff>19050</xdr:rowOff>
    </xdr:from>
    <xdr:ext cx="967473" cy="266699"/>
    <xdr:sp macro="[0]!RentExtend">
      <xdr:nvSpPr>
        <xdr:cNvPr id="257" name="Rounded Rectangle 256"/>
        <xdr:cNvSpPr/>
      </xdr:nvSpPr>
      <xdr:spPr>
        <a:xfrm>
          <a:off x="1051560" y="5246370"/>
          <a:ext cx="967740" cy="26606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0</xdr:col>
      <xdr:colOff>1051827</xdr:colOff>
      <xdr:row>113</xdr:row>
      <xdr:rowOff>47625</xdr:rowOff>
    </xdr:from>
    <xdr:ext cx="967473" cy="304800"/>
    <xdr:sp macro="[0]!TaxesExtend">
      <xdr:nvSpPr>
        <xdr:cNvPr id="258" name="Rounded Rectangle 257"/>
        <xdr:cNvSpPr/>
      </xdr:nvSpPr>
      <xdr:spPr>
        <a:xfrm>
          <a:off x="1051560" y="5246370"/>
          <a:ext cx="967740" cy="30480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1</xdr:col>
      <xdr:colOff>23127</xdr:colOff>
      <xdr:row>120</xdr:row>
      <xdr:rowOff>19049</xdr:rowOff>
    </xdr:from>
    <xdr:ext cx="967473" cy="276224"/>
    <xdr:sp macro="[0]!FeesExtend">
      <xdr:nvSpPr>
        <xdr:cNvPr id="259" name="Rounded Rectangle 258"/>
        <xdr:cNvSpPr/>
      </xdr:nvSpPr>
      <xdr:spPr>
        <a:xfrm>
          <a:off x="1231265" y="5246370"/>
          <a:ext cx="967740" cy="27559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1</xdr:col>
      <xdr:colOff>25115</xdr:colOff>
      <xdr:row>136</xdr:row>
      <xdr:rowOff>129800</xdr:rowOff>
    </xdr:from>
    <xdr:ext cx="967473" cy="386975"/>
    <xdr:sp macro="[0]!ProductsExtend">
      <xdr:nvSpPr>
        <xdr:cNvPr id="260" name="Rounded Rectangle 259"/>
        <xdr:cNvSpPr/>
      </xdr:nvSpPr>
      <xdr:spPr>
        <a:xfrm>
          <a:off x="1233170" y="5246370"/>
          <a:ext cx="967740" cy="38671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1</xdr:col>
      <xdr:colOff>0</xdr:colOff>
      <xdr:row>81</xdr:row>
      <xdr:rowOff>38100</xdr:rowOff>
    </xdr:from>
    <xdr:ext cx="967473" cy="295275"/>
    <xdr:sp macro="[0]!MarketingCostsExtend">
      <xdr:nvSpPr>
        <xdr:cNvPr id="262" name="Rounded Rectangle 261"/>
        <xdr:cNvSpPr/>
      </xdr:nvSpPr>
      <xdr:spPr>
        <a:xfrm>
          <a:off x="1208405" y="5246370"/>
          <a:ext cx="967105" cy="2952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5132705" y="464820"/>
          <a:ext cx="304800" cy="400050"/>
          <a:chOff x="1133475" y="571500"/>
          <a:chExt cx="304800" cy="400050"/>
        </a:xfrm>
      </xdr:grpSpPr>
      <mc:AlternateContent xmlns:mc="http://schemas.openxmlformats.org/markup-compatibility/2006">
        <mc:Choice xmlns:a14="http://schemas.microsoft.com/office/drawing/2010/main" Requires="a14">
          <xdr:sp>
            <xdr:nvSpPr>
              <xdr:cNvPr id="7209" name="Check Box 41" hidden="1">
                <a:extLst>
                  <a:ext uri="{63B3BB69-23CF-44E3-9099-C40C66FF867C}">
                    <a14:compatExt spid="_x0000_s7209"/>
                  </a:ext>
                </a:extLst>
              </xdr:cNvPr>
              <xdr:cNvSpPr/>
            </xdr:nvSpPr>
            <xdr:spPr>
              <a:xfrm>
                <a:off x="1133475" y="571500"/>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7210" name="Check Box 42" hidden="1">
                <a:extLst>
                  <a:ext uri="{63B3BB69-23CF-44E3-9099-C40C66FF867C}">
                    <a14:compatExt spid="_x0000_s7210"/>
                  </a:ext>
                </a:extLst>
              </xdr:cNvPr>
              <xdr:cNvSpPr/>
            </xdr:nvSpPr>
            <xdr:spPr>
              <a:xfrm>
                <a:off x="1133475" y="752475"/>
                <a:ext cx="304800" cy="219075"/>
              </a:xfrm>
              <a:prstGeom prst="rect">
                <a:avLst/>
              </a:prstGeom>
            </xdr:spPr>
            <xdr:txBody>
              <a:bodyPr/>
              <a:p>
                <a:endParaRPr lang="zh-CN" altLang="en-US"/>
              </a:p>
            </xdr:txBody>
          </xdr:sp>
        </mc:Choice>
        <mc:Fallback/>
      </mc:AlternateContent>
    </xdr:grpSp>
    <xdr:clientData/>
  </xdr:twoCellAnchor>
  <xdr:oneCellAnchor>
    <xdr:from>
      <xdr:col>1</xdr:col>
      <xdr:colOff>0</xdr:colOff>
      <xdr:row>364</xdr:row>
      <xdr:rowOff>0</xdr:rowOff>
    </xdr:from>
    <xdr:ext cx="967473" cy="257175"/>
    <xdr:sp macro="[0]!CapacityExtend">
      <xdr:nvSpPr>
        <xdr:cNvPr id="33" name="Rounded Rectangle 32"/>
        <xdr:cNvSpPr/>
      </xdr:nvSpPr>
      <xdr:spPr>
        <a:xfrm>
          <a:off x="1208405" y="5246370"/>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2</xdr:col>
      <xdr:colOff>389447</xdr:colOff>
      <xdr:row>136</xdr:row>
      <xdr:rowOff>125801</xdr:rowOff>
    </xdr:from>
    <xdr:ext cx="967473" cy="382976"/>
    <xdr:sp macro="[0]!ProductsDescriptionExtend">
      <xdr:nvSpPr>
        <xdr:cNvPr id="40" name="Rounded Rectangle 39"/>
        <xdr:cNvSpPr/>
      </xdr:nvSpPr>
      <xdr:spPr>
        <a:xfrm>
          <a:off x="2326640" y="5246370"/>
          <a:ext cx="967105" cy="3829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endParaRPr lang="en-US" sz="1200" b="1">
            <a:solidFill>
              <a:sysClr val="windowText" lastClr="000000"/>
            </a:solidFill>
          </a:endParaRPr>
        </a:p>
      </xdr:txBody>
    </xdr:sp>
    <xdr:clientData/>
  </xdr:oneCellAnchor>
  <xdr:oneCellAnchor>
    <xdr:from>
      <xdr:col>3</xdr:col>
      <xdr:colOff>672815</xdr:colOff>
      <xdr:row>136</xdr:row>
      <xdr:rowOff>125801</xdr:rowOff>
    </xdr:from>
    <xdr:ext cx="967473" cy="382976"/>
    <xdr:sp macro="[0]!DeleteItem">
      <xdr:nvSpPr>
        <xdr:cNvPr id="42" name="Rounded Rectangle 41"/>
        <xdr:cNvSpPr/>
      </xdr:nvSpPr>
      <xdr:spPr>
        <a:xfrm>
          <a:off x="3415030" y="5246370"/>
          <a:ext cx="967740" cy="3829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endParaRPr lang="en-US" sz="1200" b="1">
            <a:solidFill>
              <a:sysClr val="windowText" lastClr="000000"/>
            </a:solidFill>
          </a:endParaRPr>
        </a:p>
      </xdr:txBody>
    </xdr:sp>
    <xdr:clientData/>
  </xdr:oneCellAnchor>
  <xdr:oneCellAnchor>
    <xdr:from>
      <xdr:col>4</xdr:col>
      <xdr:colOff>837121</xdr:colOff>
      <xdr:row>136</xdr:row>
      <xdr:rowOff>125801</xdr:rowOff>
    </xdr:from>
    <xdr:ext cx="1514476" cy="382976"/>
    <xdr:sp macro="[0]!RecolorFields">
      <xdr:nvSpPr>
        <xdr:cNvPr id="43" name="Rounded Rectangle 42"/>
        <xdr:cNvSpPr/>
      </xdr:nvSpPr>
      <xdr:spPr>
        <a:xfrm>
          <a:off x="4526280" y="5246370"/>
          <a:ext cx="1514475" cy="3829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382976"/>
    <xdr:sp macro="[0]!changeDistribution">
      <xdr:nvSpPr>
        <xdr:cNvPr id="44" name="Rounded Rectangle 43"/>
        <xdr:cNvSpPr/>
      </xdr:nvSpPr>
      <xdr:spPr>
        <a:xfrm>
          <a:off x="6329680" y="5246370"/>
          <a:ext cx="1390650" cy="3829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302105"/>
    <xdr:sp macro="[0]!InvestmentExtend">
      <xdr:nvSpPr>
        <xdr:cNvPr id="46" name="Rounded Rectangle 45"/>
        <xdr:cNvSpPr/>
      </xdr:nvSpPr>
      <xdr:spPr>
        <a:xfrm>
          <a:off x="1208405" y="5246370"/>
          <a:ext cx="967105" cy="30162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xdr:nvSpPr>
        <xdr:cNvPr id="47" name="Rectangle 3"/>
        <xdr:cNvSpPr/>
      </xdr:nvSpPr>
      <xdr:spPr>
        <a:xfrm>
          <a:off x="970280" y="5210810"/>
          <a:ext cx="7075170" cy="35369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7" charset="0"/>
              <a:cs typeface="Arial" panose="020B0604020202020204" pitchFamily="7" charset="0"/>
            </a:rPr>
            <a:t>Ext</a:t>
          </a:r>
          <a:r>
            <a:rPr lang="en-US" sz="1400" i="0">
              <a:latin typeface="Arial" panose="020B0604020202020204" pitchFamily="7" charset="0"/>
              <a:cs typeface="Arial" panose="020B0604020202020204" pitchFamily="7" charset="0"/>
            </a:rPr>
            <a:t>e</a:t>
          </a:r>
          <a:r>
            <a:rPr lang="en-US" sz="1400">
              <a:latin typeface="Arial" panose="020B0604020202020204" pitchFamily="7" charset="0"/>
              <a:cs typeface="Arial" panose="020B0604020202020204" pitchFamily="7" charset="0"/>
            </a:rPr>
            <a:t>nd content</a:t>
          </a:r>
          <a:endParaRPr lang="en-US" sz="1400">
            <a:latin typeface="Arial" panose="020B0604020202020204" pitchFamily="7" charset="0"/>
            <a:cs typeface="Arial" panose="020B0604020202020204" pitchFamily="7" charset="0"/>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0815" y="390525"/>
          <a:ext cx="9991090" cy="611505"/>
          <a:chOff x="161921" y="514361"/>
          <a:chExt cx="8984796" cy="603874"/>
        </a:xfrm>
        <a:solidFill>
          <a:schemeClr val="accent5">
            <a:lumMod val="20000"/>
            <a:lumOff val="80000"/>
          </a:schemeClr>
        </a:solidFill>
      </xdr:grpSpPr>
      <xdr:sp>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00"/>
              <a:t>12 Month Proforma: FY-1</a:t>
            </a:r>
            <a:endParaRPr lang="en-US" sz="1000"/>
          </a:p>
          <a:p>
            <a:pPr marL="0" indent="0">
              <a:buFont typeface="Arial" panose="020B0604020202020204" pitchFamily="7" charset="0"/>
              <a:buNone/>
            </a:pPr>
            <a:r>
              <a:rPr lang="en-US" sz="1000" baseline="0"/>
              <a:t>12 Month Proforma: FY-2</a:t>
            </a:r>
            <a:endParaRPr lang="en-US" sz="1000" baseline="0"/>
          </a:p>
          <a:p>
            <a:pPr marL="0" indent="0">
              <a:buFont typeface="Arial" panose="020B0604020202020204" pitchFamily="7" charset="0"/>
              <a:buNone/>
            </a:pPr>
            <a:r>
              <a:rPr lang="en-US" sz="1000" baseline="0"/>
              <a:t>12 Month Proforma: FY-3</a:t>
            </a:r>
            <a:endParaRPr lang="en-US" sz="1000" baseline="0"/>
          </a:p>
        </xdr:txBody>
      </xdr:sp>
      <xdr:sp>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endParaRPr lang="en-US" sz="1000"/>
          </a:p>
          <a:p>
            <a:pPr marL="0" indent="0">
              <a:buFontTx/>
              <a:buNone/>
            </a:pPr>
            <a:r>
              <a:rPr lang="en-US" sz="1000"/>
              <a:t>Prices and Variable Costs per product</a:t>
            </a:r>
            <a:endParaRPr lang="en-US" sz="1000"/>
          </a:p>
          <a:p>
            <a:pPr marL="0" indent="0">
              <a:buFontTx/>
              <a:buNone/>
            </a:pPr>
            <a:r>
              <a:rPr lang="en-US" sz="1000"/>
              <a:t>Annual Fixed Costs </a:t>
            </a:r>
            <a:endParaRPr lang="en-US" sz="1000"/>
          </a:p>
        </xdr:txBody>
      </xdr:sp>
      <xdr:sp>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sp>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00"/>
              <a:t>Financial Summary: per Fys and Overall</a:t>
            </a:r>
            <a:endParaRPr lang="en-US" sz="1000"/>
          </a:p>
          <a:p>
            <a:pPr marL="0" indent="0">
              <a:buFont typeface="Arial" panose="020B0604020202020204" pitchFamily="7" charset="0"/>
              <a:buNone/>
            </a:pPr>
            <a:endParaRPr lang="en-US" sz="1000" baseline="0"/>
          </a:p>
          <a:p>
            <a:pPr marL="0" indent="0">
              <a:buFont typeface="Arial" panose="020B0604020202020204" pitchFamily="7"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7465" y="0"/>
          <a:ext cx="11623675" cy="407670"/>
          <a:chOff x="38096" y="0"/>
          <a:chExt cx="10258328" cy="514350"/>
        </a:xfrm>
      </xdr:grpSpPr>
      <xdr:sp>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10" name="Round Single Corner Rectangle 9"/>
          <xdr:cNvSpPr>
            <a:spLocks noChangeAspect="1"/>
          </xdr:cNvSpPr>
        </xdr:nvSpPr>
        <xdr:spPr>
          <a:xfrm rot="10800000">
            <a:off x="38096" y="0"/>
            <a:ext cx="10258328" cy="514350"/>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40961" name="ComboBox1" hidden="1">
                  <a:extLst>
                    <a:ext uri="{63B3BB69-23CF-44E3-9099-C40C66FF867C}">
                      <a14:compatExt spid="_x0000_s40961"/>
                    </a:ext>
                  </a:extLst>
                </xdr:cNvPr>
                <xdr:cNvSpPr/>
              </xdr:nvSpPr>
              <xdr:spPr>
                <a:xfrm>
                  <a:off x="2700520" y="-178266"/>
                  <a:ext cx="2780466" cy="306160"/>
                </a:xfrm>
                <a:prstGeom prst="rect">
                  <a:avLst/>
                </a:prstGeom>
              </xdr:spPr>
            </xdr:sp>
          </mc:Choice>
          <mc:Fallback/>
        </mc:AlternateContent>
      </xdr:grpSp>
      <xdr:sp macro="[0]!return2navigator">
        <xdr:nvSpPr>
          <xdr:cNvPr id="12" name="ButtonReturn2Sim"/>
          <xdr:cNvSpPr/>
        </xdr:nvSpPr>
        <xdr:spPr>
          <a:xfrm>
            <a:off x="7239604" y="58521"/>
            <a:ext cx="764575"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endParaRPr lang="en-US" sz="800" b="1">
              <a:solidFill>
                <a:sysClr val="windowText" lastClr="000000"/>
              </a:solidFill>
            </a:endParaRPr>
          </a:p>
        </xdr:txBody>
      </xdr:sp>
      <xdr:sp macro="[0]!Transfer2FinReport">
        <xdr:nvSpPr>
          <xdr:cNvPr id="14" name="ButtonReturn2Sim"/>
          <xdr:cNvSpPr/>
        </xdr:nvSpPr>
        <xdr:spPr>
          <a:xfrm>
            <a:off x="5644056" y="47636"/>
            <a:ext cx="764575" cy="423237"/>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endParaRPr lang="en-US" sz="800" b="1">
              <a:solidFill>
                <a:sysClr val="windowText" lastClr="000000"/>
              </a:solidFill>
            </a:endParaRPr>
          </a:p>
        </xdr:txBody>
      </xdr:sp>
    </xdr:grpSp>
    <xdr:clientData/>
  </xdr:twoCellAnchor>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186180" y="381000"/>
          <a:ext cx="304800" cy="588645"/>
          <a:chOff x="1133475" y="571398"/>
          <a:chExt cx="304800" cy="581010"/>
        </a:xfrm>
      </xdr:grpSpPr>
      <mc:AlternateContent xmlns:mc="http://schemas.openxmlformats.org/markup-compatibility/2006">
        <mc:Choice xmlns:a14="http://schemas.microsoft.com/office/drawing/2010/main" Requires="a14">
          <xdr:sp>
            <xdr:nvSpPr>
              <xdr:cNvPr id="40962" name="Check Box 2" hidden="1">
                <a:extLst>
                  <a:ext uri="{63B3BB69-23CF-44E3-9099-C40C66FF867C}">
                    <a14:compatExt spid="_x0000_s40962"/>
                  </a:ext>
                </a:extLst>
              </xdr:cNvPr>
              <xdr:cNvSpPr/>
            </xdr:nvSpPr>
            <xdr:spPr>
              <a:xfrm>
                <a:off x="1133475" y="571398"/>
                <a:ext cx="304800" cy="218958"/>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40963" name="Check Box 3" hidden="1">
                <a:extLst>
                  <a:ext uri="{63B3BB69-23CF-44E3-9099-C40C66FF867C}">
                    <a14:compatExt spid="_x0000_s40963"/>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40964" name="Check Box 4" hidden="1">
                <a:extLst>
                  <a:ext uri="{63B3BB69-23CF-44E3-9099-C40C66FF867C}">
                    <a14:compatExt spid="_x0000_s40964"/>
                  </a:ext>
                </a:extLst>
              </xdr:cNvPr>
              <xdr:cNvSpPr/>
            </xdr:nvSpPr>
            <xdr:spPr>
              <a:xfrm>
                <a:off x="1133475" y="933451"/>
                <a:ext cx="304800" cy="218957"/>
              </a:xfrm>
              <a:prstGeom prst="rect">
                <a:avLst/>
              </a:prstGeom>
            </xdr:spPr>
            <xdr:txBody>
              <a:bodyPr/>
              <a:p>
                <a:endParaRPr lang="zh-CN" altLang="en-US"/>
              </a:p>
            </xdr:txBody>
          </xdr:sp>
        </mc:Choice>
        <mc:Fallback/>
      </mc:AlternateContent>
    </xdr:grpSp>
    <xdr:clientData/>
  </xdr:twoCellAnchor>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r:embed="rId1"/>
        <a:stretch>
          <a:fillRect/>
        </a:stretch>
      </xdr:blipFill>
      <xdr:spPr>
        <a:xfrm>
          <a:off x="11271250" y="28575"/>
          <a:ext cx="363855" cy="352425"/>
        </a:xfrm>
        <a:prstGeom prst="rect">
          <a:avLst/>
        </a:prstGeom>
      </xdr:spPr>
    </xdr:pic>
    <xdr:clientData/>
  </xdr:twoCellAnchor>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756025" y="381000"/>
          <a:ext cx="487045" cy="588645"/>
          <a:chOff x="1133475" y="571398"/>
          <a:chExt cx="304800" cy="581010"/>
        </a:xfrm>
      </xdr:grpSpPr>
      <mc:AlternateContent xmlns:mc="http://schemas.openxmlformats.org/markup-compatibility/2006">
        <mc:Choice xmlns:a14="http://schemas.microsoft.com/office/drawing/2010/main" Requires="a14">
          <xdr:sp>
            <xdr:nvSpPr>
              <xdr:cNvPr id="40965" name="Check Box 5" hidden="1">
                <a:extLst>
                  <a:ext uri="{63B3BB69-23CF-44E3-9099-C40C66FF867C}">
                    <a14:compatExt spid="_x0000_s40965"/>
                  </a:ext>
                </a:extLst>
              </xdr:cNvPr>
              <xdr:cNvSpPr/>
            </xdr:nvSpPr>
            <xdr:spPr>
              <a:xfrm>
                <a:off x="1133475" y="571398"/>
                <a:ext cx="304800" cy="218958"/>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40966" name="Check Box 6" hidden="1">
                <a:extLst>
                  <a:ext uri="{63B3BB69-23CF-44E3-9099-C40C66FF867C}">
                    <a14:compatExt spid="_x0000_s40966"/>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40967" name="Check Box 7" hidden="1">
                <a:extLst>
                  <a:ext uri="{63B3BB69-23CF-44E3-9099-C40C66FF867C}">
                    <a14:compatExt spid="_x0000_s40967"/>
                  </a:ext>
                </a:extLst>
              </xdr:cNvPr>
              <xdr:cNvSpPr/>
            </xdr:nvSpPr>
            <xdr:spPr>
              <a:xfrm>
                <a:off x="1133475" y="933451"/>
                <a:ext cx="304800" cy="218957"/>
              </a:xfrm>
              <a:prstGeom prst="rect">
                <a:avLst/>
              </a:prstGeom>
            </xdr:spPr>
            <xdr:txBody>
              <a:bodyPr/>
              <a:p>
                <a:endParaRPr lang="zh-CN" altLang="en-US"/>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xdr:nvSpPr>
            <xdr:cNvPr id="40968" name="Check Box 8" hidden="1">
              <a:extLst>
                <a:ext uri="{63B3BB69-23CF-44E3-9099-C40C66FF867C}">
                  <a14:compatExt spid="_x0000_s40968"/>
                </a:ext>
              </a:extLst>
            </xdr:cNvPr>
            <xdr:cNvSpPr/>
          </xdr:nvSpPr>
          <xdr:spPr>
            <a:xfrm>
              <a:off x="6939915" y="436245"/>
              <a:ext cx="304800" cy="209550"/>
            </a:xfrm>
            <a:prstGeom prst="rect">
              <a:avLst/>
            </a:prstGeom>
          </xdr:spPr>
          <xdr:txBody>
            <a:bodyPr/>
            <a:p>
              <a:endParaRPr lang="zh-CN" altLang="en-US"/>
            </a:p>
          </xdr:txBody>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xdr:nvSpPr>
        <xdr:cNvPr id="27" name="ButtonReturn2Sim"/>
        <xdr:cNvSpPr/>
      </xdr:nvSpPr>
      <xdr:spPr>
        <a:xfrm>
          <a:off x="7292340" y="38100"/>
          <a:ext cx="822325"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endParaRPr lang="en-US" sz="800" b="1">
            <a:solidFill>
              <a:sysClr val="windowText" lastClr="000000"/>
            </a:solidFill>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r:embed="rId6"/>
        <a:stretch>
          <a:fillRect/>
        </a:stretch>
      </xdr:blipFill>
      <xdr:spPr>
        <a:xfrm>
          <a:off x="12261215" y="28575"/>
          <a:ext cx="363855"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xdr:nvSpPr>
        <xdr:cNvPr id="3" name="Rectangle 2"/>
        <xdr:cNvSpPr/>
      </xdr:nvSpPr>
      <xdr:spPr>
        <a:xfrm>
          <a:off x="55245" y="20320"/>
          <a:ext cx="1405255" cy="374650"/>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endParaRPr lang="en-US" sz="1200" b="1" cap="none" spc="0">
            <a:ln w="0"/>
            <a:solidFill>
              <a:schemeClr val="bg1"/>
            </a:solidFill>
            <a:effectLst>
              <a:outerShdw blurRad="50800" dist="38100" dir="2700000" algn="tl" rotWithShape="0">
                <a:prstClr val="black">
                  <a:alpha val="40000"/>
                </a:prstClr>
              </a:outerShdw>
            </a:effectLst>
          </a:endParaRPr>
        </a:p>
      </xdr:txBody>
    </xdr:sp>
    <xdr:clientData/>
  </xdr:twoCellAnchor>
  <xdr:twoCellAnchor>
    <xdr:from>
      <xdr:col>0</xdr:col>
      <xdr:colOff>38096</xdr:colOff>
      <xdr:row>0</xdr:row>
      <xdr:rowOff>0</xdr:rowOff>
    </xdr:from>
    <xdr:to>
      <xdr:col>12</xdr:col>
      <xdr:colOff>476250</xdr:colOff>
      <xdr:row>0</xdr:row>
      <xdr:rowOff>400048</xdr:rowOff>
    </xdr:to>
    <xdr:sp>
      <xdr:nvSpPr>
        <xdr:cNvPr id="4" name="Round Single Corner Rectangle 3"/>
        <xdr:cNvSpPr/>
      </xdr:nvSpPr>
      <xdr:spPr>
        <a:xfrm rot="10800000">
          <a:off x="37465" y="0"/>
          <a:ext cx="12671425" cy="399415"/>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xdr:nvGraphicFramePr>
        <xdr:cNvPr id="5" name="Chart 60"/>
        <xdr:cNvGraphicFramePr/>
      </xdr:nvGraphicFramePr>
      <xdr:xfrm>
        <a:off x="786130" y="4398645"/>
        <a:ext cx="8226425" cy="41814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xdr:nvGraphicFramePr>
        <xdr:cNvPr id="6" name="Chart 5"/>
        <xdr:cNvGraphicFramePr/>
      </xdr:nvGraphicFramePr>
      <xdr:xfrm>
        <a:off x="774700" y="52172870"/>
        <a:ext cx="6786245" cy="30632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xdr:nvGraphicFramePr>
        <xdr:cNvPr id="7" name="Chart 6"/>
        <xdr:cNvGraphicFramePr/>
      </xdr:nvGraphicFramePr>
      <xdr:xfrm>
        <a:off x="774700" y="42852340"/>
        <a:ext cx="6777355" cy="311086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xdr:nvGraphicFramePr>
        <xdr:cNvPr id="8" name="Chart 7"/>
        <xdr:cNvGraphicFramePr/>
      </xdr:nvGraphicFramePr>
      <xdr:xfrm>
        <a:off x="657860" y="45991145"/>
        <a:ext cx="6891020" cy="306324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xdr:nvGraphicFramePr>
        <xdr:cNvPr id="9" name="Chart 8"/>
        <xdr:cNvGraphicFramePr/>
      </xdr:nvGraphicFramePr>
      <xdr:xfrm>
        <a:off x="660400" y="49081690"/>
        <a:ext cx="6901180" cy="306324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xdr:nvSpPr>
        <xdr:cNvPr id="10" name="MCSCI"/>
        <xdr:cNvSpPr/>
      </xdr:nvSpPr>
      <xdr:spPr>
        <a:xfrm>
          <a:off x="8149590" y="42611040"/>
          <a:ext cx="1565910" cy="20129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endParaRPr lang="en-US" sz="1000" b="1"/>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0815" y="361950"/>
          <a:ext cx="14379575" cy="692785"/>
          <a:chOff x="161921" y="485786"/>
          <a:chExt cx="10404452" cy="685788"/>
        </a:xfrm>
        <a:solidFill>
          <a:schemeClr val="accent5">
            <a:lumMod val="20000"/>
            <a:lumOff val="80000"/>
          </a:schemeClr>
        </a:solidFill>
      </xdr:grpSpPr>
      <xdr:sp>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00"/>
              <a:t>Optimization Analysis</a:t>
            </a:r>
            <a:endParaRPr lang="en-US" sz="1000"/>
          </a:p>
          <a:p>
            <a:pPr marL="0" indent="0">
              <a:buFont typeface="Arial" panose="020B0604020202020204" pitchFamily="7" charset="0"/>
              <a:buNone/>
            </a:pPr>
            <a:r>
              <a:rPr lang="en-US" sz="1000"/>
              <a:t>Risk Analysis</a:t>
            </a:r>
            <a:endParaRPr lang="en-US" sz="1000"/>
          </a:p>
          <a:p>
            <a:pPr marL="0" indent="0">
              <a:buFont typeface="Arial" panose="020B0604020202020204" pitchFamily="7" charset="0"/>
              <a:buNone/>
            </a:pPr>
            <a:endParaRPr lang="en-US" sz="1100" baseline="0"/>
          </a:p>
        </xdr:txBody>
      </xdr:sp>
      <xdr:sp>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00"/>
              <a:t>Break - Even Analysis</a:t>
            </a:r>
            <a:endParaRPr lang="en-US" sz="1000"/>
          </a:p>
          <a:p>
            <a:pPr marL="171450" indent="-171450">
              <a:buFont typeface="Arial" panose="020B0604020202020204" pitchFamily="7" charset="0"/>
              <a:buChar char="•"/>
            </a:pPr>
            <a:r>
              <a:rPr lang="en-US" sz="1000"/>
              <a:t>What-If</a:t>
            </a:r>
            <a:r>
              <a:rPr lang="en-US" sz="1000" baseline="0"/>
              <a:t> Analysis</a:t>
            </a:r>
            <a:endParaRPr lang="en-US" sz="1000"/>
          </a:p>
          <a:p>
            <a:pPr marL="171450" indent="-171450">
              <a:buFont typeface="Arial" panose="020B0604020202020204" pitchFamily="7" charset="0"/>
              <a:buChar char="•"/>
            </a:pPr>
            <a:r>
              <a:rPr lang="en-US" sz="1000"/>
              <a:t>Sensitivity</a:t>
            </a:r>
            <a:r>
              <a:rPr lang="en-US" sz="1000" baseline="0"/>
              <a:t> Analysis</a:t>
            </a:r>
            <a:endParaRPr lang="en-US" sz="1000"/>
          </a:p>
        </xdr:txBody>
      </xdr:sp>
      <xdr:sp>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485265" y="68580"/>
          <a:ext cx="4824095" cy="272415"/>
          <a:chOff x="1699868" y="-214402"/>
          <a:chExt cx="3042073" cy="295275"/>
        </a:xfrm>
      </xdr:grpSpPr>
      <xdr:sp>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67585" name="ComboBox1" hidden="1">
                <a:extLst>
                  <a:ext uri="{63B3BB69-23CF-44E3-9099-C40C66FF867C}">
                    <a14:compatExt spid="_x0000_s67585"/>
                  </a:ext>
                </a:extLst>
              </xdr:cNvPr>
              <xdr:cNvSpPr/>
            </xdr:nvSpPr>
            <xdr:spPr>
              <a:xfrm>
                <a:off x="2595521" y="-165235"/>
                <a:ext cx="2057902" cy="206673"/>
              </a:xfrm>
              <a:prstGeom prst="rect">
                <a:avLst/>
              </a:prstGeom>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xdr:nvSpPr>
        <xdr:cNvPr id="19" name="ButtonReturn2Sim"/>
        <xdr:cNvSpPr/>
      </xdr:nvSpPr>
      <xdr:spPr>
        <a:xfrm>
          <a:off x="11346180" y="40640"/>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endParaRPr lang="en-US" sz="800" b="1">
            <a:solidFill>
              <a:sysClr val="windowText" lastClr="000000"/>
            </a:solidFill>
          </a:endParaRP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xdr:nvSpPr>
        <xdr:cNvPr id="20" name="ButtonReturn2Sim"/>
        <xdr:cNvSpPr/>
      </xdr:nvSpPr>
      <xdr:spPr>
        <a:xfrm>
          <a:off x="6442710" y="38100"/>
          <a:ext cx="84963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endParaRPr lang="en-US" sz="800" b="1">
            <a:solidFill>
              <a:sysClr val="windowText" lastClr="000000"/>
            </a:solidFill>
          </a:endParaRPr>
        </a:p>
      </xdr:txBody>
    </xdr:sp>
    <xdr:clientData/>
  </xdr:twoCellAnchor>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772795" y="426720"/>
          <a:ext cx="0" cy="581025"/>
          <a:chOff x="0" y="393403"/>
          <a:chExt cx="676275" cy="759114"/>
        </a:xfrm>
      </xdr:grpSpPr>
      <mc:AlternateContent xmlns:mc="http://schemas.openxmlformats.org/markup-compatibility/2006">
        <mc:Choice xmlns:a14="http://schemas.microsoft.com/office/drawing/2010/main" Requires="a14">
          <xdr:sp>
            <xdr:nvSpPr>
              <xdr:cNvPr id="67586" name="Check Box 2" hidden="1">
                <a:extLst>
                  <a:ext uri="{63B3BB69-23CF-44E3-9099-C40C66FF867C}">
                    <a14:compatExt spid="_x0000_s67586"/>
                  </a:ext>
                </a:extLst>
              </xdr:cNvPr>
              <xdr:cNvSpPr/>
            </xdr:nvSpPr>
            <xdr:spPr>
              <a:xfrm>
                <a:off x="676275" y="393403"/>
                <a:ext cx="0" cy="219074"/>
              </a:xfrm>
              <a:prstGeom prst="rect">
                <a:avLst/>
              </a:prstGeom>
            </xdr:spPr>
          </xdr:sp>
        </mc:Choice>
        <mc:Fallback/>
      </mc:AlternateContent>
      <mc:AlternateContent xmlns:mc="http://schemas.openxmlformats.org/markup-compatibility/2006">
        <mc:Choice xmlns:a14="http://schemas.microsoft.com/office/drawing/2010/main" Requires="a14">
          <xdr:sp>
            <xdr:nvSpPr>
              <xdr:cNvPr id="67587" name="Check Box 3" hidden="1">
                <a:extLst>
                  <a:ext uri="{63B3BB69-23CF-44E3-9099-C40C66FF867C}">
                    <a14:compatExt spid="_x0000_s67587"/>
                  </a:ext>
                </a:extLst>
              </xdr:cNvPr>
              <xdr:cNvSpPr/>
            </xdr:nvSpPr>
            <xdr:spPr>
              <a:xfrm>
                <a:off x="676275" y="393407"/>
                <a:ext cx="0" cy="219065"/>
              </a:xfrm>
              <a:prstGeom prst="rect">
                <a:avLst/>
              </a:prstGeom>
            </xdr:spPr>
          </xdr:sp>
        </mc:Choice>
        <mc:Fallback/>
      </mc:AlternateContent>
      <mc:AlternateContent xmlns:mc="http://schemas.openxmlformats.org/markup-compatibility/2006">
        <mc:Choice xmlns:a14="http://schemas.microsoft.com/office/drawing/2010/main" Requires="a14">
          <xdr:sp>
            <xdr:nvSpPr>
              <xdr:cNvPr id="67588" name="Check Box 4" hidden="1">
                <a:extLst>
                  <a:ext uri="{63B3BB69-23CF-44E3-9099-C40C66FF867C}">
                    <a14:compatExt spid="_x0000_s67588"/>
                  </a:ext>
                </a:extLst>
              </xdr:cNvPr>
              <xdr:cNvSpPr/>
            </xdr:nvSpPr>
            <xdr:spPr>
              <a:xfrm>
                <a:off x="0" y="933443"/>
                <a:ext cx="0" cy="219074"/>
              </a:xfrm>
              <a:prstGeom prst="rect">
                <a:avLst/>
              </a:prstGeom>
            </xdr:spPr>
          </xdr:sp>
        </mc:Choice>
        <mc:Fallback/>
      </mc:AlternateContent>
    </xdr:grpSp>
    <xdr:clientData/>
  </xdr:twoCellAnchor>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449070" y="390525"/>
          <a:ext cx="304800" cy="588645"/>
          <a:chOff x="1133475" y="571487"/>
          <a:chExt cx="304800" cy="581032"/>
        </a:xfrm>
      </xdr:grpSpPr>
      <mc:AlternateContent xmlns:mc="http://schemas.openxmlformats.org/markup-compatibility/2006">
        <mc:Choice xmlns:a14="http://schemas.microsoft.com/office/drawing/2010/main" Requires="a14">
          <xdr:sp>
            <xdr:nvSpPr>
              <xdr:cNvPr id="67589" name="Check Box 5" hidden="1">
                <a:extLst>
                  <a:ext uri="{63B3BB69-23CF-44E3-9099-C40C66FF867C}">
                    <a14:compatExt spid="_x0000_s67589"/>
                  </a:ext>
                </a:extLst>
              </xdr:cNvPr>
              <xdr:cNvSpPr/>
            </xdr:nvSpPr>
            <xdr:spPr>
              <a:xfrm>
                <a:off x="1133475" y="571487"/>
                <a:ext cx="304800" cy="218952"/>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67590" name="Check Box 6" hidden="1">
                <a:extLst>
                  <a:ext uri="{63B3BB69-23CF-44E3-9099-C40C66FF867C}">
                    <a14:compatExt spid="_x0000_s67590"/>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67591" name="Check Box 7" hidden="1">
                <a:extLst>
                  <a:ext uri="{63B3BB69-23CF-44E3-9099-C40C66FF867C}">
                    <a14:compatExt spid="_x0000_s67591"/>
                  </a:ext>
                </a:extLst>
              </xdr:cNvPr>
              <xdr:cNvSpPr/>
            </xdr:nvSpPr>
            <xdr:spPr>
              <a:xfrm>
                <a:off x="1133475" y="933566"/>
                <a:ext cx="304800" cy="218953"/>
              </a:xfrm>
              <a:prstGeom prst="rect">
                <a:avLst/>
              </a:prstGeom>
            </xdr:spPr>
            <xdr:txBody>
              <a:bodyPr/>
              <a:p>
                <a:endParaRPr lang="zh-CN" altLang="en-US"/>
              </a:p>
            </xdr:txBody>
          </xdr:sp>
        </mc:Choice>
        <mc:Fallback/>
      </mc:AlternateContent>
    </xdr:grpSp>
    <xdr:clientData/>
  </xdr:twoCellAnchor>
  <xdr:twoCellAnchor>
    <xdr:from>
      <xdr:col>5</xdr:col>
      <xdr:colOff>257010</xdr:colOff>
      <xdr:row>282</xdr:row>
      <xdr:rowOff>22602</xdr:rowOff>
    </xdr:from>
    <xdr:to>
      <xdr:col>7</xdr:col>
      <xdr:colOff>571278</xdr:colOff>
      <xdr:row>283</xdr:row>
      <xdr:rowOff>21799</xdr:rowOff>
    </xdr:to>
    <xdr:sp macro="[0]!MS_AutoRange">
      <xdr:nvSpPr>
        <xdr:cNvPr id="29" name="ButtonReturn2Sim"/>
        <xdr:cNvSpPr/>
      </xdr:nvSpPr>
      <xdr:spPr>
        <a:xfrm>
          <a:off x="5295265" y="42612310"/>
          <a:ext cx="2055495" cy="199390"/>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endParaRPr lang="en-US" sz="1000" b="1">
            <a:solidFill>
              <a:sysClr val="windowText" lastClr="000000"/>
            </a:solidFill>
          </a:endParaRPr>
        </a:p>
      </xdr:txBody>
    </xdr:sp>
    <xdr:clientData/>
  </xdr:twoCellAnchor>
  <xdr:twoCellAnchor>
    <xdr:from>
      <xdr:col>7</xdr:col>
      <xdr:colOff>634001</xdr:colOff>
      <xdr:row>282</xdr:row>
      <xdr:rowOff>21172</xdr:rowOff>
    </xdr:from>
    <xdr:to>
      <xdr:col>8</xdr:col>
      <xdr:colOff>405343</xdr:colOff>
      <xdr:row>283</xdr:row>
      <xdr:rowOff>21166</xdr:rowOff>
    </xdr:to>
    <xdr:sp macro="[0]!MCSreset">
      <xdr:nvSpPr>
        <xdr:cNvPr id="30" name="ButtonReturn2Sim"/>
        <xdr:cNvSpPr/>
      </xdr:nvSpPr>
      <xdr:spPr>
        <a:xfrm>
          <a:off x="7413625" y="42611040"/>
          <a:ext cx="685800"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endParaRPr lang="en-US" sz="1000" b="1">
            <a:solidFill>
              <a:sysClr val="windowText" lastClr="000000"/>
            </a:solidFill>
          </a:endParaRPr>
        </a:p>
      </xdr:txBody>
    </xdr:sp>
    <xdr:clientData/>
  </xdr:twoCellAnchor>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6344920" y="424815"/>
          <a:ext cx="302895" cy="409575"/>
          <a:chOff x="5191125" y="428625"/>
          <a:chExt cx="304800" cy="409575"/>
        </a:xfrm>
      </xdr:grpSpPr>
      <mc:AlternateContent xmlns:mc="http://schemas.openxmlformats.org/markup-compatibility/2006">
        <mc:Choice xmlns:a14="http://schemas.microsoft.com/office/drawing/2010/main" Requires="a14">
          <xdr:sp>
            <xdr:nvSpPr>
              <xdr:cNvPr id="67592" name="Check Box 8" hidden="1">
                <a:extLst>
                  <a:ext uri="{63B3BB69-23CF-44E3-9099-C40C66FF867C}">
                    <a14:compatExt spid="_x0000_s67592"/>
                  </a:ext>
                </a:extLst>
              </xdr:cNvPr>
              <xdr:cNvSpPr/>
            </xdr:nvSpPr>
            <xdr:spPr>
              <a:xfrm>
                <a:off x="5191125" y="42862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67593" name="Check Box 9" hidden="1">
                <a:extLst>
                  <a:ext uri="{63B3BB69-23CF-44E3-9099-C40C66FF867C}">
                    <a14:compatExt spid="_x0000_s67593"/>
                  </a:ext>
                </a:extLst>
              </xdr:cNvPr>
              <xdr:cNvSpPr/>
            </xdr:nvSpPr>
            <xdr:spPr>
              <a:xfrm>
                <a:off x="5191125" y="619125"/>
                <a:ext cx="304800" cy="219075"/>
              </a:xfrm>
              <a:prstGeom prst="rect">
                <a:avLst/>
              </a:prstGeom>
            </xdr:spPr>
            <xdr:txBody>
              <a:bodyPr/>
              <a:p>
                <a:endParaRPr lang="zh-CN" altLang="en-US"/>
              </a:p>
            </xdr:txBody>
          </xdr:sp>
        </mc:Choice>
        <mc:Fallback/>
      </mc:AlternateContent>
    </xdr:grpSp>
    <xdr:clientData/>
  </xdr:twoCellAnchor>
  <xdr:twoCellAnchor>
    <xdr:from>
      <xdr:col>9</xdr:col>
      <xdr:colOff>900117</xdr:colOff>
      <xdr:row>282</xdr:row>
      <xdr:rowOff>21166</xdr:rowOff>
    </xdr:from>
    <xdr:to>
      <xdr:col>10</xdr:col>
      <xdr:colOff>702209</xdr:colOff>
      <xdr:row>283</xdr:row>
      <xdr:rowOff>22860</xdr:rowOff>
    </xdr:to>
    <xdr:sp macro="[0]!MCSchangeCycle">
      <xdr:nvSpPr>
        <xdr:cNvPr id="39" name="MCSCI"/>
        <xdr:cNvSpPr/>
      </xdr:nvSpPr>
      <xdr:spPr>
        <a:xfrm>
          <a:off x="9769475" y="42611040"/>
          <a:ext cx="1053465" cy="201930"/>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endParaRPr lang="en-US" sz="1000" b="1"/>
        </a:p>
      </xdr:txBody>
    </xdr:sp>
    <xdr:clientData/>
  </xdr:twoCellAnchor>
  <xdr:twoCellAnchor>
    <xdr:from>
      <xdr:col>11</xdr:col>
      <xdr:colOff>737759</xdr:colOff>
      <xdr:row>282</xdr:row>
      <xdr:rowOff>21167</xdr:rowOff>
    </xdr:from>
    <xdr:to>
      <xdr:col>13</xdr:col>
      <xdr:colOff>101257</xdr:colOff>
      <xdr:row>283</xdr:row>
      <xdr:rowOff>21508</xdr:rowOff>
    </xdr:to>
    <xdr:sp macro="[0]!unhideMCS">
      <xdr:nvSpPr>
        <xdr:cNvPr id="36" name="MCSCI"/>
        <xdr:cNvSpPr/>
      </xdr:nvSpPr>
      <xdr:spPr>
        <a:xfrm>
          <a:off x="11968480" y="42611040"/>
          <a:ext cx="1311910"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xdr:nvSpPr>
        <xdr:cNvPr id="37" name="MCSCI"/>
        <xdr:cNvSpPr/>
      </xdr:nvSpPr>
      <xdr:spPr>
        <a:xfrm>
          <a:off x="10880725" y="42612310"/>
          <a:ext cx="1028700" cy="19875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endParaRPr lang="en-US" sz="1000" b="1"/>
        </a:p>
      </xdr:txBody>
    </xdr:sp>
    <xdr:clientData/>
  </xdr:twoCellAnchor>
  <xdr:twoCellAnchor>
    <xdr:from>
      <xdr:col>4</xdr:col>
      <xdr:colOff>266700</xdr:colOff>
      <xdr:row>237</xdr:row>
      <xdr:rowOff>76200</xdr:rowOff>
    </xdr:from>
    <xdr:to>
      <xdr:col>5</xdr:col>
      <xdr:colOff>83820</xdr:colOff>
      <xdr:row>239</xdr:row>
      <xdr:rowOff>53340</xdr:rowOff>
    </xdr:to>
    <xdr:sp macro="[0]!aReleas1e">
      <xdr:nvSpPr>
        <xdr:cNvPr id="53" name="ButtonReturn2Sim"/>
        <xdr:cNvSpPr/>
      </xdr:nvSpPr>
      <xdr:spPr>
        <a:xfrm>
          <a:off x="4271645" y="36103560"/>
          <a:ext cx="85090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endParaRPr lang="en-US" sz="800" b="1">
            <a:solidFill>
              <a:sysClr val="windowText" lastClr="000000"/>
            </a:solidFill>
          </a:endParaRPr>
        </a:p>
      </xdr:txBody>
    </xdr:sp>
    <xdr:clientData/>
  </xdr:twoCellAnchor>
  <xdr:twoCellAnchor>
    <xdr:from>
      <xdr:col>5</xdr:col>
      <xdr:colOff>171450</xdr:colOff>
      <xdr:row>237</xdr:row>
      <xdr:rowOff>76200</xdr:rowOff>
    </xdr:from>
    <xdr:to>
      <xdr:col>6</xdr:col>
      <xdr:colOff>149135</xdr:colOff>
      <xdr:row>239</xdr:row>
      <xdr:rowOff>53340</xdr:rowOff>
    </xdr:to>
    <xdr:sp macro="[0]!aProtec1t">
      <xdr:nvSpPr>
        <xdr:cNvPr id="54" name="ButtonReturn2Sim"/>
        <xdr:cNvSpPr/>
      </xdr:nvSpPr>
      <xdr:spPr>
        <a:xfrm>
          <a:off x="5210175" y="36103560"/>
          <a:ext cx="84772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endParaRPr lang="en-US" sz="800" b="1">
            <a:solidFill>
              <a:sysClr val="windowText" lastClr="000000"/>
            </a:solidFill>
          </a:endParaRP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cdr:nvSpPr>
        <cdr:cNvPr id="2" name="矩形 1"/>
        <cdr:cNvSpPr/>
      </cdr:nvSpPr>
      <cdr:spPr xmlns:a="http://schemas.openxmlformats.org/drawingml/2006/main">
        <a:xfrm xmlns:a="http://schemas.openxmlformats.org/drawingml/2006/main">
          <a:off x="1809748" y="10189"/>
          <a:ext cx="1735667" cy="253136"/>
        </a:xfrm>
        <a:prstGeom xmlns:a="http://schemas.openxmlformats.org/drawingml/2006/main" prst="rect">
          <a:avLst/>
        </a:prstGeom>
      </cdr:spPr>
      <cdr:txBody xmlns:a="http://schemas.openxmlformats.org/drawingml/2006/main">
        <a:bodyPr vertOverflow="clip" wrap="none" rtlCol="0"/>
        <a:lstStyle/>
        <a:p>
          <a:r>
            <a:rPr lang="en-US" sz="1100" b="1"/>
            <a:t>36 month profit after taxes (in thousands)</a:t>
          </a:r>
          <a:endParaRPr lang="en-US" sz="1100" b="1"/>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cdr:nvSpPr>
        <cdr:cNvPr id="2" name="矩形 1"/>
        <cdr:cNvSpPr/>
      </cdr:nvSpPr>
      <cdr:spPr xmlns:a="http://schemas.openxmlformats.org/drawingml/2006/main">
        <a:xfrm xmlns:a="http://schemas.openxmlformats.org/drawingml/2006/main">
          <a:off x="1830917" y="0"/>
          <a:ext cx="1629833" cy="252943"/>
        </a:xfrm>
        <a:prstGeom xmlns:a="http://schemas.openxmlformats.org/drawingml/2006/main" prst="rect">
          <a:avLst/>
        </a:prstGeom>
      </cdr:spPr>
      <cdr:txBody xmlns:a="http://schemas.openxmlformats.org/drawingml/2006/main">
        <a:bodyPr wrap="non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cdr:nvSpPr>
        <cdr:cNvPr id="2" name="矩形 1"/>
        <cdr:cNvSpPr/>
      </cdr:nvSpPr>
      <cdr:spPr xmlns:a="http://schemas.openxmlformats.org/drawingml/2006/main">
        <a:xfrm xmlns:a="http://schemas.openxmlformats.org/drawingml/2006/main">
          <a:off x="1830916" y="9527"/>
          <a:ext cx="1481667" cy="232832"/>
        </a:xfrm>
        <a:prstGeom xmlns:a="http://schemas.openxmlformats.org/drawingml/2006/main" prst="rect">
          <a:avLst/>
        </a:prstGeom>
      </cdr:spPr>
      <cdr:txBody xmlns:a="http://schemas.openxmlformats.org/drawingml/2006/main">
        <a:bodyPr wrap="non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1"/>
            <a:t>FY-2 profit after taxes (in thousands)</a:t>
          </a:r>
          <a:endParaRPr lang="en-US" sz="1100" b="1"/>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cdr:nvSpPr>
        <cdr:cNvPr id="2" name="矩形 1"/>
        <cdr:cNvSpPr/>
      </cdr:nvSpPr>
      <cdr:spPr xmlns:a="http://schemas.openxmlformats.org/drawingml/2006/main">
        <a:xfrm xmlns:a="http://schemas.openxmlformats.org/drawingml/2006/main">
          <a:off x="1809750" y="0"/>
          <a:ext cx="1502833" cy="284692"/>
        </a:xfrm>
        <a:prstGeom xmlns:a="http://schemas.openxmlformats.org/drawingml/2006/main" prst="rect">
          <a:avLst/>
        </a:prstGeom>
      </cdr:spPr>
      <cdr:txBody xmlns:a="http://schemas.openxmlformats.org/drawingml/2006/main">
        <a:bodyPr wrap="non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1"/>
            <a:t>FY-3 profit after taxes (in thousands)</a:t>
          </a:r>
          <a:endParaRPr lang="en-US" sz="1100" b="1"/>
        </a:p>
      </cdr:txBody>
    </cdr:sp>
  </cdr:relSizeAnchor>
</c:userShapes>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190" y="37913945"/>
          <a:ext cx="11188065" cy="7670165"/>
          <a:chOff x="1962150" y="38671500"/>
          <a:chExt cx="9734550" cy="7572375"/>
        </a:xfrm>
      </xdr:grpSpPr>
      <xdr:sp>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endParaRPr lang="en-US" sz="1600" b="1">
              <a:solidFill>
                <a:sysClr val="windowText" lastClr="000000"/>
              </a:solidFill>
            </a:endParaRP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379220" y="35140900"/>
          <a:ext cx="6932295" cy="1396365"/>
          <a:chOff x="1289957" y="35115954"/>
          <a:chExt cx="6135054" cy="1386704"/>
        </a:xfrm>
      </xdr:grpSpPr>
      <xdr:graphicFrame>
        <xdr:nvGraphicFramePr>
          <xdr:cNvPr id="117" name="Chart 116"/>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xdr:nvGraphicFramePr>
          <xdr:cNvPr id="118" name="Chart 117"/>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xdr:nvGraphicFramePr>
          <xdr:cNvPr id="119" name="Chart 118"/>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428750" y="33355915"/>
          <a:ext cx="6783070" cy="1883410"/>
          <a:chOff x="1285193" y="33262660"/>
          <a:chExt cx="5985376" cy="1870228"/>
        </a:xfrm>
      </xdr:grpSpPr>
      <xdr:graphicFrame>
        <xdr:nvGraphicFramePr>
          <xdr:cNvPr id="113" name="Chart 112"/>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xdr:nvGraphicFramePr>
          <xdr:cNvPr id="112" name="Chart 111"/>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xdr:nvSpPr>
          <xdr:cNvPr id="114" name="Up Arrow 113"/>
          <xdr:cNvSpPr/>
        </xdr:nvSpPr>
        <xdr:spPr>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xdr:nvSpPr>
          <xdr:cNvPr id="115" name="Up Arrow 114"/>
          <xdr:cNvSpPr/>
        </xdr:nvSpPr>
        <xdr:spPr>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xdr:nvSpPr>
          <xdr:cNvPr id="116" name="Up Arrow 115"/>
          <xdr:cNvSpPr/>
        </xdr:nvSpPr>
        <xdr:spPr>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849370" y="38190170"/>
          <a:ext cx="2573020" cy="7306945"/>
          <a:chOff x="4494213" y="38964289"/>
          <a:chExt cx="2300287" cy="7192618"/>
        </a:xfrm>
      </xdr:grpSpPr>
      <xdr:graphicFrame>
        <xdr:nvGraphicFramePr>
          <xdr:cNvPr id="29" name="Chart 28"/>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xdr:nvGraphicFramePr>
          <xdr:cNvPr id="32" name="Chart 31"/>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xdr:nvGraphicFramePr>
          <xdr:cNvPr id="34" name="Chart 33"/>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xdr:nvGraphicFramePr>
          <xdr:cNvPr id="37" name="Chart 36"/>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xdr:nvGraphicFramePr>
          <xdr:cNvPr id="40" name="Chart 39"/>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6605270" y="38202235"/>
          <a:ext cx="2583815" cy="7303135"/>
          <a:chOff x="6924675" y="38976300"/>
          <a:chExt cx="2311401" cy="7188891"/>
        </a:xfrm>
      </xdr:grpSpPr>
      <xdr:graphicFrame>
        <xdr:nvGraphicFramePr>
          <xdr:cNvPr id="30" name="Chart 29"/>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xdr:nvGraphicFramePr>
          <xdr:cNvPr id="33" name="Chart 32"/>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xdr:nvGraphicFramePr>
          <xdr:cNvPr id="35" name="Chart 34"/>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xdr:nvGraphicFramePr>
          <xdr:cNvPr id="38" name="Chart 37"/>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xdr:nvGraphicFramePr>
          <xdr:cNvPr id="41" name="Chart 40"/>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55" y="38193345"/>
          <a:ext cx="2727325" cy="7308215"/>
          <a:chOff x="2046634" y="38968018"/>
          <a:chExt cx="2295525" cy="7193859"/>
        </a:xfrm>
      </xdr:grpSpPr>
      <xdr:graphicFrame>
        <xdr:nvGraphicFramePr>
          <xdr:cNvPr id="28" name="Chart 27"/>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xdr:nvGraphicFramePr>
          <xdr:cNvPr id="36" name="Chart 35"/>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xdr:nvGraphicFramePr>
          <xdr:cNvPr id="39" name="Chart 38"/>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xdr:nvGraphicFramePr>
          <xdr:cNvPr id="42" name="Chart 41"/>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xdr:nvGraphicFramePr>
          <xdr:cNvPr id="43" name="Chart 42"/>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0815" y="397510"/>
          <a:ext cx="11257915" cy="608330"/>
          <a:chOff x="161922" y="523874"/>
          <a:chExt cx="9415487" cy="594912"/>
        </a:xfrm>
        <a:solidFill>
          <a:schemeClr val="accent5">
            <a:lumMod val="20000"/>
            <a:lumOff val="80000"/>
          </a:schemeClr>
        </a:solidFill>
      </xdr:grpSpPr>
      <xdr:sp>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00"/>
              <a:t>Trend Analysis</a:t>
            </a:r>
            <a:endParaRPr lang="en-US" sz="1000"/>
          </a:p>
          <a:p>
            <a:pPr marL="0" indent="0">
              <a:buFont typeface="Arial" panose="020B0604020202020204" pitchFamily="7" charset="0"/>
              <a:buNone/>
            </a:pPr>
            <a:endParaRPr lang="en-US" sz="1000" baseline="0"/>
          </a:p>
          <a:p>
            <a:pPr marL="0" indent="0">
              <a:buFont typeface="Arial" panose="020B0604020202020204" pitchFamily="7" charset="0"/>
              <a:buNone/>
            </a:pPr>
            <a:endParaRPr lang="en-US" sz="1000" baseline="0"/>
          </a:p>
        </xdr:txBody>
      </xdr:sp>
      <xdr:sp>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00"/>
              <a:t>Key Success Indicators</a:t>
            </a:r>
            <a:endParaRPr lang="en-US" sz="1000"/>
          </a:p>
          <a:p>
            <a:pPr marL="171450" indent="-171450">
              <a:buFont typeface="Arial" panose="020B0604020202020204" pitchFamily="7" charset="0"/>
              <a:buChar char="•"/>
            </a:pPr>
            <a:r>
              <a:rPr lang="en-US" sz="1000"/>
              <a:t>Key Performance Indicators</a:t>
            </a:r>
            <a:endParaRPr lang="en-US" sz="1000"/>
          </a:p>
          <a:p>
            <a:pPr marL="171450" indent="-171450">
              <a:buFont typeface="Arial" panose="020B0604020202020204" pitchFamily="7" charset="0"/>
              <a:buChar char="•"/>
            </a:pPr>
            <a:r>
              <a:rPr lang="en-US" sz="1000"/>
              <a:t>Efficiency Ratios</a:t>
            </a:r>
            <a:endParaRPr lang="en-US" sz="1000"/>
          </a:p>
        </xdr:txBody>
      </xdr:sp>
      <xdr:sp>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7465" y="0"/>
          <a:ext cx="11430635" cy="409575"/>
          <a:chOff x="38099" y="0"/>
          <a:chExt cx="9104979" cy="514348"/>
        </a:xfrm>
      </xdr:grpSpPr>
      <xdr:sp>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52" name="Round Single Corner Rectangle 51"/>
          <xdr:cNvSpPr/>
        </xdr:nvSpPr>
        <xdr:spPr>
          <a:xfrm rot="10800000">
            <a:off x="38099" y="0"/>
            <a:ext cx="9104979" cy="514348"/>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66562" name="ComboBox1" hidden="1">
                  <a:extLst>
                    <a:ext uri="{63B3BB69-23CF-44E3-9099-C40C66FF867C}">
                      <a14:compatExt spid="_x0000_s66562"/>
                    </a:ext>
                  </a:extLst>
                </xdr:cNvPr>
                <xdr:cNvSpPr/>
              </xdr:nvSpPr>
              <xdr:spPr>
                <a:xfrm>
                  <a:off x="2647951" y="-169747"/>
                  <a:ext cx="2552700" cy="284046"/>
                </a:xfrm>
                <a:prstGeom prst="rect">
                  <a:avLst/>
                </a:prstGeom>
              </xdr:spPr>
            </xdr:sp>
          </mc:Choice>
          <mc:Fallback/>
        </mc:AlternateContent>
      </xdr:grpSp>
      <xdr:sp macro="[0]!return2navigator">
        <xdr:nvSpPr>
          <xdr:cNvPr id="54" name="ButtonReturn2Sim"/>
          <xdr:cNvSpPr/>
        </xdr:nvSpPr>
        <xdr:spPr>
          <a:xfrm>
            <a:off x="6223944" y="55444"/>
            <a:ext cx="737483"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endParaRPr lang="en-US" sz="800" b="1">
              <a:solidFill>
                <a:sysClr val="windowText" lastClr="000000"/>
              </a:solidFill>
            </a:endParaRPr>
          </a:p>
        </xdr:txBody>
      </xdr:sp>
      <xdr:sp macro="[0]!forcecalculationperformance">
        <xdr:nvSpPr>
          <xdr:cNvPr id="55" name="ButtonReturn2Sim"/>
          <xdr:cNvSpPr/>
        </xdr:nvSpPr>
        <xdr:spPr>
          <a:xfrm>
            <a:off x="5374263" y="49671"/>
            <a:ext cx="737483" cy="411480"/>
          </a:xfrm>
          <a:prstGeom prst="roundRect">
            <a:avLst/>
          </a:prstGeom>
          <a:solidFill>
            <a:schemeClr val="accent5"/>
          </a:solid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endParaRPr lang="en-US" sz="800" b="1">
              <a:solidFill>
                <a:schemeClr val="bg1"/>
              </a:solidFill>
            </a:endParaRPr>
          </a:p>
        </xdr:txBody>
      </xdr:sp>
    </xdr:grpSp>
    <xdr:clientData/>
  </xdr:twoCellAnchor>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1109980" y="426720"/>
          <a:ext cx="0" cy="581025"/>
          <a:chOff x="0" y="393404"/>
          <a:chExt cx="971550" cy="759092"/>
        </a:xfrm>
      </xdr:grpSpPr>
      <mc:AlternateContent xmlns:mc="http://schemas.openxmlformats.org/markup-compatibility/2006">
        <mc:Choice xmlns:a14="http://schemas.microsoft.com/office/drawing/2010/main" Requires="a14">
          <xdr:sp>
            <xdr:nvSpPr>
              <xdr:cNvPr id="66563" name="Check Box 3" hidden="1">
                <a:extLst>
                  <a:ext uri="{63B3BB69-23CF-44E3-9099-C40C66FF867C}">
                    <a14:compatExt spid="_x0000_s66563"/>
                  </a:ext>
                </a:extLst>
              </xdr:cNvPr>
              <xdr:cNvSpPr/>
            </xdr:nvSpPr>
            <xdr:spPr>
              <a:xfrm>
                <a:off x="971550" y="393404"/>
                <a:ext cx="0" cy="219082"/>
              </a:xfrm>
              <a:prstGeom prst="rect">
                <a:avLst/>
              </a:prstGeom>
            </xdr:spPr>
          </xdr:sp>
        </mc:Choice>
        <mc:Fallback/>
      </mc:AlternateContent>
      <mc:AlternateContent xmlns:mc="http://schemas.openxmlformats.org/markup-compatibility/2006">
        <mc:Choice xmlns:a14="http://schemas.microsoft.com/office/drawing/2010/main" Requires="a14">
          <xdr:sp>
            <xdr:nvSpPr>
              <xdr:cNvPr id="66564" name="Check Box 4" hidden="1">
                <a:extLst>
                  <a:ext uri="{63B3BB69-23CF-44E3-9099-C40C66FF867C}">
                    <a14:compatExt spid="_x0000_s66564"/>
                  </a:ext>
                </a:extLst>
              </xdr:cNvPr>
              <xdr:cNvSpPr/>
            </xdr:nvSpPr>
            <xdr:spPr>
              <a:xfrm>
                <a:off x="971550" y="393408"/>
                <a:ext cx="0" cy="219075"/>
              </a:xfrm>
              <a:prstGeom prst="rect">
                <a:avLst/>
              </a:prstGeom>
            </xdr:spPr>
          </xdr:sp>
        </mc:Choice>
        <mc:Fallback/>
      </mc:AlternateContent>
      <mc:AlternateContent xmlns:mc="http://schemas.openxmlformats.org/markup-compatibility/2006">
        <mc:Choice xmlns:a14="http://schemas.microsoft.com/office/drawing/2010/main" Requires="a14">
          <xdr:sp>
            <xdr:nvSpPr>
              <xdr:cNvPr id="66565" name="Check Box 5" hidden="1">
                <a:extLst>
                  <a:ext uri="{63B3BB69-23CF-44E3-9099-C40C66FF867C}">
                    <a14:compatExt spid="_x0000_s66565"/>
                  </a:ext>
                </a:extLst>
              </xdr:cNvPr>
              <xdr:cNvSpPr/>
            </xdr:nvSpPr>
            <xdr:spPr>
              <a:xfrm>
                <a:off x="0" y="933418"/>
                <a:ext cx="0" cy="219078"/>
              </a:xfrm>
              <a:prstGeom prst="rect">
                <a:avLst/>
              </a:prstGeom>
            </xdr:spPr>
          </xdr:sp>
        </mc:Choice>
        <mc:Fallback/>
      </mc:AlternateContent>
    </xdr:grpSp>
    <xdr:clientData/>
  </xdr:twoCellAnchor>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281430" y="410845"/>
          <a:ext cx="304800" cy="581025"/>
          <a:chOff x="1133475" y="571765"/>
          <a:chExt cx="304800" cy="581034"/>
        </a:xfrm>
      </xdr:grpSpPr>
      <mc:AlternateContent xmlns:mc="http://schemas.openxmlformats.org/markup-compatibility/2006">
        <mc:Choice xmlns:a14="http://schemas.microsoft.com/office/drawing/2010/main" Requires="a14">
          <xdr:sp>
            <xdr:nvSpPr>
              <xdr:cNvPr id="66566" name="Check Box 6" hidden="1">
                <a:extLst>
                  <a:ext uri="{63B3BB69-23CF-44E3-9099-C40C66FF867C}">
                    <a14:compatExt spid="_x0000_s66566"/>
                  </a:ext>
                </a:extLst>
              </xdr:cNvPr>
              <xdr:cNvSpPr/>
            </xdr:nvSpPr>
            <xdr:spPr>
              <a:xfrm>
                <a:off x="1133475" y="571765"/>
                <a:ext cx="304800" cy="219130"/>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66567" name="Check Box 7" hidden="1">
                <a:extLst>
                  <a:ext uri="{63B3BB69-23CF-44E3-9099-C40C66FF867C}">
                    <a14:compatExt spid="_x0000_s66567"/>
                  </a:ext>
                </a:extLst>
              </xdr:cNvPr>
              <xdr:cNvSpPr/>
            </xdr:nvSpPr>
            <xdr:spPr>
              <a:xfrm>
                <a:off x="1133475" y="752475"/>
                <a:ext cx="304800" cy="219076"/>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66568" name="Check Box 8" hidden="1">
                <a:extLst>
                  <a:ext uri="{63B3BB69-23CF-44E3-9099-C40C66FF867C}">
                    <a14:compatExt spid="_x0000_s66568"/>
                  </a:ext>
                </a:extLst>
              </xdr:cNvPr>
              <xdr:cNvSpPr/>
            </xdr:nvSpPr>
            <xdr:spPr>
              <a:xfrm>
                <a:off x="1133475" y="933675"/>
                <a:ext cx="304800" cy="219124"/>
              </a:xfrm>
              <a:prstGeom prst="rect">
                <a:avLst/>
              </a:prstGeom>
            </xdr:spPr>
            <xdr:txBody>
              <a:bodyPr/>
              <a:p>
                <a:endParaRPr lang="zh-CN" altLang="en-US"/>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xdr:nvSpPr>
            <xdr:cNvPr id="66569" name="Check Box 9" hidden="1">
              <a:extLst>
                <a:ext uri="{63B3BB69-23CF-44E3-9099-C40C66FF867C}">
                  <a14:compatExt spid="_x0000_s66569"/>
                </a:ext>
              </a:extLst>
            </xdr:cNvPr>
            <xdr:cNvSpPr/>
          </xdr:nvSpPr>
          <xdr:spPr>
            <a:xfrm>
              <a:off x="5385435" y="445770"/>
              <a:ext cx="405130" cy="219075"/>
            </a:xfrm>
            <a:prstGeom prst="rect">
              <a:avLst/>
            </a:prstGeom>
          </xdr:spPr>
          <xdr:txBody>
            <a:bodyPr/>
            <a:p>
              <a:endParaRPr lang="zh-CN" altLang="en-US"/>
            </a:p>
          </xdr:txBody>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r:embed="rId45"/>
        <a:stretch>
          <a:fillRect/>
        </a:stretch>
      </xdr:blipFill>
      <xdr:spPr>
        <a:xfrm>
          <a:off x="10810240" y="24765"/>
          <a:ext cx="363855"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xdr:nvGraphicFramePr>
        <xdr:cNvPr id="68" name="Chart 67"/>
        <xdr:cNvGraphicFramePr/>
      </xdr:nvGraphicFramePr>
      <xdr:xfrm>
        <a:off x="1148080" y="19787235"/>
        <a:ext cx="3298825" cy="2426335"/>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xdr:nvGraphicFramePr>
        <xdr:cNvPr id="69" name="Chart 68"/>
        <xdr:cNvGraphicFramePr/>
      </xdr:nvGraphicFramePr>
      <xdr:xfrm>
        <a:off x="4918710" y="19796760"/>
        <a:ext cx="3081655" cy="2426335"/>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xdr:nvGraphicFramePr>
        <xdr:cNvPr id="70" name="Chart 69"/>
        <xdr:cNvGraphicFramePr/>
      </xdr:nvGraphicFramePr>
      <xdr:xfrm>
        <a:off x="8348980" y="19796760"/>
        <a:ext cx="3133725" cy="2426335"/>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10143490" y="6971030"/>
          <a:ext cx="3843020" cy="5031740"/>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5"/>
              </a:graphicData>
            </a:graphic>
          </xdr:graphicFrame>
          <xdr:graphicFrame>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6"/>
              </a:graphicData>
            </a:graphic>
          </xdr:graphicFrame>
        </xdr:grpSp>
        <xdr:grpSp>
          <xdr:nvGrpSpPr>
            <xdr:cNvPr id="78" name="Group 77"/>
            <xdr:cNvGrpSpPr/>
          </xdr:nvGrpSpPr>
          <xdr:grpSpPr>
            <a:xfrm>
              <a:off x="9434511" y="5834062"/>
              <a:ext cx="2823211" cy="1645920"/>
              <a:chOff x="9520236" y="5186362"/>
              <a:chExt cx="2823211" cy="1645920"/>
            </a:xfrm>
          </xdr:grpSpPr>
          <xdr:graphicFrame>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7"/>
              </a:graphicData>
            </a:graphic>
          </xdr:graphicFrame>
          <xdr:graphicFrame>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8"/>
              </a:graphicData>
            </a:graphic>
          </xdr:graphicFrame>
        </xdr:grpSp>
        <xdr:grpSp>
          <xdr:nvGrpSpPr>
            <xdr:cNvPr id="79" name="Group 78"/>
            <xdr:cNvGrpSpPr/>
          </xdr:nvGrpSpPr>
          <xdr:grpSpPr>
            <a:xfrm>
              <a:off x="9434511" y="7100887"/>
              <a:ext cx="2823211" cy="1645920"/>
              <a:chOff x="9520236" y="5186362"/>
              <a:chExt cx="2823211" cy="1645920"/>
            </a:xfrm>
          </xdr:grpSpPr>
          <xdr:graphicFrame>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9"/>
              </a:graphicData>
            </a:graphic>
          </xdr:graphicFrame>
          <xdr:graphicFrame>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0"/>
              </a:graphicData>
            </a:graphic>
          </xdr:graphicFrame>
        </xdr:grpSp>
        <xdr:sp>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endParaRPr lang="en-US" sz="1100" b="1"/>
            </a:p>
          </xdr:txBody>
        </xdr:sp>
        <xdr:sp>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endParaRPr lang="en-US" sz="1100" b="1"/>
            </a:p>
          </xdr:txBody>
        </xdr:sp>
        <xdr:sp>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endParaRPr lang="en-US" sz="1100" b="1"/>
            </a:p>
          </xdr:txBody>
        </xdr:sp>
      </xdr:grpSp>
      <xdr:sp>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endParaRPr lang="en-US" sz="1100" b="0" cap="none" spc="0">
              <a:ln>
                <a:noFill/>
              </a:ln>
              <a:solidFill>
                <a:schemeClr val="tx1"/>
              </a:solidFill>
              <a:effectLst/>
              <a:latin typeface="+mn-lt"/>
              <a:ea typeface="+mn-ea"/>
              <a:cs typeface="+mn-cs"/>
            </a:endParaRP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endParaRPr lang="en-US" sz="1100" b="0" cap="none" spc="0" baseline="0">
              <a:ln>
                <a:noFill/>
              </a:ln>
              <a:solidFill>
                <a:schemeClr val="tx1"/>
              </a:solidFill>
              <a:effectLst/>
              <a:latin typeface="+mn-lt"/>
              <a:ea typeface="+mn-ea"/>
              <a:cs typeface="+mn-cs"/>
            </a:endParaRPr>
          </a:p>
          <a:p>
            <a:pPr marL="0" indent="0" algn="ctr"/>
            <a:r>
              <a:rPr lang="en-US" sz="1100" b="0" cap="none" spc="0" baseline="0">
                <a:ln>
                  <a:noFill/>
                </a:ln>
                <a:solidFill>
                  <a:schemeClr val="tx1"/>
                </a:solidFill>
                <a:effectLst/>
                <a:latin typeface="+mn-lt"/>
                <a:ea typeface="+mn-ea"/>
                <a:cs typeface="+mn-cs"/>
              </a:rPr>
              <a:t>Orange: Current Cycle</a:t>
            </a:r>
            <a:endParaRPr lang="en-US" sz="1100" b="0" cap="none" spc="0" baseline="0">
              <a:ln>
                <a:noFill/>
              </a:ln>
              <a:solidFill>
                <a:schemeClr val="tx1"/>
              </a:solidFill>
              <a:effectLst/>
              <a:latin typeface="+mn-lt"/>
              <a:ea typeface="+mn-ea"/>
              <a:cs typeface="+mn-cs"/>
            </a:endParaRPr>
          </a:p>
        </xdr:txBody>
      </xdr:sp>
    </xdr:grpSp>
    <xdr:clientData/>
  </xdr:twoCellAnchor>
  <xdr:twoCellAnchor>
    <xdr:from>
      <xdr:col>1</xdr:col>
      <xdr:colOff>0</xdr:colOff>
      <xdr:row>75</xdr:row>
      <xdr:rowOff>9525</xdr:rowOff>
    </xdr:from>
    <xdr:to>
      <xdr:col>5</xdr:col>
      <xdr:colOff>293524</xdr:colOff>
      <xdr:row>91</xdr:row>
      <xdr:rowOff>126358</xdr:rowOff>
    </xdr:to>
    <xdr:graphicFrame>
      <xdr:nvGraphicFramePr>
        <xdr:cNvPr id="89" name="Chart 88"/>
        <xdr:cNvGraphicFramePr/>
      </xdr:nvGraphicFramePr>
      <xdr:xfrm>
        <a:off x="1109980" y="13018135"/>
        <a:ext cx="4102100" cy="2747645"/>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xdr:nvGraphicFramePr>
        <xdr:cNvPr id="90" name="Chart 89"/>
        <xdr:cNvGraphicFramePr/>
      </xdr:nvGraphicFramePr>
      <xdr:xfrm>
        <a:off x="5769610" y="13034010"/>
        <a:ext cx="3903345" cy="2752725"/>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xdr:nvGraphicFramePr>
        <xdr:cNvPr id="93" name="Chart 92"/>
        <xdr:cNvGraphicFramePr/>
      </xdr:nvGraphicFramePr>
      <xdr:xfrm>
        <a:off x="6532880" y="22739985"/>
        <a:ext cx="4986020" cy="2740025"/>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xdr:nvGraphicFramePr>
        <xdr:cNvPr id="94" name="Chart 93"/>
        <xdr:cNvGraphicFramePr/>
      </xdr:nvGraphicFramePr>
      <xdr:xfrm>
        <a:off x="6529070" y="25874980"/>
        <a:ext cx="4989830" cy="2342515"/>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xdr:nvSpPr>
        <xdr:cNvPr id="95" name="TextBox 94"/>
        <xdr:cNvSpPr txBox="1"/>
      </xdr:nvSpPr>
      <xdr:spPr>
        <a:xfrm>
          <a:off x="6435090" y="22397085"/>
          <a:ext cx="5076825" cy="328930"/>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xdr:nvSpPr>
        <xdr:cNvPr id="96" name="TextBox 95"/>
        <xdr:cNvSpPr txBox="1"/>
      </xdr:nvSpPr>
      <xdr:spPr>
        <a:xfrm>
          <a:off x="6529705" y="25548590"/>
          <a:ext cx="4990465" cy="30670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xdr:nvSpPr>
        <xdr:cNvPr id="97" name="TextBox 96"/>
        <xdr:cNvSpPr txBox="1"/>
      </xdr:nvSpPr>
      <xdr:spPr>
        <a:xfrm>
          <a:off x="1269365" y="29690695"/>
          <a:ext cx="1381760" cy="4978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xdr:nvSpPr>
        <xdr:cNvPr id="98" name="TextBox 97"/>
        <xdr:cNvSpPr txBox="1"/>
      </xdr:nvSpPr>
      <xdr:spPr>
        <a:xfrm>
          <a:off x="2552065" y="30377130"/>
          <a:ext cx="937260" cy="55943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xdr:nvCxnSpPr>
        <xdr:cNvPr id="99" name="Elbow Connector 98"/>
        <xdr:cNvCxnSpPr/>
      </xdr:nvCxnSpPr>
      <xdr:spPr>
        <a:xfrm>
          <a:off x="2757170" y="29570045"/>
          <a:ext cx="560705" cy="408940"/>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xdr:nvCxnSpPr>
        <xdr:cNvPr id="100" name="Elbow Connector 99"/>
        <xdr:cNvCxnSpPr/>
      </xdr:nvCxnSpPr>
      <xdr:spPr>
        <a:xfrm>
          <a:off x="3707765" y="30260290"/>
          <a:ext cx="405765" cy="474345"/>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xdr:nvSpPr>
        <xdr:cNvPr id="101" name="TextBox 100"/>
        <xdr:cNvSpPr txBox="1"/>
      </xdr:nvSpPr>
      <xdr:spPr>
        <a:xfrm>
          <a:off x="838200" y="29089985"/>
          <a:ext cx="960120" cy="456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endParaRPr lang="en-US" sz="900"/>
        </a:p>
      </xdr:txBody>
    </xdr:sp>
    <xdr:clientData/>
  </xdr:twoCellAnchor>
  <xdr:twoCellAnchor>
    <xdr:from>
      <xdr:col>1</xdr:col>
      <xdr:colOff>803030</xdr:colOff>
      <xdr:row>173</xdr:row>
      <xdr:rowOff>19049</xdr:rowOff>
    </xdr:from>
    <xdr:to>
      <xdr:col>1</xdr:col>
      <xdr:colOff>971549</xdr:colOff>
      <xdr:row>174</xdr:row>
      <xdr:rowOff>128953</xdr:rowOff>
    </xdr:to>
    <xdr:sp>
      <xdr:nvSpPr>
        <xdr:cNvPr id="102" name="Left Brace 101"/>
        <xdr:cNvSpPr/>
      </xdr:nvSpPr>
      <xdr:spPr>
        <a:xfrm>
          <a:off x="1912620" y="29215715"/>
          <a:ext cx="168275" cy="274955"/>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xdr:nvSpPr>
        <xdr:cNvPr id="104" name="Down Arrow 103"/>
        <xdr:cNvSpPr/>
      </xdr:nvSpPr>
      <xdr:spPr>
        <a:xfrm rot="18343375">
          <a:off x="8225790" y="23637875"/>
          <a:ext cx="417195" cy="147701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xdr:nvSpPr>
        <xdr:cNvPr id="105" name="Down Arrow 104"/>
        <xdr:cNvSpPr/>
      </xdr:nvSpPr>
      <xdr:spPr>
        <a:xfrm rot="14649765">
          <a:off x="8220075" y="26708735"/>
          <a:ext cx="450850" cy="1099185"/>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414780" y="31149290"/>
          <a:ext cx="6819900" cy="2305050"/>
          <a:chOff x="1270908" y="31071911"/>
          <a:chExt cx="6022521" cy="2289149"/>
        </a:xfrm>
      </xdr:grpSpPr>
      <xdr:graphicFrame>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5"/>
          </a:graphicData>
        </a:graphic>
      </xdr:graphicFrame>
      <xdr:graphicFrame>
        <xdr:nvGraphicFramePr>
          <xdr:cNvPr id="92" name="Chart 91"/>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6"/>
          </a:graphicData>
        </a:graphic>
      </xdr:graphicFrame>
      <xdr:graphicFrame>
        <xdr:nvGraphicFramePr>
          <xdr:cNvPr id="103" name="Chart 102"/>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7"/>
          </a:graphicData>
        </a:graphic>
      </xdr:graphicFrame>
      <xdr:sp>
        <xdr:nvSpPr>
          <xdr:cNvPr id="107" name="Up Arrow 106"/>
          <xdr:cNvSpPr/>
        </xdr:nvSpPr>
        <xdr:spPr>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xdr:nvSpPr>
          <xdr:cNvPr id="108" name="Up Arrow 107"/>
          <xdr:cNvSpPr/>
        </xdr:nvSpPr>
        <xdr:spPr>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xdr:nvSpPr>
          <xdr:cNvPr id="109" name="Up Arrow 108"/>
          <xdr:cNvSpPr/>
        </xdr:nvSpPr>
        <xdr:spPr>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9287510" y="38202235"/>
          <a:ext cx="2621280" cy="7303135"/>
          <a:chOff x="9296400" y="38976300"/>
          <a:chExt cx="2311401" cy="7188891"/>
        </a:xfrm>
      </xdr:grpSpPr>
      <xdr:graphicFrame>
        <xdr:nvGraphicFramePr>
          <xdr:cNvPr id="106" name="Chart 105"/>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8"/>
          </a:graphicData>
        </a:graphic>
      </xdr:graphicFrame>
      <xdr:graphicFrame>
        <xdr:nvGraphicFramePr>
          <xdr:cNvPr id="110" name="Chart 109"/>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xdr:nvGraphicFramePr>
          <xdr:cNvPr id="111" name="Chart 110"/>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xdr:nvGraphicFramePr>
          <xdr:cNvPr id="120" name="Chart 119"/>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xdr:nvGraphicFramePr>
          <xdr:cNvPr id="121" name="Chart 120"/>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xdr:nvGraphicFramePr>
        <xdr:cNvPr id="13" name="Chart 12"/>
        <xdr:cNvGraphicFramePr/>
      </xdr:nvGraphicFramePr>
      <xdr:xfrm>
        <a:off x="942975" y="3448050"/>
        <a:ext cx="4271010" cy="2781935"/>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xdr:nvGraphicFramePr>
        <xdr:cNvPr id="14" name="Chart 13"/>
        <xdr:cNvGraphicFramePr/>
      </xdr:nvGraphicFramePr>
      <xdr:xfrm>
        <a:off x="5385435" y="3448050"/>
        <a:ext cx="4111625" cy="2781935"/>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xdr:nvSpPr>
        <xdr:cNvPr id="3" name="ButtonReturn2Sim"/>
        <xdr:cNvSpPr/>
      </xdr:nvSpPr>
      <xdr:spPr>
        <a:xfrm>
          <a:off x="561975" y="9525"/>
          <a:ext cx="1390650" cy="22479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endParaRPr lang="en-US" sz="10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xdr:nvSpPr>
            <xdr:cNvPr id="55297" name="ComboBox1" hidden="1">
              <a:extLst>
                <a:ext uri="{63B3BB69-23CF-44E3-9099-C40C66FF867C}">
                  <a14:compatExt spid="_x0000_s55297"/>
                </a:ext>
              </a:extLst>
            </xdr:cNvPr>
            <xdr:cNvSpPr/>
          </xdr:nvSpPr>
          <xdr:spPr>
            <a:xfrm>
              <a:off x="2276475" y="0"/>
              <a:ext cx="2828925" cy="26670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xdr:oneCellAnchor>
    <xdr:from>
      <xdr:col>1</xdr:col>
      <xdr:colOff>1990725</xdr:colOff>
      <xdr:row>32</xdr:row>
      <xdr:rowOff>151302</xdr:rowOff>
    </xdr:from>
    <xdr:ext cx="960808" cy="285488"/>
    <xdr:sp macro="[0]!fillPresetMCS">
      <xdr:nvSpPr>
        <xdr:cNvPr id="4" name="Rounded Rectangle 3"/>
        <xdr:cNvSpPr/>
      </xdr:nvSpPr>
      <xdr:spPr>
        <a:xfrm>
          <a:off x="2915920" y="6056630"/>
          <a:ext cx="960755" cy="28511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endParaRPr lang="en-US" sz="1200" b="1">
            <a:solidFill>
              <a:sysClr val="windowText" lastClr="000000"/>
            </a:solidFill>
          </a:endParaRPr>
        </a:p>
      </xdr:txBody>
    </xdr:sp>
    <xdr:clientData/>
  </xdr:oneCellAnchor>
  <xdr:twoCellAnchor>
    <xdr:from>
      <xdr:col>9</xdr:col>
      <xdr:colOff>0</xdr:colOff>
      <xdr:row>0</xdr:row>
      <xdr:rowOff>38100</xdr:rowOff>
    </xdr:from>
    <xdr:to>
      <xdr:col>9</xdr:col>
      <xdr:colOff>810415</xdr:colOff>
      <xdr:row>1</xdr:row>
      <xdr:rowOff>160103</xdr:rowOff>
    </xdr:to>
    <xdr:sp macro="[0]!return2navigator">
      <xdr:nvSpPr>
        <xdr:cNvPr id="5" name="ButtonReturn2Sim"/>
        <xdr:cNvSpPr/>
      </xdr:nvSpPr>
      <xdr:spPr>
        <a:xfrm>
          <a:off x="12430760" y="38100"/>
          <a:ext cx="810260" cy="321945"/>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endParaRPr lang="en-US" sz="800" b="1">
            <a:solidFill>
              <a:sysClr val="windowText" lastClr="000000"/>
            </a:solidFill>
          </a:endParaRPr>
        </a:p>
      </xdr:txBody>
    </xdr:sp>
    <xdr:clientData/>
  </xdr:twoCellAnchor>
  <xdr:twoCellAnchor>
    <xdr:from>
      <xdr:col>0</xdr:col>
      <xdr:colOff>609599</xdr:colOff>
      <xdr:row>0</xdr:row>
      <xdr:rowOff>0</xdr:rowOff>
    </xdr:from>
    <xdr:to>
      <xdr:col>1</xdr:col>
      <xdr:colOff>1905000</xdr:colOff>
      <xdr:row>1</xdr:row>
      <xdr:rowOff>0</xdr:rowOff>
    </xdr:to>
    <xdr:sp macro="[0]!MS_AutoRange">
      <xdr:nvSpPr>
        <xdr:cNvPr id="7" name="ButtonReturn2Sim"/>
        <xdr:cNvSpPr/>
      </xdr:nvSpPr>
      <xdr:spPr>
        <a:xfrm>
          <a:off x="608965" y="0"/>
          <a:ext cx="2221230"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endParaRPr lang="en-US" sz="1200" b="0">
            <a:solidFill>
              <a:sysClr val="windowText" lastClr="000000"/>
            </a:solidFill>
          </a:endParaRPr>
        </a:p>
      </xdr:txBody>
    </xdr:sp>
    <xdr:clientData/>
  </xdr:twoCellAnchor>
  <xdr:oneCellAnchor>
    <xdr:from>
      <xdr:col>1</xdr:col>
      <xdr:colOff>5443</xdr:colOff>
      <xdr:row>32</xdr:row>
      <xdr:rowOff>152400</xdr:rowOff>
    </xdr:from>
    <xdr:ext cx="967473" cy="276563"/>
    <xdr:sp macro="[0]!addPresetParMCS">
      <xdr:nvSpPr>
        <xdr:cNvPr id="8" name="Rounded Rectangle 7"/>
        <xdr:cNvSpPr/>
      </xdr:nvSpPr>
      <xdr:spPr>
        <a:xfrm>
          <a:off x="930275" y="6057900"/>
          <a:ext cx="967740" cy="27622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7" charset="0"/>
            </a:rPr>
            <a:t>Add item</a:t>
          </a:r>
          <a:endParaRPr lang="en-US" sz="1100" b="1">
            <a:solidFill>
              <a:sysClr val="windowText" lastClr="000000"/>
            </a:solidFill>
            <a:latin typeface="+mn-lt"/>
            <a:cs typeface="Arial" panose="020B0604020202020204" pitchFamily="7" charset="0"/>
          </a:endParaRPr>
        </a:p>
      </xdr:txBody>
    </xdr:sp>
    <xdr:clientData/>
  </xdr:oneCellAnchor>
  <xdr:oneCellAnchor>
    <xdr:from>
      <xdr:col>1</xdr:col>
      <xdr:colOff>995282</xdr:colOff>
      <xdr:row>32</xdr:row>
      <xdr:rowOff>152662</xdr:rowOff>
    </xdr:from>
    <xdr:ext cx="960808" cy="285488"/>
    <xdr:sp macro="[0]!DeletePresetParMCS">
      <xdr:nvSpPr>
        <xdr:cNvPr id="9" name="Rounded Rectangle 8"/>
        <xdr:cNvSpPr/>
      </xdr:nvSpPr>
      <xdr:spPr>
        <a:xfrm>
          <a:off x="1920240" y="6057900"/>
          <a:ext cx="960755" cy="28575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endParaRPr lang="en-US" sz="1200" b="1">
            <a:solidFill>
              <a:sysClr val="windowText" lastClr="000000"/>
            </a:solidFill>
          </a:endParaRPr>
        </a:p>
      </xdr:txBody>
    </xdr:sp>
    <xdr:clientData/>
  </xdr:one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7</xdr:col>
      <xdr:colOff>352424</xdr:colOff>
      <xdr:row>0</xdr:row>
      <xdr:rowOff>41412</xdr:rowOff>
    </xdr:from>
    <xdr:to>
      <xdr:col>8</xdr:col>
      <xdr:colOff>389447</xdr:colOff>
      <xdr:row>0</xdr:row>
      <xdr:rowOff>361452</xdr:rowOff>
    </xdr:to>
    <xdr:sp macro="[0]!ChangeMktg">
      <xdr:nvSpPr>
        <xdr:cNvPr id="3" name="MktgSR"/>
        <xdr:cNvSpPr/>
      </xdr:nvSpPr>
      <xdr:spPr>
        <a:xfrm>
          <a:off x="6729730" y="41275"/>
          <a:ext cx="799465"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endParaRPr lang="en-US" sz="800" b="1"/>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7465" y="0"/>
          <a:ext cx="9973945" cy="408305"/>
          <a:chOff x="38099" y="0"/>
          <a:chExt cx="7341383" cy="514349"/>
        </a:xfrm>
      </xdr:grpSpPr>
      <xdr:sp>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39" name="Round Single Corner Rectangle 38"/>
          <xdr:cNvSpPr>
            <a:spLocks noChangeAspect="1"/>
          </xdr:cNvSpPr>
        </xdr:nvSpPr>
        <xdr:spPr>
          <a:xfrm rot="10800000">
            <a:off x="38099" y="0"/>
            <a:ext cx="7341383" cy="514349"/>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12291" name="ComboBox1" hidden="1">
                  <a:extLst>
                    <a:ext uri="{63B3BB69-23CF-44E3-9099-C40C66FF867C}">
                      <a14:compatExt spid="_x0000_s12291"/>
                    </a:ext>
                  </a:extLst>
                </xdr:cNvPr>
                <xdr:cNvSpPr/>
              </xdr:nvSpPr>
              <xdr:spPr>
                <a:xfrm>
                  <a:off x="2299176" y="-154159"/>
                  <a:ext cx="2141499" cy="305193"/>
                </a:xfrm>
                <a:prstGeom prst="rect">
                  <a:avLst/>
                </a:prstGeom>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89890"/>
          <a:ext cx="8497570" cy="624205"/>
          <a:chOff x="161923" y="514405"/>
          <a:chExt cx="7215424" cy="612644"/>
        </a:xfrm>
      </xdr:grpSpPr>
      <xdr:sp>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50"/>
              <a:t>Sales Projections</a:t>
            </a:r>
            <a:endParaRPr lang="en-US" sz="1050"/>
          </a:p>
          <a:p>
            <a:pPr marL="0" indent="0">
              <a:buFont typeface="Arial" panose="020B0604020202020204" pitchFamily="7" charset="0"/>
              <a:buNone/>
            </a:pPr>
            <a:endParaRPr lang="en-US" sz="1050" baseline="0"/>
          </a:p>
          <a:p>
            <a:pPr marL="0" indent="0">
              <a:buFont typeface="Arial" panose="020B0604020202020204" pitchFamily="7" charset="0"/>
              <a:buNone/>
            </a:pPr>
            <a:endParaRPr lang="en-US" sz="1050" baseline="0"/>
          </a:p>
        </xdr:txBody>
      </xdr:sp>
      <xdr:sp>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50"/>
              <a:t>Marketing costs</a:t>
            </a:r>
            <a:endParaRPr lang="en-US" sz="1050"/>
          </a:p>
          <a:p>
            <a:pPr marL="171450" indent="-171450">
              <a:buFont typeface="Arial" panose="020B0604020202020204" pitchFamily="7" charset="0"/>
              <a:buChar char="•"/>
            </a:pPr>
            <a:r>
              <a:rPr lang="en-US" sz="1050"/>
              <a:t>Product Name &amp; Description</a:t>
            </a:r>
            <a:endParaRPr lang="en-US" sz="1050"/>
          </a:p>
          <a:p>
            <a:pPr marL="171450" indent="-171450">
              <a:buFont typeface="Arial" panose="020B0604020202020204" pitchFamily="7" charset="0"/>
              <a:buChar char="•"/>
            </a:pPr>
            <a:r>
              <a:rPr lang="en-US" sz="1050"/>
              <a:t>Targeted Market Size</a:t>
            </a:r>
            <a:endParaRPr lang="en-US" sz="1050"/>
          </a:p>
        </xdr:txBody>
      </xdr:sp>
      <xdr:sp>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190" y="-148590"/>
          <a:ext cx="0" cy="0"/>
          <a:chOff x="0" y="0"/>
          <a:chExt cx="0" cy="0"/>
        </a:xfrm>
      </xdr:grpSpPr>
    </xdr:grpSp>
    <xdr:clientData/>
  </xdr:twoCellAnchor>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xdr:nvSpPr>
            <xdr:cNvPr id="12310" name="Check Box 22" hidden="1">
              <a:extLst>
                <a:ext uri="{63B3BB69-23CF-44E3-9099-C40C66FF867C}">
                  <a14:compatExt spid="_x0000_s12310"/>
                </a:ext>
              </a:extLst>
            </xdr:cNvPr>
            <xdr:cNvSpPr/>
          </xdr:nvSpPr>
          <xdr:spPr>
            <a:xfrm>
              <a:off x="5386070" y="407670"/>
              <a:ext cx="247650" cy="257175"/>
            </a:xfrm>
            <a:prstGeom prst="rect">
              <a:avLst/>
            </a:prstGeom>
          </xdr:spPr>
          <xdr:txBody>
            <a:bodyPr/>
            <a:p>
              <a:endParaRPr lang="zh-CN" altLang="en-US"/>
            </a:p>
          </xdr:txBody>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9521825"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533400</xdr:colOff>
      <xdr:row>1</xdr:row>
      <xdr:rowOff>19050</xdr:rowOff>
    </xdr:from>
    <xdr:to>
      <xdr:col>2</xdr:col>
      <xdr:colOff>95250</xdr:colOff>
      <xdr:row>2</xdr:row>
      <xdr:rowOff>76200</xdr:rowOff>
    </xdr:to>
    <xdr:grpSp>
      <xdr:nvGrpSpPr>
        <xdr:cNvPr id="12320" name="Group 32"/>
        <xdr:cNvGrpSpPr/>
      </xdr:nvGrpSpPr>
      <xdr:grpSpPr>
        <a:xfrm>
          <a:off x="1229995" y="426720"/>
          <a:ext cx="367030" cy="581025"/>
          <a:chOff x="11334" y="5714"/>
          <a:chExt cx="3048" cy="5810"/>
        </a:xfrm>
      </xdr:grpSpPr>
    </xdr:grpSp>
    <xdr:clientData/>
  </xdr:twoCellAnchor>
  <xdr:oneCellAnchor>
    <xdr:from>
      <xdr:col>1</xdr:col>
      <xdr:colOff>21508</xdr:colOff>
      <xdr:row>50</xdr:row>
      <xdr:rowOff>28267</xdr:rowOff>
    </xdr:from>
    <xdr:ext cx="967473" cy="257175"/>
    <xdr:sp macro="[0]!ProductsExtend_MktMng">
      <xdr:nvSpPr>
        <xdr:cNvPr id="50" name="Rounded Rectangle 49"/>
        <xdr:cNvSpPr/>
      </xdr:nvSpPr>
      <xdr:spPr>
        <a:xfrm>
          <a:off x="717550" y="5845810"/>
          <a:ext cx="96774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3</xdr:col>
      <xdr:colOff>466725</xdr:colOff>
      <xdr:row>50</xdr:row>
      <xdr:rowOff>28575</xdr:rowOff>
    </xdr:from>
    <xdr:ext cx="967473" cy="257175"/>
    <xdr:sp macro="[0]!ProductsDescriptionExtendMkt">
      <xdr:nvSpPr>
        <xdr:cNvPr id="51" name="Rounded Rectangle 50"/>
        <xdr:cNvSpPr/>
      </xdr:nvSpPr>
      <xdr:spPr>
        <a:xfrm>
          <a:off x="2926080" y="5846445"/>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endParaRPr lang="en-US" sz="1200" b="1">
            <a:solidFill>
              <a:sysClr val="windowText" lastClr="000000"/>
            </a:solidFill>
          </a:endParaRPr>
        </a:p>
      </xdr:txBody>
    </xdr:sp>
    <xdr:clientData/>
  </xdr:oneCellAnchor>
  <xdr:oneCellAnchor>
    <xdr:from>
      <xdr:col>1</xdr:col>
      <xdr:colOff>0</xdr:colOff>
      <xdr:row>33</xdr:row>
      <xdr:rowOff>0</xdr:rowOff>
    </xdr:from>
    <xdr:ext cx="967473" cy="257175"/>
    <xdr:sp macro="[0]!MarketingCostsExtendM">
      <xdr:nvSpPr>
        <xdr:cNvPr id="54" name="Rounded Rectangle 53"/>
        <xdr:cNvSpPr/>
      </xdr:nvSpPr>
      <xdr:spPr>
        <a:xfrm>
          <a:off x="696595" y="3055620"/>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4</xdr:col>
      <xdr:colOff>685800</xdr:colOff>
      <xdr:row>50</xdr:row>
      <xdr:rowOff>28575</xdr:rowOff>
    </xdr:from>
    <xdr:ext cx="1390650" cy="257175"/>
    <xdr:sp macro="[0]!changeDistributionMktg">
      <xdr:nvSpPr>
        <xdr:cNvPr id="27" name="Rounded Rectangle 26"/>
        <xdr:cNvSpPr/>
      </xdr:nvSpPr>
      <xdr:spPr>
        <a:xfrm>
          <a:off x="4059555" y="584644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xdr:nvSpPr>
        <xdr:cNvPr id="32" name="Rounded Rectangle 31"/>
        <xdr:cNvSpPr/>
      </xdr:nvSpPr>
      <xdr:spPr>
        <a:xfrm>
          <a:off x="1806575" y="5846445"/>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endParaRPr lang="en-US" sz="1200" b="1">
            <a:solidFill>
              <a:sysClr val="windowText" lastClr="000000"/>
            </a:solidFill>
          </a:endParaRP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xdr:nvSpPr>
        <xdr:cNvPr id="29" name="ButtonReturn2Sim"/>
        <xdr:cNvSpPr/>
      </xdr:nvSpPr>
      <xdr:spPr>
        <a:xfrm>
          <a:off x="7568565" y="38100"/>
          <a:ext cx="995680" cy="3225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xdr:nvSpPr>
        <xdr:cNvPr id="26" name="MktgSR"/>
        <xdr:cNvSpPr/>
      </xdr:nvSpPr>
      <xdr:spPr>
        <a:xfrm>
          <a:off x="5909945" y="38100"/>
          <a:ext cx="78232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a:solidFill>
              <a:schemeClr val="bg1"/>
            </a:solidFill>
          </a:endParaRPr>
        </a:p>
        <a:p>
          <a:pPr algn="ctr"/>
          <a:r>
            <a:rPr lang="en-US" sz="800" b="1">
              <a:solidFill>
                <a:schemeClr val="bg1"/>
              </a:solidFill>
            </a:rPr>
            <a:t>Calculation</a:t>
          </a:r>
          <a:endParaRPr lang="en-US" sz="800" b="1">
            <a:solidFill>
              <a:schemeClr val="bg1"/>
            </a:solidFill>
          </a:endParaRPr>
        </a:p>
      </xdr:txBody>
    </xdr:sp>
    <xdr:clientData/>
  </xdr:twoCellAnchor>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306195" y="426720"/>
          <a:ext cx="395605" cy="581025"/>
          <a:chOff x="1133475" y="571406"/>
          <a:chExt cx="304800" cy="581032"/>
        </a:xfrm>
      </xdr:grpSpPr>
      <mc:AlternateContent xmlns:mc="http://schemas.openxmlformats.org/markup-compatibility/2006">
        <mc:Choice xmlns:a14="http://schemas.microsoft.com/office/drawing/2010/main" Requires="a14">
          <xdr:sp>
            <xdr:nvSpPr>
              <xdr:cNvPr id="12311" name="Check Box 23" hidden="1">
                <a:extLst>
                  <a:ext uri="{63B3BB69-23CF-44E3-9099-C40C66FF867C}">
                    <a14:compatExt spid="_x0000_s12311"/>
                  </a:ext>
                </a:extLst>
              </xdr:cNvPr>
              <xdr:cNvSpPr/>
            </xdr:nvSpPr>
            <xdr:spPr>
              <a:xfrm>
                <a:off x="1133475" y="571406"/>
                <a:ext cx="304800" cy="218928"/>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2312" name="Check Box 24" hidden="1">
                <a:extLst>
                  <a:ext uri="{63B3BB69-23CF-44E3-9099-C40C66FF867C}">
                    <a14:compatExt spid="_x0000_s12312"/>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2313" name="Check Box 25" hidden="1">
                <a:extLst>
                  <a:ext uri="{63B3BB69-23CF-44E3-9099-C40C66FF867C}">
                    <a14:compatExt spid="_x0000_s12313"/>
                  </a:ext>
                </a:extLst>
              </xdr:cNvPr>
              <xdr:cNvSpPr/>
            </xdr:nvSpPr>
            <xdr:spPr>
              <a:xfrm>
                <a:off x="1133475" y="933516"/>
                <a:ext cx="304800" cy="218922"/>
              </a:xfrm>
              <a:prstGeom prst="rect">
                <a:avLst/>
              </a:prstGeom>
            </xdr:spPr>
            <xdr:txBody>
              <a:bodyPr/>
              <a:p>
                <a:endParaRPr lang="zh-CN" altLang="en-US"/>
              </a:p>
            </xdr:txBody>
          </xdr:sp>
        </mc:Choice>
        <mc:Fallback/>
      </mc:AlternateContent>
    </xdr:grpSp>
    <xdr:clientData/>
  </xdr:twoCellAnchor>
  <xdr:oneCellAnchor>
    <xdr:from>
      <xdr:col>6</xdr:col>
      <xdr:colOff>433234</xdr:colOff>
      <xdr:row>50</xdr:row>
      <xdr:rowOff>27654</xdr:rowOff>
    </xdr:from>
    <xdr:ext cx="1517855" cy="257175"/>
    <xdr:sp macro="[0]!RecolorFieldsMktg">
      <xdr:nvSpPr>
        <xdr:cNvPr id="31" name="Rounded Rectangle 30"/>
        <xdr:cNvSpPr/>
      </xdr:nvSpPr>
      <xdr:spPr>
        <a:xfrm>
          <a:off x="5733415" y="5845175"/>
          <a:ext cx="1517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endParaRPr lang="en-US" sz="1200" b="1">
            <a:solidFill>
              <a:sysClr val="windowText" lastClr="000000"/>
            </a:solidFill>
          </a:endParaRPr>
        </a:p>
      </xdr:txBody>
    </xdr:sp>
    <xdr:clientData/>
  </xdr:one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r:embed="rId1"/>
        <a:stretch>
          <a:fillRect/>
        </a:stretch>
      </xdr:blipFill>
      <xdr:spPr>
        <a:xfrm>
          <a:off x="9800590" y="33020"/>
          <a:ext cx="361315" cy="35750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xdr:nvSpPr>
        <xdr:cNvPr id="28" name="MktgSR"/>
        <xdr:cNvSpPr/>
      </xdr:nvSpPr>
      <xdr:spPr>
        <a:xfrm>
          <a:off x="6358255" y="50800"/>
          <a:ext cx="818515"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endParaRPr lang="en-US" sz="800" b="1"/>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370" y="6985"/>
          <a:ext cx="10244455" cy="410210"/>
          <a:chOff x="39808" y="23353"/>
          <a:chExt cx="9226547" cy="1297933"/>
        </a:xfrm>
      </xdr:grpSpPr>
      <xdr:sp>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31" name="Round Single Corner Rectangle 30"/>
          <xdr:cNvSpPr/>
        </xdr:nvSpPr>
        <xdr:spPr>
          <a:xfrm rot="10800000">
            <a:off x="39808" y="23353"/>
            <a:ext cx="9226547" cy="1297933"/>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13314" name="ComboBox1" hidden="1">
                  <a:extLst>
                    <a:ext uri="{63B3BB69-23CF-44E3-9099-C40C66FF867C}">
                      <a14:compatExt spid="_x0000_s13314"/>
                    </a:ext>
                  </a:extLst>
                </xdr:cNvPr>
                <xdr:cNvSpPr/>
              </xdr:nvSpPr>
              <xdr:spPr>
                <a:xfrm>
                  <a:off x="3273049" y="-30417"/>
                  <a:ext cx="2431552" cy="798916"/>
                </a:xfrm>
                <a:prstGeom prst="rect">
                  <a:avLst/>
                </a:prstGeom>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0815" y="426720"/>
          <a:ext cx="8588375" cy="606425"/>
          <a:chOff x="161920" y="523875"/>
          <a:chExt cx="9089516" cy="603174"/>
        </a:xfrm>
      </xdr:grpSpPr>
      <xdr:sp>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50"/>
              <a:t>Product</a:t>
            </a:r>
            <a:r>
              <a:rPr lang="en-US" sz="1050" baseline="0"/>
              <a:t> name &amp; Description</a:t>
            </a:r>
            <a:endParaRPr lang="en-US" sz="1050"/>
          </a:p>
        </xdr:txBody>
      </xdr:sp>
      <xdr:sp>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xdr:nvSpPr>
            <xdr:cNvPr id="13315" name="Check Box 3" hidden="1">
              <a:extLst>
                <a:ext uri="{63B3BB69-23CF-44E3-9099-C40C66FF867C}">
                  <a14:compatExt spid="_x0000_s13315"/>
                </a:ext>
              </a:extLst>
            </xdr:cNvPr>
            <xdr:cNvSpPr/>
          </xdr:nvSpPr>
          <xdr:spPr>
            <a:xfrm>
              <a:off x="1068070" y="626745"/>
              <a:ext cx="161925" cy="209550"/>
            </a:xfrm>
            <a:prstGeom prst="rect">
              <a:avLst/>
            </a:prstGeom>
          </xdr:spPr>
          <xdr:txBody>
            <a:bodyPr/>
            <a:p>
              <a:endParaRPr lang="zh-CN" altLang="en-US"/>
            </a:p>
          </xdr:txBody>
        </xdr:sp>
        <xdr:clientData/>
      </xdr:twoCellAnchor>
    </mc:Choice>
    <mc:Fallback/>
  </mc:AlternateContent>
  <xdr:oneCellAnchor>
    <xdr:from>
      <xdr:col>1</xdr:col>
      <xdr:colOff>0</xdr:colOff>
      <xdr:row>18</xdr:row>
      <xdr:rowOff>66675</xdr:rowOff>
    </xdr:from>
    <xdr:ext cx="967473" cy="257175"/>
    <xdr:sp macro="[0]!ProductsExtend_Inn">
      <xdr:nvSpPr>
        <xdr:cNvPr id="44" name="Rounded Rectangle 43"/>
        <xdr:cNvSpPr/>
      </xdr:nvSpPr>
      <xdr:spPr>
        <a:xfrm>
          <a:off x="696595" y="3655695"/>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oneCellAnchor>
    <xdr:from>
      <xdr:col>2</xdr:col>
      <xdr:colOff>390525</xdr:colOff>
      <xdr:row>18</xdr:row>
      <xdr:rowOff>66675</xdr:rowOff>
    </xdr:from>
    <xdr:ext cx="967473" cy="257175"/>
    <xdr:sp macro="[0]!ProductsDescriptionExtendInn">
      <xdr:nvSpPr>
        <xdr:cNvPr id="45" name="Rounded Rectangle 44"/>
        <xdr:cNvSpPr/>
      </xdr:nvSpPr>
      <xdr:spPr>
        <a:xfrm>
          <a:off x="1783715" y="3655695"/>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endParaRPr lang="en-US" sz="1200" b="1">
            <a:solidFill>
              <a:sysClr val="windowText" lastClr="000000"/>
            </a:solidFill>
          </a:endParaRP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xdr:nvSpPr>
        <xdr:cNvPr id="47" name="ButtonReturn2Sim"/>
        <xdr:cNvSpPr/>
      </xdr:nvSpPr>
      <xdr:spPr>
        <a:xfrm>
          <a:off x="7421245" y="54610"/>
          <a:ext cx="114236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r:embed="rId1"/>
        <a:stretch>
          <a:fillRect/>
        </a:stretch>
      </xdr:blipFill>
      <xdr:spPr>
        <a:xfrm>
          <a:off x="9359900" y="23495"/>
          <a:ext cx="464820" cy="35750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xdr:nvSpPr>
        <xdr:cNvPr id="3" name="MktgSR"/>
        <xdr:cNvSpPr/>
      </xdr:nvSpPr>
      <xdr:spPr>
        <a:xfrm>
          <a:off x="6504305" y="50800"/>
          <a:ext cx="87630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endParaRPr lang="en-US" sz="800" b="1"/>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370" y="6985"/>
          <a:ext cx="9813290" cy="410210"/>
          <a:chOff x="39808" y="23353"/>
          <a:chExt cx="10182779" cy="1297933"/>
        </a:xfrm>
      </xdr:grpSpPr>
      <xdr:sp>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6" name="Round Single Corner Rectangle 5"/>
          <xdr:cNvSpPr/>
        </xdr:nvSpPr>
        <xdr:spPr>
          <a:xfrm rot="10800000">
            <a:off x="39808" y="23353"/>
            <a:ext cx="10182779" cy="1297933"/>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77825" name="ComboBox1" hidden="1">
                  <a:extLst>
                    <a:ext uri="{63B3BB69-23CF-44E3-9099-C40C66FF867C}">
                      <a14:compatExt spid="_x0000_s77825"/>
                    </a:ext>
                  </a:extLst>
                </xdr:cNvPr>
                <xdr:cNvSpPr/>
              </xdr:nvSpPr>
              <xdr:spPr>
                <a:xfrm>
                  <a:off x="3033994" y="-30417"/>
                  <a:ext cx="2962942" cy="798916"/>
                </a:xfrm>
                <a:prstGeom prst="rect">
                  <a:avLst/>
                </a:prstGeom>
              </xdr:spPr>
            </xdr:sp>
          </mc:Choice>
          <mc:Fallback/>
        </mc:AlternateContent>
      </xdr:grpSp>
      <xdr:sp macro="[0]!ChooseUnderlyingCycleOper">
        <xdr:nvSpPr>
          <xdr:cNvPr id="9" name="ButtonReturn2Sim"/>
          <xdr:cNvSpPr/>
        </xdr:nvSpPr>
        <xdr:spPr>
          <a:xfrm>
            <a:off x="7699016" y="173433"/>
            <a:ext cx="1126594" cy="1032447"/>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endParaRPr lang="en-US" sz="800" b="1">
              <a:solidFill>
                <a:sysClr val="windowText" lastClr="000000"/>
              </a:solidFill>
            </a:endParaRP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0815" y="426720"/>
          <a:ext cx="9662160" cy="606425"/>
          <a:chOff x="161921" y="523875"/>
          <a:chExt cx="10048129" cy="603174"/>
        </a:xfrm>
      </xdr:grpSpPr>
      <xdr:sp>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50"/>
              <a:t>Forecast For The Next Three Years</a:t>
            </a:r>
            <a:endParaRPr lang="en-US" sz="1050"/>
          </a:p>
          <a:p>
            <a:pPr marL="171450" indent="-171450">
              <a:buFont typeface="Arial" panose="020B0604020202020204" pitchFamily="7" charset="0"/>
              <a:buChar char="•"/>
            </a:pPr>
            <a:r>
              <a:rPr lang="en-US" sz="1050"/>
              <a:t>Targeted Market Size</a:t>
            </a:r>
            <a:endParaRPr lang="en-US" sz="1050"/>
          </a:p>
          <a:p>
            <a:pPr marL="171450" indent="-171450">
              <a:buFont typeface="Arial" panose="020B0604020202020204" pitchFamily="7" charset="0"/>
              <a:buChar char="•"/>
            </a:pPr>
            <a:r>
              <a:rPr lang="en-US" sz="1050"/>
              <a:t>Sales Projections</a:t>
            </a:r>
            <a:endParaRPr lang="en-US" sz="1050"/>
          </a:p>
        </xdr:txBody>
      </xdr:sp>
      <xdr:sp>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1037590" y="439420"/>
          <a:ext cx="168910" cy="581025"/>
          <a:chOff x="1133475" y="571403"/>
          <a:chExt cx="304800" cy="581024"/>
        </a:xfrm>
      </xdr:grpSpPr>
      <mc:AlternateContent xmlns:mc="http://schemas.openxmlformats.org/markup-compatibility/2006">
        <mc:Choice xmlns:a14="http://schemas.microsoft.com/office/drawing/2010/main" Requires="a14">
          <xdr:sp>
            <xdr:nvSpPr>
              <xdr:cNvPr id="77826" name="Check Box 2" hidden="1">
                <a:extLst>
                  <a:ext uri="{63B3BB69-23CF-44E3-9099-C40C66FF867C}">
                    <a14:compatExt spid="_x0000_s77826"/>
                  </a:ext>
                </a:extLst>
              </xdr:cNvPr>
              <xdr:cNvSpPr/>
            </xdr:nvSpPr>
            <xdr:spPr>
              <a:xfrm>
                <a:off x="1133475" y="571403"/>
                <a:ext cx="304800" cy="219054"/>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77827" name="Check Box 3" hidden="1">
                <a:extLst>
                  <a:ext uri="{63B3BB69-23CF-44E3-9099-C40C66FF867C}">
                    <a14:compatExt spid="_x0000_s77827"/>
                  </a:ext>
                </a:extLst>
              </xdr:cNvPr>
              <xdr:cNvSpPr/>
            </xdr:nvSpPr>
            <xdr:spPr>
              <a:xfrm>
                <a:off x="1133475" y="752475"/>
                <a:ext cx="304800" cy="219074"/>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77828" name="Check Box 4" hidden="1">
                <a:extLst>
                  <a:ext uri="{63B3BB69-23CF-44E3-9099-C40C66FF867C}">
                    <a14:compatExt spid="_x0000_s77828"/>
                  </a:ext>
                </a:extLst>
              </xdr:cNvPr>
              <xdr:cNvSpPr/>
            </xdr:nvSpPr>
            <xdr:spPr>
              <a:xfrm>
                <a:off x="1133475" y="933373"/>
                <a:ext cx="304800" cy="219054"/>
              </a:xfrm>
              <a:prstGeom prst="rect">
                <a:avLst/>
              </a:prstGeom>
            </xdr:spPr>
            <xdr:txBody>
              <a:bodyPr/>
              <a:p>
                <a:endParaRPr lang="zh-CN" altLang="en-US"/>
              </a:p>
            </xdr:txBody>
          </xdr:sp>
        </mc:Choice>
        <mc:Fallback/>
      </mc:AlternateContent>
    </xdr:grpSp>
    <xdr:clientData/>
  </xdr:twoCellAnchor>
  <xdr:twoCellAnchor>
    <xdr:from>
      <xdr:col>7</xdr:col>
      <xdr:colOff>590550</xdr:colOff>
      <xdr:row>0</xdr:row>
      <xdr:rowOff>47625</xdr:rowOff>
    </xdr:from>
    <xdr:to>
      <xdr:col>8</xdr:col>
      <xdr:colOff>590550</xdr:colOff>
      <xdr:row>0</xdr:row>
      <xdr:rowOff>367665</xdr:rowOff>
    </xdr:to>
    <xdr:sp macro="[0]!ForceCalculationOper">
      <xdr:nvSpPr>
        <xdr:cNvPr id="25" name="MktgSR"/>
        <xdr:cNvSpPr/>
      </xdr:nvSpPr>
      <xdr:spPr>
        <a:xfrm>
          <a:off x="5760085" y="47625"/>
          <a:ext cx="696595"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363606</xdr:colOff>
      <xdr:row>0</xdr:row>
      <xdr:rowOff>33130</xdr:rowOff>
    </xdr:from>
    <xdr:to>
      <xdr:col>12</xdr:col>
      <xdr:colOff>828099</xdr:colOff>
      <xdr:row>1</xdr:row>
      <xdr:rowOff>0</xdr:rowOff>
    </xdr:to>
    <xdr:pic macro="[0]!helpfin_click">
      <xdr:nvPicPr>
        <xdr:cNvPr id="27" name="helpfin"/>
        <xdr:cNvPicPr>
          <a:picLocks noChangeAspect="1"/>
        </xdr:cNvPicPr>
      </xdr:nvPicPr>
      <xdr:blipFill>
        <a:blip r:embed="rId1"/>
        <a:stretch>
          <a:fillRect/>
        </a:stretch>
      </xdr:blipFill>
      <xdr:spPr>
        <a:xfrm>
          <a:off x="10038080" y="33020"/>
          <a:ext cx="464820" cy="37465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xdr:nvSpPr>
        <xdr:cNvPr id="28" name="MktgSR"/>
        <xdr:cNvSpPr/>
      </xdr:nvSpPr>
      <xdr:spPr>
        <a:xfrm>
          <a:off x="7096760" y="50800"/>
          <a:ext cx="828675"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endParaRPr lang="en-US" sz="800" b="1"/>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370" y="6985"/>
          <a:ext cx="10481310" cy="410210"/>
          <a:chOff x="39807" y="23353"/>
          <a:chExt cx="9985731" cy="1297933"/>
        </a:xfrm>
      </xdr:grpSpPr>
      <xdr:sp>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31" name="Round Single Corner Rectangle 30"/>
          <xdr:cNvSpPr/>
        </xdr:nvSpPr>
        <xdr:spPr>
          <a:xfrm rot="10800000">
            <a:off x="39807" y="23353"/>
            <a:ext cx="9985731" cy="1297933"/>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15362" name="ComboBox1" hidden="1">
                  <a:extLst>
                    <a:ext uri="{63B3BB69-23CF-44E3-9099-C40C66FF867C}">
                      <a14:compatExt spid="_x0000_s15362"/>
                    </a:ext>
                  </a:extLst>
                </xdr:cNvPr>
                <xdr:cNvSpPr/>
              </xdr:nvSpPr>
              <xdr:spPr>
                <a:xfrm>
                  <a:off x="2925878" y="-30417"/>
                  <a:ext cx="3038691" cy="798916"/>
                </a:xfrm>
                <a:prstGeom prst="rect">
                  <a:avLst/>
                </a:prstGeom>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0815" y="426720"/>
          <a:ext cx="9512935" cy="606425"/>
          <a:chOff x="161920" y="523875"/>
          <a:chExt cx="9062002" cy="603174"/>
        </a:xfrm>
      </xdr:grpSpPr>
      <xdr:sp>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50"/>
              <a:t>Rent</a:t>
            </a:r>
            <a:endParaRPr lang="en-US" sz="1050"/>
          </a:p>
          <a:p>
            <a:pPr marL="0" indent="0">
              <a:buFont typeface="Arial" panose="020B0604020202020204" pitchFamily="7" charset="0"/>
              <a:buNone/>
            </a:pPr>
            <a:r>
              <a:rPr lang="en-US" sz="1050"/>
              <a:t>Debt</a:t>
            </a:r>
            <a:endParaRPr lang="en-US" sz="1050"/>
          </a:p>
          <a:p>
            <a:pPr marL="0" indent="0">
              <a:buFont typeface="Arial" panose="020B0604020202020204" pitchFamily="7" charset="0"/>
              <a:buNone/>
            </a:pPr>
            <a:r>
              <a:rPr lang="en-US" sz="1050"/>
              <a:t>Taxes</a:t>
            </a:r>
            <a:endParaRPr lang="en-US" sz="1050" baseline="0"/>
          </a:p>
        </xdr:txBody>
      </xdr:sp>
      <xdr:sp>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50"/>
              <a:t>Employees</a:t>
            </a:r>
            <a:endParaRPr lang="en-US" sz="1050"/>
          </a:p>
          <a:p>
            <a:pPr marL="171450" indent="-171450">
              <a:buFont typeface="Arial" panose="020B0604020202020204" pitchFamily="7" charset="0"/>
              <a:buChar char="•"/>
            </a:pPr>
            <a:r>
              <a:rPr lang="en-US" sz="1050"/>
              <a:t>Utilities,</a:t>
            </a:r>
            <a:r>
              <a:rPr lang="en-US" sz="1050" baseline="0"/>
              <a:t> Supplies and Other</a:t>
            </a:r>
            <a:endParaRPr lang="en-US" sz="1050" baseline="0"/>
          </a:p>
          <a:p>
            <a:pPr marL="171450" indent="-171450">
              <a:buFont typeface="Arial" panose="020B0604020202020204" pitchFamily="7" charset="0"/>
              <a:buChar char="•"/>
            </a:pPr>
            <a:r>
              <a:rPr lang="en-US" sz="1050" baseline="0"/>
              <a:t>Marketing Costs</a:t>
            </a:r>
            <a:endParaRPr lang="en-US" sz="1050"/>
          </a:p>
        </xdr:txBody>
      </xdr:sp>
      <xdr:sp>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sp>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7" charset="0"/>
              <a:buNone/>
            </a:pPr>
            <a:r>
              <a:rPr lang="en-US" sz="1050"/>
              <a:t>Financial</a:t>
            </a:r>
            <a:r>
              <a:rPr lang="en-US" sz="1050" baseline="0"/>
              <a:t> Market Indicators</a:t>
            </a:r>
            <a:endParaRPr lang="en-US" sz="1050" baseline="0"/>
          </a:p>
          <a:p>
            <a:pPr marL="0" indent="0">
              <a:buFont typeface="Arial" panose="020B0604020202020204" pitchFamily="7" charset="0"/>
              <a:buNone/>
            </a:pPr>
            <a:endParaRPr lang="en-US" sz="1050" baseline="0"/>
          </a:p>
          <a:p>
            <a:pPr marL="0" indent="0">
              <a:buFont typeface="Arial" panose="020B0604020202020204" pitchFamily="7" charset="0"/>
              <a:buNone/>
            </a:pPr>
            <a:endParaRPr lang="en-US" sz="1050" baseline="0"/>
          </a:p>
        </xdr:txBody>
      </xdr:sp>
    </xdr:grpSp>
    <xdr:clientData/>
  </xdr:twoCellAnchor>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151890" y="439420"/>
          <a:ext cx="168910" cy="581025"/>
          <a:chOff x="1133475" y="571465"/>
          <a:chExt cx="304800" cy="581003"/>
        </a:xfrm>
      </xdr:grpSpPr>
      <mc:AlternateContent xmlns:mc="http://schemas.openxmlformats.org/markup-compatibility/2006">
        <mc:Choice xmlns:a14="http://schemas.microsoft.com/office/drawing/2010/main" Requires="a14">
          <xdr:sp>
            <xdr:nvSpPr>
              <xdr:cNvPr id="15363" name="Check Box 3" hidden="1">
                <a:extLst>
                  <a:ext uri="{63B3BB69-23CF-44E3-9099-C40C66FF867C}">
                    <a14:compatExt spid="_x0000_s15363"/>
                  </a:ext>
                </a:extLst>
              </xdr:cNvPr>
              <xdr:cNvSpPr/>
            </xdr:nvSpPr>
            <xdr:spPr>
              <a:xfrm>
                <a:off x="1133475" y="571465"/>
                <a:ext cx="304800" cy="219060"/>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5364" name="Check Box 4" hidden="1">
                <a:extLst>
                  <a:ext uri="{63B3BB69-23CF-44E3-9099-C40C66FF867C}">
                    <a14:compatExt spid="_x0000_s15364"/>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5365" name="Check Box 5" hidden="1">
                <a:extLst>
                  <a:ext uri="{63B3BB69-23CF-44E3-9099-C40C66FF867C}">
                    <a14:compatExt spid="_x0000_s15365"/>
                  </a:ext>
                </a:extLst>
              </xdr:cNvPr>
              <xdr:cNvSpPr/>
            </xdr:nvSpPr>
            <xdr:spPr>
              <a:xfrm>
                <a:off x="1133475" y="933409"/>
                <a:ext cx="304800" cy="219059"/>
              </a:xfrm>
              <a:prstGeom prst="rect">
                <a:avLst/>
              </a:prstGeom>
            </xdr:spPr>
            <xdr:txBody>
              <a:bodyPr/>
              <a:p>
                <a:endParaRPr lang="zh-CN" altLang="en-US"/>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xdr:nvSpPr>
            <xdr:cNvPr id="15366" name="Check Box 6" hidden="1">
              <a:extLst>
                <a:ext uri="{63B3BB69-23CF-44E3-9099-C40C66FF867C}">
                  <a14:compatExt spid="_x0000_s15366"/>
                </a:ext>
              </a:extLst>
            </xdr:cNvPr>
            <xdr:cNvSpPr/>
          </xdr:nvSpPr>
          <xdr:spPr>
            <a:xfrm>
              <a:off x="7230110" y="371475"/>
              <a:ext cx="351155" cy="407670"/>
            </a:xfrm>
            <a:prstGeom prst="rect">
              <a:avLst/>
            </a:prstGeom>
          </xdr:spPr>
          <xdr:txBody>
            <a:bodyPr/>
            <a:p>
              <a:endParaRPr lang="zh-CN" altLang="en-US"/>
            </a:p>
          </xdr:txBody>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xdr:nvSpPr>
        <xdr:cNvPr id="24" name="ButtonReturn2Sim"/>
        <xdr:cNvSpPr/>
      </xdr:nvSpPr>
      <xdr:spPr>
        <a:xfrm>
          <a:off x="7962265" y="54610"/>
          <a:ext cx="112014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xdr:nvSpPr>
        <xdr:cNvPr id="25" name="MktgSR"/>
        <xdr:cNvSpPr/>
      </xdr:nvSpPr>
      <xdr:spPr>
        <a:xfrm>
          <a:off x="6226175" y="47625"/>
          <a:ext cx="833755"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a:solidFill>
              <a:schemeClr val="bg1"/>
            </a:solidFill>
          </a:endParaRPr>
        </a:p>
        <a:p>
          <a:pPr algn="ctr"/>
          <a:r>
            <a:rPr lang="en-US" sz="800" b="1">
              <a:solidFill>
                <a:schemeClr val="bg1"/>
              </a:solidFill>
            </a:rPr>
            <a:t>Calculation</a:t>
          </a:r>
          <a:endParaRPr lang="en-US" sz="800" b="1">
            <a:solidFill>
              <a:schemeClr val="bg1"/>
            </a:solidFill>
          </a:endParaRPr>
        </a:p>
      </xdr:txBody>
    </xdr:sp>
    <xdr:clientData/>
  </xdr:twoCellAnchor>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710430" y="448945"/>
          <a:ext cx="168910" cy="581025"/>
          <a:chOff x="1133475" y="571465"/>
          <a:chExt cx="304800" cy="581003"/>
        </a:xfrm>
      </xdr:grpSpPr>
      <mc:AlternateContent xmlns:mc="http://schemas.openxmlformats.org/markup-compatibility/2006">
        <mc:Choice xmlns:a14="http://schemas.microsoft.com/office/drawing/2010/main" Requires="a14">
          <xdr:sp>
            <xdr:nvSpPr>
              <xdr:cNvPr id="15367" name="Check Box 7" hidden="1">
                <a:extLst>
                  <a:ext uri="{63B3BB69-23CF-44E3-9099-C40C66FF867C}">
                    <a14:compatExt spid="_x0000_s15367"/>
                  </a:ext>
                </a:extLst>
              </xdr:cNvPr>
              <xdr:cNvSpPr/>
            </xdr:nvSpPr>
            <xdr:spPr>
              <a:xfrm>
                <a:off x="1133475" y="571465"/>
                <a:ext cx="304800" cy="219060"/>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5368" name="Check Box 8" hidden="1">
                <a:extLst>
                  <a:ext uri="{63B3BB69-23CF-44E3-9099-C40C66FF867C}">
                    <a14:compatExt spid="_x0000_s15368"/>
                  </a:ext>
                </a:extLst>
              </xdr:cNvPr>
              <xdr:cNvSpPr/>
            </xdr:nvSpPr>
            <xdr:spPr>
              <a:xfrm>
                <a:off x="1133475" y="752475"/>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5369" name="Check Box 9" hidden="1">
                <a:extLst>
                  <a:ext uri="{63B3BB69-23CF-44E3-9099-C40C66FF867C}">
                    <a14:compatExt spid="_x0000_s15369"/>
                  </a:ext>
                </a:extLst>
              </xdr:cNvPr>
              <xdr:cNvSpPr/>
            </xdr:nvSpPr>
            <xdr:spPr>
              <a:xfrm>
                <a:off x="1133475" y="933409"/>
                <a:ext cx="304800" cy="219059"/>
              </a:xfrm>
              <a:prstGeom prst="rect">
                <a:avLst/>
              </a:prstGeom>
            </xdr:spPr>
            <xdr:txBody>
              <a:bodyPr/>
              <a:p>
                <a:endParaRPr lang="zh-CN" altLang="en-US"/>
              </a:p>
            </xdr:txBody>
          </xdr:sp>
        </mc:Choice>
        <mc:Fallback/>
      </mc:AlternateContent>
    </xdr:grpSp>
    <xdr:clientData/>
  </xdr:twoCellAnchor>
  <xdr:oneCellAnchor>
    <xdr:from>
      <xdr:col>0</xdr:col>
      <xdr:colOff>600075</xdr:colOff>
      <xdr:row>60</xdr:row>
      <xdr:rowOff>9525</xdr:rowOff>
    </xdr:from>
    <xdr:ext cx="967473" cy="257175"/>
    <xdr:sp macro="[0]!DebtExtendFin">
      <xdr:nvSpPr>
        <xdr:cNvPr id="33" name="Rounded Rectangle 32"/>
        <xdr:cNvSpPr/>
      </xdr:nvSpPr>
      <xdr:spPr>
        <a:xfrm>
          <a:off x="600075" y="10161270"/>
          <a:ext cx="96710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r:embed="rId1"/>
        <a:stretch>
          <a:fillRect/>
        </a:stretch>
      </xdr:blipFill>
      <xdr:spPr>
        <a:xfrm>
          <a:off x="11501120" y="42545"/>
          <a:ext cx="464820" cy="36512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xdr:nvSpPr>
        <xdr:cNvPr id="28" name="MktgSR"/>
        <xdr:cNvSpPr/>
      </xdr:nvSpPr>
      <xdr:spPr>
        <a:xfrm>
          <a:off x="8069580" y="50800"/>
          <a:ext cx="91948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endParaRPr lang="en-US" sz="800" b="1"/>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370" y="6985"/>
          <a:ext cx="11973560" cy="410210"/>
          <a:chOff x="39807" y="23353"/>
          <a:chExt cx="9375353" cy="1297933"/>
        </a:xfrm>
      </xdr:grpSpPr>
      <xdr:sp>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endParaRPr lang="en-US" sz="1200" b="1" cap="none" spc="0">
              <a:ln w="0"/>
              <a:solidFill>
                <a:schemeClr val="bg1"/>
              </a:solidFill>
              <a:effectLst>
                <a:outerShdw blurRad="50800" dist="38100" dir="2700000" algn="tl" rotWithShape="0">
                  <a:prstClr val="black">
                    <a:alpha val="40000"/>
                  </a:prstClr>
                </a:outerShdw>
              </a:effectLst>
            </a:endParaRPr>
          </a:p>
        </xdr:txBody>
      </xdr:sp>
      <xdr:sp>
        <xdr:nvSpPr>
          <xdr:cNvPr id="31" name="Round Single Corner Rectangle 30"/>
          <xdr:cNvSpPr/>
        </xdr:nvSpPr>
        <xdr:spPr>
          <a:xfrm rot="10800000">
            <a:off x="39807" y="23353"/>
            <a:ext cx="9375353" cy="1297933"/>
          </a:xfrm>
          <a:prstGeom prst="round1Rect">
            <a:avLst>
              <a:gd name="adj" fmla="val 9490"/>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16386" name="ComboBox1" hidden="1">
                  <a:extLst>
                    <a:ext uri="{63B3BB69-23CF-44E3-9099-C40C66FF867C}">
                      <a14:compatExt spid="_x0000_s16386"/>
                    </a:ext>
                  </a:extLst>
                </xdr:cNvPr>
                <xdr:cNvSpPr/>
              </xdr:nvSpPr>
              <xdr:spPr>
                <a:xfrm>
                  <a:off x="2964702" y="-30417"/>
                  <a:ext cx="2638055" cy="798916"/>
                </a:xfrm>
                <a:prstGeom prst="rect">
                  <a:avLst/>
                </a:prstGeom>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0815" y="426720"/>
          <a:ext cx="11793855" cy="606425"/>
          <a:chOff x="161920" y="523875"/>
          <a:chExt cx="9950955" cy="603174"/>
        </a:xfrm>
      </xdr:grpSpPr>
      <xdr:sp>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7" charset="0"/>
              <a:buChar char="•"/>
            </a:pPr>
            <a:r>
              <a:rPr lang="en-US" sz="1050"/>
              <a:t>Employees</a:t>
            </a:r>
            <a:endParaRPr lang="en-US" sz="1050"/>
          </a:p>
          <a:p>
            <a:pPr marL="171450" indent="-171450">
              <a:buFont typeface="Arial" panose="020B0604020202020204" pitchFamily="7" charset="0"/>
              <a:buChar char="•"/>
            </a:pPr>
            <a:r>
              <a:rPr lang="en-US" sz="1050"/>
              <a:t>Employee</a:t>
            </a:r>
            <a:r>
              <a:rPr lang="en-US" sz="1050" baseline="0"/>
              <a:t> Compensation</a:t>
            </a:r>
            <a:endParaRPr lang="en-US" sz="1050"/>
          </a:p>
        </xdr:txBody>
      </xdr:sp>
      <xdr:sp>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endParaRPr lang="en-US" sz="1200" b="1"/>
          </a:p>
        </xdr:txBody>
      </xdr:sp>
    </xdr:grpSp>
    <xdr:clientData/>
  </xdr:twoCellAnchor>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99515" y="534670"/>
          <a:ext cx="168910" cy="400050"/>
          <a:chOff x="1133475" y="571298"/>
          <a:chExt cx="304800" cy="400093"/>
        </a:xfrm>
      </xdr:grpSpPr>
      <mc:AlternateContent xmlns:mc="http://schemas.openxmlformats.org/markup-compatibility/2006">
        <mc:Choice xmlns:a14="http://schemas.microsoft.com/office/drawing/2010/main" Requires="a14">
          <xdr:sp>
            <xdr:nvSpPr>
              <xdr:cNvPr id="16387" name="Check Box 3" hidden="1">
                <a:extLst>
                  <a:ext uri="{63B3BB69-23CF-44E3-9099-C40C66FF867C}">
                    <a14:compatExt spid="_x0000_s16387"/>
                  </a:ext>
                </a:extLst>
              </xdr:cNvPr>
              <xdr:cNvSpPr/>
            </xdr:nvSpPr>
            <xdr:spPr>
              <a:xfrm>
                <a:off x="1133475" y="571298"/>
                <a:ext cx="304800" cy="219075"/>
              </a:xfrm>
              <a:prstGeom prst="rect">
                <a:avLst/>
              </a:prstGeom>
            </xdr:spPr>
            <xdr:txBody>
              <a:bodyPr/>
              <a:p>
                <a:endParaRPr lang="zh-CN" altLang="en-US"/>
              </a:p>
            </xdr:txBody>
          </xdr:sp>
        </mc:Choice>
        <mc:Fallback/>
      </mc:AlternateContent>
      <mc:AlternateContent xmlns:mc="http://schemas.openxmlformats.org/markup-compatibility/2006">
        <mc:Choice xmlns:a14="http://schemas.microsoft.com/office/drawing/2010/main" Requires="a14">
          <xdr:sp>
            <xdr:nvSpPr>
              <xdr:cNvPr id="16388" name="Check Box 4" hidden="1">
                <a:extLst>
                  <a:ext uri="{63B3BB69-23CF-44E3-9099-C40C66FF867C}">
                    <a14:compatExt spid="_x0000_s16388"/>
                  </a:ext>
                </a:extLst>
              </xdr:cNvPr>
              <xdr:cNvSpPr/>
            </xdr:nvSpPr>
            <xdr:spPr>
              <a:xfrm>
                <a:off x="1133475" y="752316"/>
                <a:ext cx="304800" cy="219075"/>
              </a:xfrm>
              <a:prstGeom prst="rect">
                <a:avLst/>
              </a:prstGeom>
            </xdr:spPr>
            <xdr:txBody>
              <a:bodyPr/>
              <a:p>
                <a:endParaRPr lang="zh-CN" altLang="en-US"/>
              </a:p>
            </xdr:txBody>
          </xdr:sp>
        </mc:Choice>
        <mc:Fallback/>
      </mc:AlternateContent>
    </xdr:grpSp>
    <xdr:clientData/>
  </xdr:twoCellAnchor>
  <xdr:oneCellAnchor>
    <xdr:from>
      <xdr:col>1</xdr:col>
      <xdr:colOff>13602</xdr:colOff>
      <xdr:row>15</xdr:row>
      <xdr:rowOff>28574</xdr:rowOff>
    </xdr:from>
    <xdr:ext cx="967473" cy="257175"/>
    <xdr:sp macro="[0]!EmployeeExtendOrg">
      <xdr:nvSpPr>
        <xdr:cNvPr id="44" name="Rounded Rectangle 43"/>
        <xdr:cNvSpPr/>
      </xdr:nvSpPr>
      <xdr:spPr>
        <a:xfrm>
          <a:off x="709930" y="3016885"/>
          <a:ext cx="96774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endParaRPr lang="en-US" sz="1200" b="1">
            <a:solidFill>
              <a:sysClr val="windowText" lastClr="000000"/>
            </a:solidFill>
          </a:endParaRP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xdr:nvSpPr>
        <xdr:cNvPr id="23" name="ButtonReturn2Sim"/>
        <xdr:cNvSpPr/>
      </xdr:nvSpPr>
      <xdr:spPr>
        <a:xfrm>
          <a:off x="9045575" y="47625"/>
          <a:ext cx="132461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xdr:nvSpPr>
        <xdr:cNvPr id="24" name="MktgSR"/>
        <xdr:cNvSpPr/>
      </xdr:nvSpPr>
      <xdr:spPr>
        <a:xfrm>
          <a:off x="7026275" y="47625"/>
          <a:ext cx="99568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a:solidFill>
              <a:schemeClr val="bg1"/>
            </a:solidFill>
          </a:endParaRPr>
        </a:p>
        <a:p>
          <a:pPr algn="ctr"/>
          <a:r>
            <a:rPr lang="en-US" sz="800" b="1">
              <a:solidFill>
                <a:schemeClr val="bg1"/>
              </a:solidFill>
            </a:rPr>
            <a:t>Calculations</a:t>
          </a:r>
          <a:endParaRPr lang="en-US" sz="800" b="1">
            <a:solidFill>
              <a:schemeClr val="bg1"/>
            </a:solidFill>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7465" y="0"/>
          <a:ext cx="10191115" cy="519430"/>
          <a:chOff x="38099" y="0"/>
          <a:chExt cx="6978784" cy="514348"/>
        </a:xfrm>
      </xdr:grpSpPr>
      <xdr:sp>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endParaRPr lang="en-US" sz="1100" b="1">
                <a:solidFill>
                  <a:sysClr val="windowText" lastClr="000000"/>
                </a:solidFill>
              </a:endParaRPr>
            </a:p>
          </xdr:txBody>
        </xdr:sp>
        <mc:AlternateContent xmlns:mc="http://schemas.openxmlformats.org/markup-compatibility/2006">
          <mc:Choice xmlns:a14="http://schemas.microsoft.com/office/drawing/2010/main" Requires="a14">
            <xdr:sp>
              <xdr:nvSpPr>
                <xdr:cNvPr id="17414" name="ComboBox1" hidden="1">
                  <a:extLst>
                    <a:ext uri="{63B3BB69-23CF-44E3-9099-C40C66FF867C}">
                      <a14:compatExt spid="_x0000_s17414"/>
                    </a:ext>
                  </a:extLst>
                </xdr:cNvPr>
                <xdr:cNvSpPr/>
              </xdr:nvSpPr>
              <xdr:spPr>
                <a:xfrm>
                  <a:off x="2932102" y="-125361"/>
                  <a:ext cx="2552029" cy="226314"/>
                </a:xfrm>
                <a:prstGeom prst="rect">
                  <a:avLst/>
                </a:prstGeom>
              </xdr:spPr>
            </xdr:sp>
          </mc:Choice>
          <mc:Fallback/>
        </mc:AlternateContent>
      </xdr:grpSp>
      <xdr:sp>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0]!return2navigatorfromStartPage">
        <xdr:nvSpPr>
          <xdr:cNvPr id="52" name="ButtonReturn2Sim"/>
          <xdr:cNvSpPr/>
        </xdr:nvSpPr>
        <xdr:spPr>
          <a:xfrm>
            <a:off x="5676945" y="68580"/>
            <a:ext cx="977948" cy="381964"/>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endParaRPr lang="en-US" sz="1100" b="1">
              <a:solidFill>
                <a:sysClr val="windowText" lastClr="000000"/>
              </a:solidFill>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44.wmf"/><Relationship Id="rId7" Type="http://schemas.openxmlformats.org/officeDocument/2006/relationships/control" Target="../activeX/activeX3.xml"/><Relationship Id="rId6" Type="http://schemas.openxmlformats.org/officeDocument/2006/relationships/image" Target="../media/image43.wmf"/><Relationship Id="rId5" Type="http://schemas.openxmlformats.org/officeDocument/2006/relationships/control" Target="../activeX/activeX2.xml"/><Relationship Id="rId41" Type="http://schemas.openxmlformats.org/officeDocument/2006/relationships/control" Target="../activeX/activeX20.xml"/><Relationship Id="rId40" Type="http://schemas.openxmlformats.org/officeDocument/2006/relationships/image" Target="../media/image60.wmf"/><Relationship Id="rId4" Type="http://schemas.openxmlformats.org/officeDocument/2006/relationships/image" Target="../media/image42.wmf"/><Relationship Id="rId39" Type="http://schemas.openxmlformats.org/officeDocument/2006/relationships/control" Target="../activeX/activeX19.xml"/><Relationship Id="rId38" Type="http://schemas.openxmlformats.org/officeDocument/2006/relationships/image" Target="../media/image59.wmf"/><Relationship Id="rId37" Type="http://schemas.openxmlformats.org/officeDocument/2006/relationships/control" Target="../activeX/activeX18.xml"/><Relationship Id="rId36" Type="http://schemas.openxmlformats.org/officeDocument/2006/relationships/image" Target="../media/image58.wmf"/><Relationship Id="rId35" Type="http://schemas.openxmlformats.org/officeDocument/2006/relationships/control" Target="../activeX/activeX17.xml"/><Relationship Id="rId34" Type="http://schemas.openxmlformats.org/officeDocument/2006/relationships/image" Target="../media/image57.wmf"/><Relationship Id="rId33" Type="http://schemas.openxmlformats.org/officeDocument/2006/relationships/control" Target="../activeX/activeX16.xml"/><Relationship Id="rId32" Type="http://schemas.openxmlformats.org/officeDocument/2006/relationships/image" Target="../media/image56.wmf"/><Relationship Id="rId31" Type="http://schemas.openxmlformats.org/officeDocument/2006/relationships/control" Target="../activeX/activeX15.xml"/><Relationship Id="rId30" Type="http://schemas.openxmlformats.org/officeDocument/2006/relationships/image" Target="../media/image55.wmf"/><Relationship Id="rId3" Type="http://schemas.openxmlformats.org/officeDocument/2006/relationships/control" Target="../activeX/activeX1.xml"/><Relationship Id="rId29" Type="http://schemas.openxmlformats.org/officeDocument/2006/relationships/control" Target="../activeX/activeX14.xml"/><Relationship Id="rId28" Type="http://schemas.openxmlformats.org/officeDocument/2006/relationships/image" Target="../media/image54.wmf"/><Relationship Id="rId27" Type="http://schemas.openxmlformats.org/officeDocument/2006/relationships/control" Target="../activeX/activeX13.xml"/><Relationship Id="rId26" Type="http://schemas.openxmlformats.org/officeDocument/2006/relationships/image" Target="../media/image53.wmf"/><Relationship Id="rId25" Type="http://schemas.openxmlformats.org/officeDocument/2006/relationships/control" Target="../activeX/activeX12.xml"/><Relationship Id="rId24" Type="http://schemas.openxmlformats.org/officeDocument/2006/relationships/image" Target="../media/image52.wmf"/><Relationship Id="rId23" Type="http://schemas.openxmlformats.org/officeDocument/2006/relationships/control" Target="../activeX/activeX11.xml"/><Relationship Id="rId22" Type="http://schemas.openxmlformats.org/officeDocument/2006/relationships/image" Target="../media/image51.wmf"/><Relationship Id="rId21" Type="http://schemas.openxmlformats.org/officeDocument/2006/relationships/control" Target="../activeX/activeX10.xml"/><Relationship Id="rId20" Type="http://schemas.openxmlformats.org/officeDocument/2006/relationships/image" Target="../media/image50.wmf"/><Relationship Id="rId2" Type="http://schemas.openxmlformats.org/officeDocument/2006/relationships/vmlDrawing" Target="../drawings/vmlDrawing1.vml"/><Relationship Id="rId19" Type="http://schemas.openxmlformats.org/officeDocument/2006/relationships/control" Target="../activeX/activeX9.xml"/><Relationship Id="rId18" Type="http://schemas.openxmlformats.org/officeDocument/2006/relationships/image" Target="../media/image49.wmf"/><Relationship Id="rId17" Type="http://schemas.openxmlformats.org/officeDocument/2006/relationships/control" Target="../activeX/activeX8.xml"/><Relationship Id="rId16" Type="http://schemas.openxmlformats.org/officeDocument/2006/relationships/image" Target="../media/image48.wmf"/><Relationship Id="rId15" Type="http://schemas.openxmlformats.org/officeDocument/2006/relationships/control" Target="../activeX/activeX7.xml"/><Relationship Id="rId14" Type="http://schemas.openxmlformats.org/officeDocument/2006/relationships/image" Target="../media/image47.wmf"/><Relationship Id="rId13" Type="http://schemas.openxmlformats.org/officeDocument/2006/relationships/control" Target="../activeX/activeX6.xml"/><Relationship Id="rId12" Type="http://schemas.openxmlformats.org/officeDocument/2006/relationships/image" Target="../media/image46.wmf"/><Relationship Id="rId11" Type="http://schemas.openxmlformats.org/officeDocument/2006/relationships/control" Target="../activeX/activeX5.xml"/><Relationship Id="rId10" Type="http://schemas.openxmlformats.org/officeDocument/2006/relationships/image" Target="../media/image45.wmf"/><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23.xml"/><Relationship Id="rId6" Type="http://schemas.openxmlformats.org/officeDocument/2006/relationships/image" Target="../media/image62.wmf"/><Relationship Id="rId5" Type="http://schemas.openxmlformats.org/officeDocument/2006/relationships/control" Target="../activeX/activeX22.xml"/><Relationship Id="rId4" Type="http://schemas.openxmlformats.org/officeDocument/2006/relationships/image" Target="../media/image61.wmf"/><Relationship Id="rId3" Type="http://schemas.openxmlformats.org/officeDocument/2006/relationships/control" Target="../activeX/activeX21.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image" Target="../media/image63.wmf"/><Relationship Id="rId3" Type="http://schemas.openxmlformats.org/officeDocument/2006/relationships/control" Target="../activeX/activeX24.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trlProp" Target="../ctrlProps/ctrlProp35.xml"/><Relationship Id="rId8" Type="http://schemas.openxmlformats.org/officeDocument/2006/relationships/ctrlProp" Target="../ctrlProps/ctrlProp34.xml"/><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image" Target="../media/image64.wmf"/><Relationship Id="rId3" Type="http://schemas.openxmlformats.org/officeDocument/2006/relationships/control" Target="../activeX/activeX30.xml"/><Relationship Id="rId2" Type="http://schemas.openxmlformats.org/officeDocument/2006/relationships/vmlDrawing" Target="../drawings/vmlDrawing4.vml"/><Relationship Id="rId11" Type="http://schemas.openxmlformats.org/officeDocument/2006/relationships/ctrlProp" Target="../ctrlProps/ctrlProp37.xml"/><Relationship Id="rId10" Type="http://schemas.openxmlformats.org/officeDocument/2006/relationships/ctrlProp" Target="../ctrlProps/ctrlProp3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trlProp" Target="../ctrlProps/ctrlProp43.xml"/><Relationship Id="rId8" Type="http://schemas.openxmlformats.org/officeDocument/2006/relationships/ctrlProp" Target="../ctrlProps/ctrlProp42.xml"/><Relationship Id="rId7" Type="http://schemas.openxmlformats.org/officeDocument/2006/relationships/ctrlProp" Target="../ctrlProps/ctrlProp41.x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image" Target="../media/image65.wmf"/><Relationship Id="rId3" Type="http://schemas.openxmlformats.org/officeDocument/2006/relationships/control" Target="../activeX/activeX38.xml"/><Relationship Id="rId2" Type="http://schemas.openxmlformats.org/officeDocument/2006/relationships/vmlDrawing" Target="../drawings/vmlDrawing5.vml"/><Relationship Id="rId12" Type="http://schemas.openxmlformats.org/officeDocument/2006/relationships/ctrlProp" Target="../ctrlProps/ctrlProp46.xml"/><Relationship Id="rId11" Type="http://schemas.openxmlformats.org/officeDocument/2006/relationships/ctrlProp" Target="../ctrlProps/ctrlProp45.xml"/><Relationship Id="rId10" Type="http://schemas.openxmlformats.org/officeDocument/2006/relationships/ctrlProp" Target="../ctrlProps/ctrlProp44.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trlProp" Target="../ctrlProps/ctrlProp52.xml"/><Relationship Id="rId8" Type="http://schemas.openxmlformats.org/officeDocument/2006/relationships/ctrlProp" Target="../ctrlProps/ctrlProp51.xml"/><Relationship Id="rId7" Type="http://schemas.openxmlformats.org/officeDocument/2006/relationships/ctrlProp" Target="../ctrlProps/ctrlProp50.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image" Target="../media/image66.wmf"/><Relationship Id="rId3" Type="http://schemas.openxmlformats.org/officeDocument/2006/relationships/control" Target="../activeX/activeX47.xml"/><Relationship Id="rId2" Type="http://schemas.openxmlformats.org/officeDocument/2006/relationships/vmlDrawing" Target="../drawings/vmlDrawing6.vml"/><Relationship Id="rId11" Type="http://schemas.openxmlformats.org/officeDocument/2006/relationships/ctrlProp" Target="../ctrlProps/ctrlProp54.xml"/><Relationship Id="rId10" Type="http://schemas.openxmlformats.org/officeDocument/2006/relationships/ctrlProp" Target="../ctrlProps/ctrlProp53.xml"/><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4" Type="http://schemas.openxmlformats.org/officeDocument/2006/relationships/image" Target="../media/image67.wmf"/><Relationship Id="rId3" Type="http://schemas.openxmlformats.org/officeDocument/2006/relationships/control" Target="../activeX/activeX55.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0.xml"/><Relationship Id="rId7" Type="http://schemas.openxmlformats.org/officeDocument/2006/relationships/ctrlProp" Target="../ctrlProps/ctrlProp59.xm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image" Target="../media/image69.wmf"/><Relationship Id="rId3" Type="http://schemas.openxmlformats.org/officeDocument/2006/relationships/control" Target="../activeX/activeX56.xml"/><Relationship Id="rId2" Type="http://schemas.openxmlformats.org/officeDocument/2006/relationships/vmlDrawing" Target="../drawings/vmlDrawing8.vml"/><Relationship Id="rId1" Type="http://schemas.openxmlformats.org/officeDocument/2006/relationships/drawing" Target="../drawings/drawing15.xml"/></Relationships>
</file>

<file path=xl/worksheets/_rels/sheet12.xml.rels><?xml version="1.0" encoding="UTF-8" standalone="yes"?>
<Relationships xmlns="http://schemas.openxmlformats.org/package/2006/relationships"><Relationship Id="rId5" Type="http://schemas.openxmlformats.org/officeDocument/2006/relationships/ctrlProp" Target="../ctrlProps/ctrlProp62.xml"/><Relationship Id="rId4" Type="http://schemas.openxmlformats.org/officeDocument/2006/relationships/image" Target="../media/image70.wmf"/><Relationship Id="rId3" Type="http://schemas.openxmlformats.org/officeDocument/2006/relationships/control" Target="../activeX/activeX61.xml"/><Relationship Id="rId2" Type="http://schemas.openxmlformats.org/officeDocument/2006/relationships/vmlDrawing" Target="../drawings/vmlDrawing9.vml"/><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7" Type="http://schemas.openxmlformats.org/officeDocument/2006/relationships/ctrlProp" Target="../ctrlProps/ctrlProp66.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image" Target="../media/image71.wmf"/><Relationship Id="rId3" Type="http://schemas.openxmlformats.org/officeDocument/2006/relationships/control" Target="../activeX/activeX63.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72.xml"/><Relationship Id="rId8" Type="http://schemas.openxmlformats.org/officeDocument/2006/relationships/ctrlProp" Target="../ctrlProps/ctrlProp71.xml"/><Relationship Id="rId7" Type="http://schemas.openxmlformats.org/officeDocument/2006/relationships/ctrlProp" Target="../ctrlProps/ctrlProp7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image" Target="../media/image72.wmf"/><Relationship Id="rId3" Type="http://schemas.openxmlformats.org/officeDocument/2006/relationships/control" Target="../activeX/activeX67.xml"/><Relationship Id="rId2" Type="http://schemas.openxmlformats.org/officeDocument/2006/relationships/vmlDrawing" Target="../drawings/vmlDrawing11.vml"/><Relationship Id="rId11" Type="http://schemas.openxmlformats.org/officeDocument/2006/relationships/ctrlProp" Target="../ctrlProps/ctrlProp74.xml"/><Relationship Id="rId10" Type="http://schemas.openxmlformats.org/officeDocument/2006/relationships/ctrlProp" Target="../ctrlProps/ctrlProp73.xml"/><Relationship Id="rId1" Type="http://schemas.openxmlformats.org/officeDocument/2006/relationships/drawing" Target="../drawings/drawing18.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image" Target="../media/image73.wmf"/><Relationship Id="rId3" Type="http://schemas.openxmlformats.org/officeDocument/2006/relationships/control" Target="../activeX/activeX75.xml"/><Relationship Id="rId2" Type="http://schemas.openxmlformats.org/officeDocument/2006/relationships/vmlDrawing" Target="../drawings/vmlDrawing12.vml"/><Relationship Id="rId1" Type="http://schemas.openxmlformats.org/officeDocument/2006/relationships/drawing" Target="../drawings/drawing19.xml"/></Relationships>
</file>

<file path=xl/worksheets/_rels/sheet16.xml.rels><?xml version="1.0" encoding="UTF-8" standalone="yes"?>
<Relationships xmlns="http://schemas.openxmlformats.org/package/2006/relationships"><Relationship Id="rId4" Type="http://schemas.openxmlformats.org/officeDocument/2006/relationships/image" Target="../media/image74.wmf"/><Relationship Id="rId3" Type="http://schemas.openxmlformats.org/officeDocument/2006/relationships/control" Target="../activeX/activeX78.xml"/><Relationship Id="rId2" Type="http://schemas.openxmlformats.org/officeDocument/2006/relationships/vmlDrawing" Target="../drawings/vmlDrawing1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S38"/>
  <sheetViews>
    <sheetView showGridLines="0" showRowColHeaders="0" workbookViewId="0">
      <selection activeCell="D11" sqref="D11"/>
    </sheetView>
  </sheetViews>
  <sheetFormatPr defaultColWidth="9.14166666666667" defaultRowHeight="12.75"/>
  <cols>
    <col min="1" max="1" width="6.14166666666667" style="328" customWidth="1"/>
    <col min="2" max="2" width="15.425" style="328" customWidth="1"/>
    <col min="3" max="3" width="24.8583333333333" style="328" customWidth="1"/>
    <col min="4" max="4" width="31.5666666666667" style="328" customWidth="1"/>
    <col min="5" max="5" width="24.1416666666667" style="328" customWidth="1"/>
    <col min="6" max="6" width="13" style="328" customWidth="1"/>
    <col min="7" max="7" width="7.56666666666667" style="328" customWidth="1"/>
    <col min="8" max="16384" width="9.14166666666667" style="328"/>
  </cols>
  <sheetData>
    <row r="1" ht="32.1" customHeight="1" spans="2:19">
      <c r="B1" s="1593"/>
      <c r="C1" s="1514"/>
      <c r="D1" s="338"/>
      <c r="E1" s="1"/>
      <c r="F1" s="1"/>
      <c r="G1" s="1"/>
      <c r="H1" s="1"/>
      <c r="I1" s="1"/>
      <c r="J1" s="1"/>
      <c r="K1" s="1"/>
      <c r="L1" s="1"/>
      <c r="M1" s="1"/>
      <c r="N1" s="1"/>
      <c r="O1" s="1"/>
      <c r="P1" s="1"/>
      <c r="Q1" s="1"/>
      <c r="R1" s="1"/>
      <c r="S1" s="1"/>
    </row>
    <row r="2" customHeight="1" spans="2:4">
      <c r="B2" s="1"/>
      <c r="C2" s="1"/>
      <c r="D2" s="1"/>
    </row>
    <row r="3" customHeight="1" spans="2:4">
      <c r="B3" s="1"/>
      <c r="C3" s="1"/>
      <c r="D3" s="1"/>
    </row>
    <row r="4" customHeight="1" spans="2:4">
      <c r="B4" s="340"/>
      <c r="C4" s="337"/>
      <c r="D4" s="1"/>
    </row>
    <row r="5" customHeight="1" spans="2:4">
      <c r="B5" s="1594"/>
      <c r="C5" s="1595" t="s">
        <v>0</v>
      </c>
      <c r="D5" s="330" t="str">
        <f ca="1">IF(MONTH(TODAY())&lt;6,"Spring",IF(MONTH(TODAY())&lt;9,"Summer","Fall"))&amp;" "&amp;YEAR(TODAY())</f>
        <v>Summer 2021</v>
      </c>
    </row>
    <row r="6" customHeight="1" spans="2:3">
      <c r="B6" s="1594"/>
      <c r="C6" s="27"/>
    </row>
    <row r="7" customHeight="1" spans="2:4">
      <c r="B7" s="1594"/>
      <c r="C7" s="1595" t="s">
        <v>1</v>
      </c>
      <c r="D7" s="88" t="s">
        <v>2</v>
      </c>
    </row>
    <row r="8" customHeight="1" spans="3:4">
      <c r="C8" s="27"/>
      <c r="D8" s="1"/>
    </row>
    <row r="9" customHeight="1" spans="3:4">
      <c r="C9" s="1595" t="s">
        <v>3</v>
      </c>
      <c r="D9" s="88" t="s">
        <v>4</v>
      </c>
    </row>
    <row r="10" customHeight="1" spans="3:4">
      <c r="C10" s="27"/>
      <c r="D10" s="1"/>
    </row>
    <row r="11" customHeight="1" spans="2:4">
      <c r="B11" s="1596"/>
      <c r="C11" s="1595" t="s">
        <v>5</v>
      </c>
      <c r="D11" s="88" t="s">
        <v>6</v>
      </c>
    </row>
    <row r="12" customHeight="1" spans="2:2">
      <c r="B12" s="1597"/>
    </row>
    <row r="13" customHeight="1" spans="2:2">
      <c r="B13" s="1597"/>
    </row>
    <row r="14" customHeight="1" spans="2:4">
      <c r="B14" s="1597"/>
      <c r="C14" s="1595" t="s">
        <v>7</v>
      </c>
      <c r="D14" s="328" t="s">
        <v>8</v>
      </c>
    </row>
    <row r="15" customHeight="1" spans="2:3">
      <c r="B15" s="1520"/>
      <c r="C15" s="27"/>
    </row>
    <row r="16" customHeight="1" spans="2:4">
      <c r="B16" s="1520"/>
      <c r="C16" s="1584" t="s">
        <v>9</v>
      </c>
      <c r="D16" s="1598">
        <v>44418</v>
      </c>
    </row>
    <row r="17" customHeight="1" spans="6:6">
      <c r="F17" s="27"/>
    </row>
    <row r="18" customHeight="1" spans="6:6">
      <c r="F18" s="27"/>
    </row>
    <row r="19" customHeight="1" spans="2:6">
      <c r="B19" s="1521"/>
      <c r="C19" s="1521"/>
      <c r="D19" s="1521"/>
      <c r="F19" s="27"/>
    </row>
    <row r="20" customHeight="1" spans="2:6">
      <c r="B20" s="1521"/>
      <c r="C20" s="1521"/>
      <c r="D20" s="1521"/>
      <c r="F20" s="27"/>
    </row>
    <row r="21" customHeight="1" spans="2:6">
      <c r="B21" s="1521"/>
      <c r="C21" s="1521"/>
      <c r="D21" s="1521"/>
      <c r="F21" s="27"/>
    </row>
    <row r="22" customHeight="1" spans="2:4">
      <c r="B22" s="1521"/>
      <c r="C22" s="1521"/>
      <c r="D22" s="1521"/>
    </row>
    <row r="23" customHeight="1" spans="6:6">
      <c r="F23" s="27"/>
    </row>
    <row r="24" customHeight="1" spans="6:6">
      <c r="F24" s="27"/>
    </row>
    <row r="25" customHeight="1"/>
    <row r="26" customHeight="1" spans="2:6">
      <c r="B26" s="1521"/>
      <c r="C26" s="1521"/>
      <c r="D26" s="1521"/>
      <c r="F26" s="27"/>
    </row>
    <row r="27" customHeight="1"/>
    <row r="28" customHeight="1" spans="6:6">
      <c r="F28" s="27"/>
    </row>
    <row r="29" customHeight="1" spans="6:6">
      <c r="F29" s="27"/>
    </row>
    <row r="30" customHeight="1"/>
    <row r="31" customHeight="1"/>
    <row r="32" customHeight="1"/>
    <row r="33" customHeight="1"/>
    <row r="34" customHeight="1" spans="2:4">
      <c r="B34" s="1521"/>
      <c r="C34" s="1521"/>
      <c r="D34" s="1521"/>
    </row>
    <row r="35" customHeight="1" spans="2:4">
      <c r="B35" s="1521"/>
      <c r="C35" s="1521"/>
      <c r="D35" s="1521"/>
    </row>
    <row r="36" spans="2:4">
      <c r="B36" s="1521"/>
      <c r="C36" s="1521"/>
      <c r="D36" s="1521"/>
    </row>
    <row r="37" spans="2:4">
      <c r="B37" s="1521"/>
      <c r="C37" s="1521"/>
      <c r="D37" s="1521"/>
    </row>
    <row r="38" spans="2:4">
      <c r="B38" s="21"/>
      <c r="C38" s="21"/>
      <c r="D38" s="21"/>
    </row>
  </sheetData>
  <sheetProtection algorithmName="SHA-512" hashValue="u0u8sMVqx1ibXTaz6AhP53qq5QTGcvSf0FtRvgEEe6LtAEi6K2WQ3mQu4W0X52qIfRgfGtZKxDjwPEkzADK1/w==" saltValue="ZQ8vjXT3TLMV3CXNrXvn4g==" spinCount="100000" sheet="1" selectLockedCells="1" objects="1" scenarios="1"/>
  <pageMargins left="0.7" right="0.7" top="0.75" bottom="0.75" header="0.3" footer="0.3"/>
  <pageSetup paperSize="1" scale="77" orientation="portrait"/>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M55"/>
  <sheetViews>
    <sheetView showGridLines="0" showRowColHeaders="0" view="pageLayout" zoomScaleNormal="100" showRuler="0" workbookViewId="0">
      <selection activeCell="D50" sqref="D50"/>
    </sheetView>
  </sheetViews>
  <sheetFormatPr defaultColWidth="9.14166666666667" defaultRowHeight="12.75"/>
  <cols>
    <col min="1" max="1" width="12.425" style="328" customWidth="1"/>
    <col min="2" max="2" width="21.5666666666667" style="328" customWidth="1"/>
    <col min="3" max="3" width="10.1416666666667" style="328" customWidth="1"/>
    <col min="4" max="7" width="9.14166666666667" style="328"/>
    <col min="8" max="8" width="12.425" style="328" customWidth="1"/>
    <col min="9" max="16384" width="9.14166666666667" style="328"/>
  </cols>
  <sheetData>
    <row r="1" spans="1:13">
      <c r="A1" s="27"/>
      <c r="C1" s="1568"/>
      <c r="D1" s="1568"/>
      <c r="E1" s="1568"/>
      <c r="F1" s="1568"/>
      <c r="G1" s="1568"/>
      <c r="H1" s="1568"/>
      <c r="I1" s="1568"/>
      <c r="J1" s="1568"/>
      <c r="K1" s="1568"/>
      <c r="L1" s="27"/>
      <c r="M1" s="27"/>
    </row>
    <row r="2" spans="1:13">
      <c r="A2" s="27"/>
      <c r="C2" s="1568"/>
      <c r="D2" s="1568"/>
      <c r="E2" s="1568"/>
      <c r="F2" s="1568"/>
      <c r="G2" s="1568"/>
      <c r="H2" s="1568"/>
      <c r="I2" s="1568"/>
      <c r="J2" s="1568"/>
      <c r="K2" s="1568"/>
      <c r="L2" s="27"/>
      <c r="M2" s="27"/>
    </row>
    <row r="3" spans="1:13">
      <c r="A3" s="27"/>
      <c r="C3" s="1568"/>
      <c r="D3" s="1568"/>
      <c r="E3" s="1568"/>
      <c r="F3" s="1568"/>
      <c r="G3" s="1568"/>
      <c r="H3" s="1568"/>
      <c r="I3" s="1568"/>
      <c r="J3" s="1568"/>
      <c r="K3" s="1568"/>
      <c r="L3" s="27"/>
      <c r="M3" s="27"/>
    </row>
    <row r="4" spans="1:13">
      <c r="A4" s="27"/>
      <c r="B4" s="27"/>
      <c r="C4" s="27"/>
      <c r="D4" s="27"/>
      <c r="E4" s="27"/>
      <c r="F4" s="27"/>
      <c r="G4" s="27"/>
      <c r="H4" s="27"/>
      <c r="I4" s="27"/>
      <c r="J4" s="27"/>
      <c r="K4" s="27"/>
      <c r="L4" s="27"/>
      <c r="M4" s="27"/>
    </row>
    <row r="5" spans="1:13">
      <c r="A5" s="1569"/>
      <c r="B5" s="1570"/>
      <c r="C5" s="1570"/>
      <c r="D5" s="1570"/>
      <c r="E5" s="1571"/>
      <c r="F5" s="1570"/>
      <c r="G5" s="1570"/>
      <c r="H5" s="1570"/>
      <c r="I5" s="1568"/>
      <c r="J5" s="1568"/>
      <c r="K5" s="1568"/>
      <c r="L5" s="1568"/>
      <c r="M5" s="1568"/>
    </row>
    <row r="6" spans="1:13">
      <c r="A6" s="1570"/>
      <c r="B6" s="1570"/>
      <c r="C6" s="1572"/>
      <c r="D6" s="1570"/>
      <c r="E6" s="1570"/>
      <c r="F6" s="1572"/>
      <c r="G6" s="1570"/>
      <c r="H6" s="1570"/>
      <c r="I6" s="154"/>
      <c r="J6" s="27"/>
      <c r="K6" s="27"/>
      <c r="L6" s="27"/>
      <c r="M6" s="27"/>
    </row>
    <row r="7" spans="1:13">
      <c r="A7" s="1570"/>
      <c r="B7" s="1570"/>
      <c r="C7" s="1570"/>
      <c r="D7" s="1570"/>
      <c r="E7" s="1570"/>
      <c r="F7" s="1570"/>
      <c r="G7" s="1570"/>
      <c r="H7" s="1570"/>
      <c r="I7" s="27"/>
      <c r="J7" s="27"/>
      <c r="K7" s="27"/>
      <c r="L7" s="27"/>
      <c r="M7" s="27"/>
    </row>
    <row r="8" spans="1:13">
      <c r="A8" s="1570"/>
      <c r="B8" s="1570"/>
      <c r="C8" s="1570"/>
      <c r="D8" s="1570"/>
      <c r="E8" s="1570"/>
      <c r="F8" s="1570"/>
      <c r="G8" s="1570"/>
      <c r="H8" s="1570"/>
      <c r="I8" s="27"/>
      <c r="J8" s="27"/>
      <c r="K8" s="27"/>
      <c r="L8" s="27"/>
      <c r="M8" s="27"/>
    </row>
    <row r="9" ht="15.75" spans="1:13">
      <c r="A9" s="1570"/>
      <c r="B9" s="1569" t="s">
        <v>0</v>
      </c>
      <c r="C9" s="1573" t="str">
        <f ca="1">Semester</f>
        <v>Summer 2021</v>
      </c>
      <c r="D9" s="1570"/>
      <c r="E9" s="1570"/>
      <c r="F9" s="1570"/>
      <c r="G9" s="1570"/>
      <c r="H9" s="1570"/>
      <c r="I9" s="27"/>
      <c r="J9" s="27"/>
      <c r="K9" s="27"/>
      <c r="L9" s="27"/>
      <c r="M9" s="27"/>
    </row>
    <row r="10" spans="1:13">
      <c r="A10" s="1570"/>
      <c r="B10" s="1570"/>
      <c r="C10" s="1570"/>
      <c r="D10" s="1570"/>
      <c r="E10" s="1570"/>
      <c r="F10" s="1570"/>
      <c r="G10" s="1570"/>
      <c r="H10" s="1570"/>
      <c r="I10" s="27"/>
      <c r="J10" s="27"/>
      <c r="K10" s="27"/>
      <c r="L10" s="27"/>
      <c r="M10" s="27"/>
    </row>
    <row r="11" spans="1:13">
      <c r="A11" s="1570"/>
      <c r="B11" s="1570"/>
      <c r="C11" s="1570"/>
      <c r="D11" s="1570"/>
      <c r="E11" s="1570"/>
      <c r="F11" s="1574"/>
      <c r="G11" s="1575"/>
      <c r="H11" s="1575"/>
      <c r="I11" s="1591"/>
      <c r="J11" s="1591"/>
      <c r="K11" s="154"/>
      <c r="L11" s="154"/>
      <c r="M11" s="1591"/>
    </row>
    <row r="12" spans="1:13">
      <c r="A12" s="1570"/>
      <c r="B12" s="1570"/>
      <c r="C12" s="1570"/>
      <c r="D12" s="1570"/>
      <c r="E12" s="1570"/>
      <c r="F12" s="1574"/>
      <c r="G12" s="1576"/>
      <c r="H12" s="1576"/>
      <c r="I12" s="154"/>
      <c r="J12" s="154"/>
      <c r="K12" s="154"/>
      <c r="L12" s="154"/>
      <c r="M12" s="154"/>
    </row>
    <row r="13" spans="1:13">
      <c r="A13" s="1570"/>
      <c r="B13" s="1570"/>
      <c r="C13" s="1570"/>
      <c r="D13" s="1570"/>
      <c r="E13" s="1570"/>
      <c r="F13" s="1574"/>
      <c r="G13" s="1575"/>
      <c r="H13" s="1575"/>
      <c r="I13" s="1591"/>
      <c r="J13" s="1591"/>
      <c r="K13" s="154"/>
      <c r="L13" s="154"/>
      <c r="M13" s="1591"/>
    </row>
    <row r="14" ht="15.75" spans="1:13">
      <c r="A14" s="1570"/>
      <c r="B14" s="1569" t="s">
        <v>1</v>
      </c>
      <c r="C14" s="1577" t="str">
        <f>IF(ProjectTitle="","",ProjectTitle)</f>
        <v>TORO</v>
      </c>
      <c r="D14" s="1577"/>
      <c r="E14" s="1577"/>
      <c r="F14" s="1577"/>
      <c r="G14" s="1577"/>
      <c r="H14" s="1576"/>
      <c r="I14" s="154"/>
      <c r="J14" s="154"/>
      <c r="K14" s="154"/>
      <c r="L14" s="154"/>
      <c r="M14" s="154"/>
    </row>
    <row r="15" spans="1:13">
      <c r="A15" s="1570"/>
      <c r="B15" s="1570"/>
      <c r="C15" s="1572"/>
      <c r="D15" s="1570"/>
      <c r="E15" s="1570"/>
      <c r="F15" s="1574"/>
      <c r="G15" s="1575"/>
      <c r="H15" s="1575"/>
      <c r="I15" s="1591"/>
      <c r="J15" s="1591"/>
      <c r="K15" s="154"/>
      <c r="L15" s="154"/>
      <c r="M15" s="1591"/>
    </row>
    <row r="16" spans="1:13">
      <c r="A16" s="1570"/>
      <c r="B16" s="1570"/>
      <c r="C16" s="1570"/>
      <c r="D16" s="1570"/>
      <c r="E16" s="1570"/>
      <c r="F16" s="1574"/>
      <c r="G16" s="1576"/>
      <c r="H16" s="1576"/>
      <c r="I16" s="154"/>
      <c r="J16" s="154"/>
      <c r="K16" s="154"/>
      <c r="L16" s="154"/>
      <c r="M16" s="154"/>
    </row>
    <row r="17" ht="15.75" spans="1:13">
      <c r="A17" s="1570"/>
      <c r="B17" s="1569" t="s">
        <v>10</v>
      </c>
      <c r="C17" s="1578" t="str">
        <f>IF(projectlocation="","",projectlocation)</f>
        <v>1704 Washington St, Boston, MA 02118, United States</v>
      </c>
      <c r="D17" s="1578"/>
      <c r="E17" s="1578"/>
      <c r="F17" s="1578"/>
      <c r="G17" s="1578"/>
      <c r="H17" s="1575"/>
      <c r="I17" s="1591"/>
      <c r="J17" s="1591"/>
      <c r="K17" s="154"/>
      <c r="L17" s="154"/>
      <c r="M17" s="1591"/>
    </row>
    <row r="18" spans="1:13">
      <c r="A18" s="1570"/>
      <c r="B18" s="1570"/>
      <c r="C18" s="1570"/>
      <c r="D18" s="1570"/>
      <c r="E18" s="1570"/>
      <c r="F18" s="1576"/>
      <c r="G18" s="1576"/>
      <c r="H18" s="1576"/>
      <c r="I18" s="154"/>
      <c r="J18" s="154"/>
      <c r="K18" s="154"/>
      <c r="L18" s="154"/>
      <c r="M18" s="154"/>
    </row>
    <row r="19" spans="1:13">
      <c r="A19" s="1570"/>
      <c r="B19" s="1570"/>
      <c r="C19" s="1570"/>
      <c r="D19" s="1570"/>
      <c r="E19" s="1570"/>
      <c r="F19" s="1574"/>
      <c r="G19" s="1575"/>
      <c r="H19" s="1575"/>
      <c r="I19" s="1591"/>
      <c r="J19" s="1591"/>
      <c r="K19" s="154"/>
      <c r="L19" s="154"/>
      <c r="M19" s="1591"/>
    </row>
    <row r="20" spans="1:13">
      <c r="A20" s="1570"/>
      <c r="B20" s="1570"/>
      <c r="C20" s="1572"/>
      <c r="D20" s="1570"/>
      <c r="E20" s="1570"/>
      <c r="F20" s="1579"/>
      <c r="G20" s="1579"/>
      <c r="H20" s="1579"/>
      <c r="I20" s="1592"/>
      <c r="J20" s="1592"/>
      <c r="K20" s="27"/>
      <c r="L20" s="27"/>
      <c r="M20" s="27"/>
    </row>
    <row r="21" spans="1:13">
      <c r="A21" s="1570"/>
      <c r="B21" s="1570"/>
      <c r="C21" s="1570"/>
      <c r="D21" s="1570"/>
      <c r="E21" s="1570"/>
      <c r="F21" s="1580"/>
      <c r="G21" s="1576"/>
      <c r="H21" s="1576"/>
      <c r="I21" s="154"/>
      <c r="J21" s="1591"/>
      <c r="K21" s="27"/>
      <c r="L21" s="27"/>
      <c r="M21" s="27"/>
    </row>
    <row r="22" spans="1:13">
      <c r="A22" s="1570"/>
      <c r="B22" s="1570"/>
      <c r="C22" s="1570"/>
      <c r="D22" s="1570"/>
      <c r="E22" s="1570"/>
      <c r="F22" s="1576"/>
      <c r="G22" s="1576"/>
      <c r="H22" s="1576"/>
      <c r="I22" s="154"/>
      <c r="J22" s="154"/>
      <c r="K22" s="27"/>
      <c r="L22" s="27"/>
      <c r="M22" s="27"/>
    </row>
    <row r="23" spans="1:13">
      <c r="A23" s="1570"/>
      <c r="B23" s="1570"/>
      <c r="C23" s="1576"/>
      <c r="D23" s="1570"/>
      <c r="E23" s="1570"/>
      <c r="F23" s="1580"/>
      <c r="G23" s="1576"/>
      <c r="H23" s="1576"/>
      <c r="I23" s="154"/>
      <c r="J23" s="1591"/>
      <c r="K23" s="27"/>
      <c r="L23" s="27"/>
      <c r="M23" s="27"/>
    </row>
    <row r="24" ht="14.1" customHeight="1" spans="1:13">
      <c r="A24" s="1570"/>
      <c r="B24" s="1570"/>
      <c r="C24" s="1581"/>
      <c r="D24" s="1582"/>
      <c r="E24" s="1570"/>
      <c r="F24" s="1570"/>
      <c r="G24" s="1570"/>
      <c r="H24" s="1570"/>
      <c r="I24" s="27"/>
      <c r="J24" s="27"/>
      <c r="K24" s="27"/>
      <c r="L24" s="27"/>
      <c r="M24" s="27"/>
    </row>
    <row r="25" spans="1:13">
      <c r="A25" s="1570"/>
      <c r="B25" s="1570"/>
      <c r="C25" s="1576"/>
      <c r="D25" s="1570"/>
      <c r="E25" s="1570"/>
      <c r="F25" s="1570"/>
      <c r="G25" s="1570"/>
      <c r="H25" s="1570"/>
      <c r="I25" s="27"/>
      <c r="J25" s="27"/>
      <c r="K25" s="27"/>
      <c r="L25" s="27"/>
      <c r="M25" s="27"/>
    </row>
    <row r="26" ht="15.75" spans="1:13">
      <c r="A26" s="1570"/>
      <c r="B26" s="1569" t="s">
        <v>5</v>
      </c>
      <c r="C26" s="1577" t="str">
        <f>IF(StudentName="","",StudentName)</f>
        <v>Di Ha</v>
      </c>
      <c r="D26" s="1577"/>
      <c r="E26" s="1577"/>
      <c r="F26" s="1577"/>
      <c r="G26" s="1570"/>
      <c r="H26" s="1570"/>
      <c r="I26" s="27"/>
      <c r="J26" s="27"/>
      <c r="K26" s="27"/>
      <c r="L26" s="27"/>
      <c r="M26" s="27"/>
    </row>
    <row r="27" spans="1:13">
      <c r="A27" s="1570"/>
      <c r="B27" s="1570"/>
      <c r="C27" s="1570"/>
      <c r="D27" s="1570"/>
      <c r="E27" s="1570"/>
      <c r="F27" s="1570"/>
      <c r="G27" s="1570"/>
      <c r="H27" s="1570"/>
      <c r="I27" s="27"/>
      <c r="J27" s="27"/>
      <c r="K27" s="27"/>
      <c r="L27" s="27"/>
      <c r="M27" s="27"/>
    </row>
    <row r="28" spans="1:13">
      <c r="A28" s="1572"/>
      <c r="B28" s="1570"/>
      <c r="C28" s="1570"/>
      <c r="D28" s="1570"/>
      <c r="E28" s="1570"/>
      <c r="F28" s="1570"/>
      <c r="G28" s="1570"/>
      <c r="H28" s="1570"/>
      <c r="I28" s="27"/>
      <c r="J28" s="27"/>
      <c r="K28" s="27"/>
      <c r="L28" s="27"/>
      <c r="M28" s="27"/>
    </row>
    <row r="29" spans="1:13">
      <c r="A29" s="1570"/>
      <c r="B29" s="1572"/>
      <c r="C29" s="1570"/>
      <c r="D29" s="1570"/>
      <c r="E29" s="1570"/>
      <c r="F29" s="1570"/>
      <c r="G29" s="1570"/>
      <c r="H29" s="1570"/>
      <c r="I29" s="27"/>
      <c r="J29" s="27"/>
      <c r="K29" s="27"/>
      <c r="L29" s="27"/>
      <c r="M29" s="27"/>
    </row>
    <row r="30" spans="1:13">
      <c r="A30" s="1572"/>
      <c r="B30" s="1570"/>
      <c r="C30" s="1570"/>
      <c r="D30" s="1570"/>
      <c r="E30" s="1570"/>
      <c r="F30" s="1570"/>
      <c r="G30" s="1570"/>
      <c r="H30" s="1570"/>
      <c r="I30" s="27"/>
      <c r="J30" s="27"/>
      <c r="K30" s="27"/>
      <c r="L30" s="27"/>
      <c r="M30" s="27"/>
    </row>
    <row r="31" ht="15.75" spans="1:13">
      <c r="A31" s="1570"/>
      <c r="B31" s="1569" t="s">
        <v>7</v>
      </c>
      <c r="C31" s="1583" t="str">
        <f>Advisor</f>
        <v>Dr. Vladimir Zlatev</v>
      </c>
      <c r="D31" s="1583"/>
      <c r="E31" s="1570"/>
      <c r="F31" s="1570"/>
      <c r="G31" s="1570"/>
      <c r="H31" s="1570"/>
      <c r="I31" s="27"/>
      <c r="J31" s="27"/>
      <c r="K31" s="27"/>
      <c r="L31" s="27"/>
      <c r="M31" s="27"/>
    </row>
    <row r="32" spans="1:13">
      <c r="A32" s="1570"/>
      <c r="B32" s="1570"/>
      <c r="C32" s="1570"/>
      <c r="D32" s="1570"/>
      <c r="E32" s="1570"/>
      <c r="F32" s="1570"/>
      <c r="G32" s="1570"/>
      <c r="H32" s="1570"/>
      <c r="I32" s="27"/>
      <c r="J32" s="27"/>
      <c r="K32" s="27"/>
      <c r="L32" s="27"/>
      <c r="M32" s="27"/>
    </row>
    <row r="33" spans="1:13">
      <c r="A33" s="1570"/>
      <c r="B33" s="1570"/>
      <c r="C33" s="1570"/>
      <c r="D33" s="1570"/>
      <c r="E33" s="1570"/>
      <c r="F33" s="1570"/>
      <c r="G33" s="1570"/>
      <c r="H33" s="1570"/>
      <c r="I33" s="27"/>
      <c r="J33" s="27"/>
      <c r="K33" s="27"/>
      <c r="L33" s="27"/>
      <c r="M33" s="27"/>
    </row>
    <row r="34" spans="1:13">
      <c r="A34" s="27"/>
      <c r="C34" s="27"/>
      <c r="D34" s="27"/>
      <c r="E34" s="27"/>
      <c r="F34" s="27"/>
      <c r="G34" s="27"/>
      <c r="H34" s="27"/>
      <c r="I34" s="27"/>
      <c r="J34" s="27"/>
      <c r="K34" s="27"/>
      <c r="L34" s="27"/>
      <c r="M34" s="27"/>
    </row>
    <row r="35" ht="15.75" spans="1:13">
      <c r="A35" s="27"/>
      <c r="B35" s="1584" t="s">
        <v>9</v>
      </c>
      <c r="C35" s="1585">
        <f>IF(Date="","",Date)</f>
        <v>44418</v>
      </c>
      <c r="D35" s="1585"/>
      <c r="E35" s="27"/>
      <c r="F35" s="27"/>
      <c r="G35" s="27"/>
      <c r="H35" s="27"/>
      <c r="I35" s="27"/>
      <c r="J35" s="27"/>
      <c r="K35" s="27"/>
      <c r="L35" s="27"/>
      <c r="M35" s="27"/>
    </row>
    <row r="36" spans="1:13">
      <c r="A36" s="27"/>
      <c r="B36" s="1584"/>
      <c r="C36" s="27"/>
      <c r="D36" s="27"/>
      <c r="E36" s="27"/>
      <c r="F36" s="27"/>
      <c r="G36" s="27"/>
      <c r="H36" s="27"/>
      <c r="I36" s="27"/>
      <c r="J36" s="27"/>
      <c r="K36" s="27"/>
      <c r="L36" s="27"/>
      <c r="M36" s="27"/>
    </row>
    <row r="37" spans="1:13">
      <c r="A37" s="27"/>
      <c r="B37" s="1584"/>
      <c r="C37" s="27"/>
      <c r="D37" s="27"/>
      <c r="E37" s="27"/>
      <c r="F37" s="27"/>
      <c r="G37" s="27"/>
      <c r="H37" s="27"/>
      <c r="I37" s="27"/>
      <c r="J37" s="27"/>
      <c r="K37" s="27"/>
      <c r="L37" s="27"/>
      <c r="M37" s="27"/>
    </row>
    <row r="38" spans="1:13">
      <c r="A38" s="27"/>
      <c r="B38" s="1584"/>
      <c r="C38" s="27"/>
      <c r="D38" s="27"/>
      <c r="E38" s="27"/>
      <c r="F38" s="27"/>
      <c r="G38" s="27"/>
      <c r="H38" s="27"/>
      <c r="I38" s="27"/>
      <c r="J38" s="27"/>
      <c r="K38" s="27"/>
      <c r="L38" s="27"/>
      <c r="M38" s="27"/>
    </row>
    <row r="39" spans="1:13">
      <c r="A39" s="27"/>
      <c r="B39" s="1584"/>
      <c r="C39" s="27"/>
      <c r="D39" s="27"/>
      <c r="E39" s="27"/>
      <c r="F39" s="27"/>
      <c r="G39" s="27"/>
      <c r="H39" s="27"/>
      <c r="I39" s="27"/>
      <c r="J39" s="27"/>
      <c r="K39" s="27"/>
      <c r="L39" s="27"/>
      <c r="M39" s="27"/>
    </row>
    <row r="40" spans="1:13">
      <c r="A40" s="27"/>
      <c r="B40" s="1584"/>
      <c r="C40" s="27"/>
      <c r="D40" s="27"/>
      <c r="E40" s="27"/>
      <c r="F40" s="27"/>
      <c r="G40" s="27"/>
      <c r="H40" s="27"/>
      <c r="I40" s="27"/>
      <c r="J40" s="27"/>
      <c r="K40" s="27"/>
      <c r="L40" s="27"/>
      <c r="M40" s="27"/>
    </row>
    <row r="42" ht="6.6" customHeight="1"/>
    <row r="43" ht="4.35" hidden="1" customHeight="1"/>
    <row r="44" hidden="1"/>
    <row r="45" hidden="1"/>
    <row r="46" ht="17.45" customHeight="1" spans="1:8">
      <c r="A46" s="1586"/>
      <c r="B46" s="1587"/>
      <c r="C46" s="1587"/>
      <c r="D46" s="1587"/>
      <c r="E46" s="1587"/>
      <c r="F46" s="1587"/>
      <c r="G46" s="1587"/>
      <c r="H46" s="1587"/>
    </row>
    <row r="47" spans="1:1">
      <c r="A47" s="1588" t="s">
        <v>11</v>
      </c>
    </row>
    <row r="48" spans="2:8">
      <c r="B48" s="1589"/>
      <c r="C48" s="1589"/>
      <c r="D48" s="1589"/>
      <c r="E48" s="1589"/>
      <c r="F48" s="1589"/>
      <c r="G48" s="1589"/>
      <c r="H48" s="1589"/>
    </row>
    <row r="49" spans="1:8">
      <c r="A49" s="1590" t="s">
        <v>12</v>
      </c>
      <c r="B49" s="1589"/>
      <c r="C49" s="1589"/>
      <c r="D49" s="1589"/>
      <c r="E49" s="1589"/>
      <c r="F49" s="1589"/>
      <c r="G49" s="1589"/>
      <c r="H49" s="1589"/>
    </row>
    <row r="50" spans="2:8">
      <c r="B50" s="1589"/>
      <c r="C50" s="1589"/>
      <c r="D50" s="1589"/>
      <c r="E50" s="1589"/>
      <c r="F50" s="1589"/>
      <c r="G50" s="1589"/>
      <c r="H50" s="1589"/>
    </row>
    <row r="51" spans="1:8">
      <c r="A51" s="1589"/>
      <c r="B51" s="1589"/>
      <c r="C51" s="1589"/>
      <c r="D51" s="1589"/>
      <c r="E51" s="1589"/>
      <c r="F51" s="1589"/>
      <c r="G51" s="1589"/>
      <c r="H51" s="1589"/>
    </row>
    <row r="52" spans="1:8">
      <c r="A52" s="1589"/>
      <c r="B52" s="1589"/>
      <c r="C52" s="1589"/>
      <c r="D52" s="1589"/>
      <c r="E52" s="1589"/>
      <c r="F52" s="1589"/>
      <c r="G52" s="1589"/>
      <c r="H52" s="1589"/>
    </row>
    <row r="53" spans="1:8">
      <c r="A53" s="1589"/>
      <c r="B53" s="1589"/>
      <c r="C53" s="1589"/>
      <c r="D53" s="1589"/>
      <c r="E53" s="1589"/>
      <c r="F53" s="1589"/>
      <c r="G53" s="1589"/>
      <c r="H53" s="1589"/>
    </row>
    <row r="54" spans="1:8">
      <c r="A54" s="1589"/>
      <c r="B54" s="1589"/>
      <c r="C54" s="1589"/>
      <c r="D54" s="1589"/>
      <c r="E54" s="1589"/>
      <c r="F54" s="1589"/>
      <c r="G54" s="1589"/>
      <c r="H54" s="1589"/>
    </row>
    <row r="55" spans="8:8">
      <c r="H55" s="1403"/>
    </row>
  </sheetData>
  <sheetProtection algorithmName="SHA-512" hashValue="9JLSBJ3L+kU4oxPKthaNhlYr19ubXFJJnPmTusq8mc45Pa/53ojT+QQqkYqYgnHnKszPJjhsFwBtiI1Fpr2gaA==" saltValue="DprJW9tjoGUI1dRaV1/2lw==" spinCount="100000" sheet="1" selectLockedCells="1" selectUnlockedCells="1" objects="1" scenarios="1"/>
  <mergeCells count="6">
    <mergeCell ref="C14:G14"/>
    <mergeCell ref="C17:G17"/>
    <mergeCell ref="C26:F26"/>
    <mergeCell ref="C31:D31"/>
    <mergeCell ref="C35:D35"/>
    <mergeCell ref="B46:H46"/>
  </mergeCells>
  <pageMargins left="0.7" right="0.7" top="0.75" bottom="0.75" header="0.3" footer="0.3"/>
  <pageSetup paperSize="1" scale="88" orientation="portrait"/>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sheetPr>
  <dimension ref="A1:U520"/>
  <sheetViews>
    <sheetView showGridLines="0" showRowColHeaders="0" workbookViewId="0">
      <selection activeCell="A1" sqref="A1"/>
    </sheetView>
  </sheetViews>
  <sheetFormatPr defaultColWidth="9.14166666666667" defaultRowHeight="13.5"/>
  <cols>
    <col min="1" max="1" width="10" style="1532" customWidth="1"/>
    <col min="2" max="5" width="9.14166666666667" style="1532"/>
    <col min="6" max="6" width="18.425" style="1532" customWidth="1"/>
    <col min="7" max="7" width="3.425" style="1532" customWidth="1"/>
    <col min="8" max="13" width="9.14166666666667" style="1532"/>
    <col min="14" max="14" width="3.425" style="1532" customWidth="1"/>
    <col min="15" max="16384" width="9.14166666666667" style="1532"/>
  </cols>
  <sheetData>
    <row r="1" ht="25.5" customHeight="1" spans="1:20">
      <c r="A1" s="1533"/>
      <c r="B1" s="1534" t="s">
        <v>13</v>
      </c>
      <c r="C1" s="1534"/>
      <c r="D1" s="1534"/>
      <c r="E1" s="1534"/>
      <c r="F1" s="1534"/>
      <c r="G1" s="1534"/>
      <c r="H1" s="1534"/>
      <c r="I1" s="1534"/>
      <c r="J1" s="1534"/>
      <c r="K1" s="1534"/>
      <c r="L1" s="1534"/>
      <c r="M1" s="1534"/>
      <c r="N1" s="1534"/>
      <c r="O1" s="1534"/>
      <c r="P1" s="1534"/>
      <c r="Q1" s="1534"/>
      <c r="R1" s="1534"/>
      <c r="S1" s="1534"/>
      <c r="T1" s="1534"/>
    </row>
    <row r="2" ht="14.25" spans="1:20">
      <c r="A2" s="1535"/>
      <c r="B2" s="1536"/>
      <c r="C2" s="1536"/>
      <c r="D2" s="1536"/>
      <c r="E2" s="1536"/>
      <c r="F2" s="1536"/>
      <c r="G2" s="1536"/>
      <c r="H2" s="1536"/>
      <c r="I2" s="1536"/>
      <c r="J2" s="1536"/>
      <c r="K2" s="1536"/>
      <c r="L2" s="1536"/>
      <c r="M2" s="1536"/>
      <c r="N2" s="1536"/>
      <c r="O2" s="1536"/>
      <c r="P2" s="1536"/>
      <c r="Q2" s="1536"/>
      <c r="R2" s="1536"/>
      <c r="S2" s="1536"/>
      <c r="T2" s="1536"/>
    </row>
    <row r="3" s="1530" customFormat="1" ht="14.25" spans="1:21">
      <c r="A3" s="1537" t="s">
        <v>14</v>
      </c>
      <c r="B3" s="1537"/>
      <c r="C3" s="1537"/>
      <c r="D3" s="1537"/>
      <c r="E3" s="1537"/>
      <c r="F3" s="1537"/>
      <c r="H3" s="1538" t="s">
        <v>15</v>
      </c>
      <c r="I3" s="1538"/>
      <c r="J3" s="1538"/>
      <c r="K3" s="1538"/>
      <c r="L3" s="1538"/>
      <c r="M3" s="1538"/>
      <c r="O3" s="1553" t="s">
        <v>16</v>
      </c>
      <c r="P3" s="1553"/>
      <c r="Q3" s="1553"/>
      <c r="R3" s="1553"/>
      <c r="S3" s="1553"/>
      <c r="T3" s="1553"/>
      <c r="U3" s="1530" t="s">
        <v>17</v>
      </c>
    </row>
    <row r="4" ht="55.5" customHeight="1"/>
    <row r="5" ht="20.1" customHeight="1" spans="2:2">
      <c r="B5" s="1539"/>
    </row>
    <row r="6" ht="14.25" spans="15:20">
      <c r="O6" s="1553" t="s">
        <v>18</v>
      </c>
      <c r="P6" s="1553"/>
      <c r="Q6" s="1553"/>
      <c r="R6" s="1553"/>
      <c r="S6" s="1553"/>
      <c r="T6" s="1553"/>
    </row>
    <row r="7" ht="19.5" customHeight="1" spans="8:13">
      <c r="H7" s="1538" t="s">
        <v>19</v>
      </c>
      <c r="I7" s="1538"/>
      <c r="J7" s="1538"/>
      <c r="K7" s="1538"/>
      <c r="L7" s="1538"/>
      <c r="M7" s="1538"/>
    </row>
    <row r="8" ht="28.5" customHeight="1"/>
    <row r="9" ht="18" customHeight="1"/>
    <row r="10" ht="14.25" spans="1:20">
      <c r="A10" s="1537" t="s">
        <v>20</v>
      </c>
      <c r="B10" s="1537"/>
      <c r="C10" s="1537"/>
      <c r="D10" s="1537"/>
      <c r="E10" s="1537"/>
      <c r="F10" s="1537"/>
      <c r="O10" s="1553" t="s">
        <v>21</v>
      </c>
      <c r="P10" s="1553"/>
      <c r="Q10" s="1553"/>
      <c r="R10" s="1553"/>
      <c r="S10" s="1553"/>
      <c r="T10" s="1553"/>
    </row>
    <row r="11" ht="18" customHeight="1" spans="3:6">
      <c r="C11" s="1540" t="s">
        <v>22</v>
      </c>
      <c r="D11" s="1540"/>
      <c r="E11" s="1540"/>
      <c r="F11" s="1540"/>
    </row>
    <row r="12" ht="19.5" customHeight="1" spans="3:13">
      <c r="C12" s="1540"/>
      <c r="D12" s="1540"/>
      <c r="E12" s="1540"/>
      <c r="F12" s="1540"/>
      <c r="H12" s="1538" t="s">
        <v>23</v>
      </c>
      <c r="I12" s="1538"/>
      <c r="J12" s="1538"/>
      <c r="K12" s="1538"/>
      <c r="L12" s="1538"/>
      <c r="M12" s="1538"/>
    </row>
    <row r="13" spans="1:6">
      <c r="A13" s="1541"/>
      <c r="B13" s="1541"/>
      <c r="C13" s="1541"/>
      <c r="D13" s="1541"/>
      <c r="E13" s="1541"/>
      <c r="F13" s="1541"/>
    </row>
    <row r="14" ht="14.25" spans="1:20">
      <c r="A14" s="1542" t="s">
        <v>24</v>
      </c>
      <c r="B14" s="1543"/>
      <c r="C14" s="1543"/>
      <c r="D14" s="1543"/>
      <c r="E14" s="1543"/>
      <c r="F14" s="1544"/>
      <c r="O14" s="1553" t="s">
        <v>25</v>
      </c>
      <c r="P14" s="1553"/>
      <c r="Q14" s="1553"/>
      <c r="R14" s="1553"/>
      <c r="S14" s="1553"/>
      <c r="T14" s="1553"/>
    </row>
    <row r="15" ht="39.95" customHeight="1" spans="3:6">
      <c r="C15" s="1545" t="s">
        <v>26</v>
      </c>
      <c r="D15" s="1546" t="s">
        <v>27</v>
      </c>
      <c r="E15" s="1546"/>
      <c r="F15" s="1546"/>
    </row>
    <row r="16" ht="18" customHeight="1" spans="3:20">
      <c r="C16" s="1547"/>
      <c r="D16" s="1546"/>
      <c r="E16" s="1546"/>
      <c r="F16" s="1546"/>
      <c r="O16" s="1553" t="s">
        <v>28</v>
      </c>
      <c r="P16" s="1553"/>
      <c r="Q16" s="1553"/>
      <c r="R16" s="1553"/>
      <c r="S16" s="1553"/>
      <c r="T16" s="1553"/>
    </row>
    <row r="17" ht="14.25" spans="1:6">
      <c r="A17" s="1548" t="s">
        <v>29</v>
      </c>
      <c r="B17" s="1548"/>
      <c r="C17" s="1548"/>
      <c r="D17" s="1548"/>
      <c r="E17" s="1548"/>
      <c r="F17" s="1548"/>
    </row>
    <row r="19" ht="45" customHeight="1"/>
    <row r="21" ht="14.25" spans="15:20">
      <c r="O21" s="1554"/>
      <c r="P21" s="1554"/>
      <c r="Q21" s="1554"/>
      <c r="R21" s="1554"/>
      <c r="S21" s="1554"/>
      <c r="T21" s="1554"/>
    </row>
    <row r="22" ht="45" customHeight="1"/>
    <row r="25" ht="45" customHeight="1"/>
    <row r="35" ht="14.25" spans="1:6">
      <c r="A35" s="1549" t="s">
        <v>14</v>
      </c>
      <c r="B35" s="1549"/>
      <c r="C35" s="1549"/>
      <c r="D35" s="1549"/>
      <c r="E35" s="1549"/>
      <c r="F35" s="1549"/>
    </row>
    <row r="36" spans="1:6">
      <c r="A36" s="1599" t="s">
        <v>30</v>
      </c>
      <c r="B36" s="1551" t="s">
        <v>31</v>
      </c>
      <c r="C36" s="1552"/>
      <c r="D36" s="1552"/>
      <c r="E36" s="1552"/>
      <c r="F36" s="1552"/>
    </row>
    <row r="53" spans="1:6">
      <c r="A53" s="1599" t="s">
        <v>32</v>
      </c>
      <c r="B53" s="1551" t="s">
        <v>33</v>
      </c>
      <c r="C53" s="1552"/>
      <c r="D53" s="1552"/>
      <c r="E53" s="1552"/>
      <c r="F53" s="1552"/>
    </row>
    <row r="72" spans="1:6">
      <c r="A72" s="1599" t="s">
        <v>34</v>
      </c>
      <c r="B72" s="1551" t="s">
        <v>35</v>
      </c>
      <c r="C72" s="1552"/>
      <c r="D72" s="1552"/>
      <c r="E72" s="1552"/>
      <c r="F72" s="1552"/>
    </row>
    <row r="129" spans="1:6">
      <c r="A129" s="1599" t="s">
        <v>36</v>
      </c>
      <c r="B129" s="1551" t="s">
        <v>37</v>
      </c>
      <c r="C129" s="1552"/>
      <c r="D129" s="1552"/>
      <c r="E129" s="1552"/>
      <c r="F129" s="1552"/>
    </row>
    <row r="130" s="1531" customFormat="1" spans="1:6">
      <c r="A130" s="1555"/>
      <c r="B130" s="1556"/>
      <c r="C130" s="1557"/>
      <c r="D130" s="1557"/>
      <c r="E130" s="1557"/>
      <c r="F130" s="1557"/>
    </row>
    <row r="131" s="1531" customFormat="1" spans="1:6">
      <c r="A131" s="1555"/>
      <c r="B131" s="1556"/>
      <c r="C131" s="1557"/>
      <c r="D131" s="1557"/>
      <c r="E131" s="1557"/>
      <c r="F131" s="1557"/>
    </row>
    <row r="132" s="1531" customFormat="1" spans="1:6">
      <c r="A132" s="1555"/>
      <c r="B132" s="1556"/>
      <c r="C132" s="1557"/>
      <c r="D132" s="1557"/>
      <c r="E132" s="1557"/>
      <c r="F132" s="1557"/>
    </row>
    <row r="133" spans="1:6">
      <c r="A133" s="1599" t="s">
        <v>38</v>
      </c>
      <c r="B133" s="1551" t="s">
        <v>39</v>
      </c>
      <c r="C133" s="1552"/>
      <c r="D133" s="1552"/>
      <c r="E133" s="1552"/>
      <c r="F133" s="1552"/>
    </row>
    <row r="134" s="1531" customFormat="1" spans="1:6">
      <c r="A134" s="1555"/>
      <c r="B134" s="1556"/>
      <c r="C134" s="1557"/>
      <c r="D134" s="1557"/>
      <c r="E134" s="1557"/>
      <c r="F134" s="1557"/>
    </row>
    <row r="135" s="1531" customFormat="1" spans="1:6">
      <c r="A135" s="1555"/>
      <c r="B135" s="1556"/>
      <c r="C135" s="1557"/>
      <c r="D135" s="1557"/>
      <c r="E135" s="1557"/>
      <c r="F135" s="1557"/>
    </row>
    <row r="136" s="1531" customFormat="1" spans="1:6">
      <c r="A136" s="1555"/>
      <c r="B136" s="1556"/>
      <c r="C136" s="1557"/>
      <c r="D136" s="1557"/>
      <c r="E136" s="1557"/>
      <c r="F136" s="1557"/>
    </row>
    <row r="137" spans="1:6">
      <c r="A137" s="1599" t="s">
        <v>40</v>
      </c>
      <c r="B137" s="1551" t="s">
        <v>41</v>
      </c>
      <c r="C137" s="1552"/>
      <c r="D137" s="1552"/>
      <c r="E137" s="1552"/>
      <c r="F137" s="1552"/>
    </row>
    <row r="138" s="1531" customFormat="1" spans="1:6">
      <c r="A138" s="1555"/>
      <c r="B138" s="1556"/>
      <c r="C138" s="1557"/>
      <c r="D138" s="1557"/>
      <c r="E138" s="1557"/>
      <c r="F138" s="1557"/>
    </row>
    <row r="139" s="1531" customFormat="1" spans="1:6">
      <c r="A139" s="1555"/>
      <c r="B139" s="1556"/>
      <c r="C139" s="1557"/>
      <c r="D139" s="1557"/>
      <c r="E139" s="1557"/>
      <c r="F139" s="1557"/>
    </row>
    <row r="140" s="1531" customFormat="1" spans="1:6">
      <c r="A140" s="1555"/>
      <c r="B140" s="1556"/>
      <c r="C140" s="1557"/>
      <c r="D140" s="1557"/>
      <c r="E140" s="1557"/>
      <c r="F140" s="1557"/>
    </row>
    <row r="141" spans="1:6">
      <c r="A141" s="1599" t="s">
        <v>42</v>
      </c>
      <c r="B141" s="1551" t="s">
        <v>43</v>
      </c>
      <c r="C141" s="1552"/>
      <c r="D141" s="1552"/>
      <c r="E141" s="1552"/>
      <c r="F141" s="1552"/>
    </row>
    <row r="142" s="1531" customFormat="1" spans="1:6">
      <c r="A142" s="1555"/>
      <c r="B142" s="1556"/>
      <c r="C142" s="1557"/>
      <c r="D142" s="1557"/>
      <c r="E142" s="1557"/>
      <c r="F142" s="1557"/>
    </row>
    <row r="143" s="1531" customFormat="1" spans="1:6">
      <c r="A143" s="1555"/>
      <c r="B143" s="1556"/>
      <c r="C143" s="1557"/>
      <c r="D143" s="1557"/>
      <c r="E143" s="1557"/>
      <c r="F143" s="1557"/>
    </row>
    <row r="144" s="1531" customFormat="1" spans="1:6">
      <c r="A144" s="1555"/>
      <c r="B144" s="1556"/>
      <c r="C144" s="1557"/>
      <c r="D144" s="1557"/>
      <c r="E144" s="1557"/>
      <c r="F144" s="1557"/>
    </row>
    <row r="145" spans="1:6">
      <c r="A145" s="1599" t="s">
        <v>44</v>
      </c>
      <c r="B145" s="1551" t="s">
        <v>45</v>
      </c>
      <c r="C145" s="1552"/>
      <c r="D145" s="1552"/>
      <c r="E145" s="1552"/>
      <c r="F145" s="1552"/>
    </row>
    <row r="146" s="1531" customFormat="1" spans="1:6">
      <c r="A146" s="1555"/>
      <c r="B146" s="1556"/>
      <c r="C146" s="1557"/>
      <c r="D146" s="1557"/>
      <c r="E146" s="1557"/>
      <c r="F146" s="1557"/>
    </row>
    <row r="147" s="1531" customFormat="1" spans="1:6">
      <c r="A147" s="1555"/>
      <c r="B147" s="1556"/>
      <c r="C147" s="1557"/>
      <c r="D147" s="1557"/>
      <c r="E147" s="1557"/>
      <c r="F147" s="1557"/>
    </row>
    <row r="148" s="1531" customFormat="1" spans="1:6">
      <c r="A148" s="1555"/>
      <c r="B148" s="1556"/>
      <c r="C148" s="1557"/>
      <c r="D148" s="1557"/>
      <c r="E148" s="1557"/>
      <c r="F148" s="1557"/>
    </row>
    <row r="149" spans="1:6">
      <c r="A149" s="1599" t="s">
        <v>46</v>
      </c>
      <c r="B149" s="1551" t="s">
        <v>47</v>
      </c>
      <c r="C149" s="1552"/>
      <c r="D149" s="1552"/>
      <c r="E149" s="1552"/>
      <c r="F149" s="1552"/>
    </row>
    <row r="150" s="1531" customFormat="1" spans="1:6">
      <c r="A150" s="1555"/>
      <c r="B150" s="1556"/>
      <c r="C150" s="1557"/>
      <c r="D150" s="1557"/>
      <c r="E150" s="1557"/>
      <c r="F150" s="1557"/>
    </row>
    <row r="151" s="1531" customFormat="1" spans="1:6">
      <c r="A151" s="1555"/>
      <c r="B151" s="1556"/>
      <c r="C151" s="1557"/>
      <c r="D151" s="1557"/>
      <c r="E151" s="1557"/>
      <c r="F151" s="1557"/>
    </row>
    <row r="152" s="1531" customFormat="1" spans="1:6">
      <c r="A152" s="1555"/>
      <c r="B152" s="1556"/>
      <c r="C152" s="1557"/>
      <c r="D152" s="1557"/>
      <c r="E152" s="1557"/>
      <c r="F152" s="1557"/>
    </row>
    <row r="153" spans="1:6">
      <c r="A153" s="1599" t="s">
        <v>48</v>
      </c>
      <c r="B153" s="1551" t="s">
        <v>49</v>
      </c>
      <c r="C153" s="1552"/>
      <c r="D153" s="1552"/>
      <c r="E153" s="1552"/>
      <c r="F153" s="1552"/>
    </row>
    <row r="154" s="1531" customFormat="1" spans="1:6">
      <c r="A154" s="1555"/>
      <c r="B154" s="1556"/>
      <c r="C154" s="1557"/>
      <c r="D154" s="1557"/>
      <c r="E154" s="1557"/>
      <c r="F154" s="1557"/>
    </row>
    <row r="155" s="1531" customFormat="1" spans="1:6">
      <c r="A155" s="1555"/>
      <c r="B155" s="1556"/>
      <c r="C155" s="1557"/>
      <c r="D155" s="1557"/>
      <c r="E155" s="1557"/>
      <c r="F155" s="1557"/>
    </row>
    <row r="156" s="1531" customFormat="1" spans="1:6">
      <c r="A156" s="1555"/>
      <c r="B156" s="1556"/>
      <c r="C156" s="1557"/>
      <c r="D156" s="1557"/>
      <c r="E156" s="1557"/>
      <c r="F156" s="1557"/>
    </row>
    <row r="157" spans="1:6">
      <c r="A157" s="1599" t="s">
        <v>50</v>
      </c>
      <c r="B157" s="1551" t="s">
        <v>51</v>
      </c>
      <c r="C157" s="1552"/>
      <c r="D157" s="1552"/>
      <c r="E157" s="1552"/>
      <c r="F157" s="1552"/>
    </row>
    <row r="158" s="1531" customFormat="1" spans="1:6">
      <c r="A158" s="1555"/>
      <c r="B158" s="1556"/>
      <c r="C158" s="1557"/>
      <c r="D158" s="1557"/>
      <c r="E158" s="1557"/>
      <c r="F158" s="1557"/>
    </row>
    <row r="159" s="1531" customFormat="1" spans="1:6">
      <c r="A159" s="1555"/>
      <c r="B159" s="1556"/>
      <c r="C159" s="1557"/>
      <c r="D159" s="1557"/>
      <c r="E159" s="1557"/>
      <c r="F159" s="1557"/>
    </row>
    <row r="160" s="1531" customFormat="1" spans="1:6">
      <c r="A160" s="1555"/>
      <c r="B160" s="1556"/>
      <c r="C160" s="1557"/>
      <c r="D160" s="1557"/>
      <c r="E160" s="1557"/>
      <c r="F160" s="1557"/>
    </row>
    <row r="161" s="1531" customFormat="1" spans="1:6">
      <c r="A161" s="1555"/>
      <c r="B161" s="1556"/>
      <c r="C161" s="1557"/>
      <c r="D161" s="1557"/>
      <c r="E161" s="1557"/>
      <c r="F161" s="1557"/>
    </row>
    <row r="179" ht="14.25" spans="1:6">
      <c r="A179" s="1548" t="s">
        <v>29</v>
      </c>
      <c r="B179" s="1548"/>
      <c r="C179" s="1548"/>
      <c r="D179" s="1548"/>
      <c r="E179" s="1548"/>
      <c r="F179" s="1548"/>
    </row>
    <row r="180" spans="1:6">
      <c r="A180" s="1600" t="s">
        <v>30</v>
      </c>
      <c r="B180" s="1559" t="s">
        <v>52</v>
      </c>
      <c r="C180" s="1560"/>
      <c r="D180" s="1560"/>
      <c r="E180" s="1560"/>
      <c r="F180" s="1560"/>
    </row>
    <row r="189" spans="1:6">
      <c r="A189" s="1600" t="s">
        <v>32</v>
      </c>
      <c r="B189" s="1559" t="s">
        <v>53</v>
      </c>
      <c r="C189" s="1560"/>
      <c r="D189" s="1560"/>
      <c r="E189" s="1560"/>
      <c r="F189" s="1560"/>
    </row>
    <row r="237" ht="14.25" spans="1:6">
      <c r="A237" s="1538" t="s">
        <v>15</v>
      </c>
      <c r="B237" s="1538"/>
      <c r="C237" s="1538"/>
      <c r="D237" s="1538"/>
      <c r="E237" s="1538"/>
      <c r="F237" s="1538"/>
    </row>
    <row r="242" ht="15.75" customHeight="1" spans="1:6">
      <c r="A242" s="1601" t="s">
        <v>30</v>
      </c>
      <c r="B242" s="1602" t="s">
        <v>54</v>
      </c>
      <c r="C242" s="1562"/>
      <c r="D242" s="1562"/>
      <c r="E242" s="1562"/>
      <c r="F242" s="1562"/>
    </row>
    <row r="245" ht="15.75" customHeight="1" spans="1:6">
      <c r="A245" s="1601" t="s">
        <v>32</v>
      </c>
      <c r="B245" s="1602" t="s">
        <v>55</v>
      </c>
      <c r="C245" s="1562"/>
      <c r="D245" s="1562"/>
      <c r="E245" s="1562"/>
      <c r="F245" s="1562"/>
    </row>
    <row r="246" ht="14.25" spans="2:2">
      <c r="B246" s="1563"/>
    </row>
    <row r="248" ht="15.75" customHeight="1" spans="1:6">
      <c r="A248" s="1601" t="s">
        <v>34</v>
      </c>
      <c r="B248" s="1602" t="s">
        <v>56</v>
      </c>
      <c r="C248" s="1562"/>
      <c r="D248" s="1562"/>
      <c r="E248" s="1562"/>
      <c r="F248" s="1562"/>
    </row>
    <row r="251" ht="15.75" customHeight="1" spans="1:6">
      <c r="A251" s="1601" t="s">
        <v>36</v>
      </c>
      <c r="B251" s="1602" t="s">
        <v>57</v>
      </c>
      <c r="C251" s="1562"/>
      <c r="D251" s="1562"/>
      <c r="E251" s="1562"/>
      <c r="F251" s="1562"/>
    </row>
    <row r="255" ht="15.75" customHeight="1" spans="1:6">
      <c r="A255" s="1601" t="s">
        <v>38</v>
      </c>
      <c r="B255" s="1602" t="s">
        <v>58</v>
      </c>
      <c r="C255" s="1562"/>
      <c r="D255" s="1562"/>
      <c r="E255" s="1562"/>
      <c r="F255" s="1562"/>
    </row>
    <row r="274" ht="14.25" spans="1:6">
      <c r="A274" s="1538" t="s">
        <v>19</v>
      </c>
      <c r="B274" s="1538"/>
      <c r="C274" s="1538"/>
      <c r="D274" s="1538"/>
      <c r="E274" s="1538"/>
      <c r="F274" s="1538"/>
    </row>
    <row r="275" s="1531" customFormat="1" ht="14.25" spans="1:6">
      <c r="A275" s="1564"/>
      <c r="B275" s="1564"/>
      <c r="C275" s="1564"/>
      <c r="D275" s="1564"/>
      <c r="E275" s="1564"/>
      <c r="F275" s="1564"/>
    </row>
    <row r="276" s="1531" customFormat="1" ht="14.25" spans="1:6">
      <c r="A276" s="1564"/>
      <c r="B276" s="1564"/>
      <c r="C276" s="1564"/>
      <c r="D276" s="1564"/>
      <c r="E276" s="1564"/>
      <c r="F276" s="1564"/>
    </row>
    <row r="277" s="1531" customFormat="1" ht="14.25" spans="1:6">
      <c r="A277" s="1564"/>
      <c r="B277" s="1564"/>
      <c r="C277" s="1564"/>
      <c r="D277" s="1564"/>
      <c r="E277" s="1564"/>
      <c r="F277" s="1564"/>
    </row>
    <row r="278" s="1531" customFormat="1" spans="1:6">
      <c r="A278" s="1601" t="s">
        <v>30</v>
      </c>
      <c r="B278" s="1602" t="s">
        <v>59</v>
      </c>
      <c r="C278" s="1562"/>
      <c r="D278" s="1562"/>
      <c r="E278" s="1562"/>
      <c r="F278" s="1562"/>
    </row>
    <row r="279" s="1531" customFormat="1" ht="14.25" spans="1:6">
      <c r="A279" s="1564"/>
      <c r="B279" s="1564"/>
      <c r="C279" s="1564"/>
      <c r="D279" s="1564"/>
      <c r="E279" s="1564"/>
      <c r="F279" s="1564"/>
    </row>
    <row r="280" s="1531" customFormat="1" ht="14.25" spans="1:6">
      <c r="A280" s="1564"/>
      <c r="B280" s="1564"/>
      <c r="C280" s="1564"/>
      <c r="D280" s="1564"/>
      <c r="E280" s="1564"/>
      <c r="F280" s="1564"/>
    </row>
    <row r="281" s="1531" customFormat="1" ht="14.25" spans="1:6">
      <c r="A281" s="1564"/>
      <c r="B281" s="1564"/>
      <c r="C281" s="1564"/>
      <c r="D281" s="1564"/>
      <c r="E281" s="1564"/>
      <c r="F281" s="1564"/>
    </row>
    <row r="282" s="1531" customFormat="1" ht="14.25" spans="1:6">
      <c r="A282" s="1564"/>
      <c r="B282" s="1564"/>
      <c r="C282" s="1564"/>
      <c r="D282" s="1564"/>
      <c r="E282" s="1564"/>
      <c r="F282" s="1564"/>
    </row>
    <row r="283" s="1531" customFormat="1" ht="14.25" spans="1:6">
      <c r="A283" s="1564"/>
      <c r="B283" s="1564"/>
      <c r="C283" s="1564"/>
      <c r="D283" s="1564"/>
      <c r="E283" s="1564"/>
      <c r="F283" s="1564"/>
    </row>
    <row r="284" s="1531" customFormat="1" ht="14.25" spans="1:6">
      <c r="A284" s="1564"/>
      <c r="B284" s="1564"/>
      <c r="C284" s="1564"/>
      <c r="D284" s="1564"/>
      <c r="E284" s="1564"/>
      <c r="F284" s="1564"/>
    </row>
    <row r="285" s="1531" customFormat="1" spans="1:6">
      <c r="A285" s="1601" t="s">
        <v>32</v>
      </c>
      <c r="B285" s="1602" t="s">
        <v>60</v>
      </c>
      <c r="C285" s="1562"/>
      <c r="D285" s="1562"/>
      <c r="E285" s="1562"/>
      <c r="F285" s="1562"/>
    </row>
    <row r="286" s="1531" customFormat="1" ht="14.25" spans="1:6">
      <c r="A286" s="1564"/>
      <c r="B286" s="1564"/>
      <c r="C286" s="1564"/>
      <c r="D286" s="1564"/>
      <c r="E286" s="1564"/>
      <c r="F286" s="1564"/>
    </row>
    <row r="287" s="1531" customFormat="1" ht="14.25" spans="1:6">
      <c r="A287" s="1564"/>
      <c r="B287" s="1564"/>
      <c r="C287" s="1564"/>
      <c r="D287" s="1564"/>
      <c r="E287" s="1564"/>
      <c r="F287" s="1564"/>
    </row>
    <row r="288" s="1531" customFormat="1" ht="14.25" spans="1:6">
      <c r="A288" s="1564"/>
      <c r="B288" s="1564"/>
      <c r="C288" s="1564"/>
      <c r="D288" s="1564"/>
      <c r="E288" s="1564"/>
      <c r="F288" s="1564"/>
    </row>
    <row r="289" s="1531" customFormat="1" ht="14.25" spans="1:6">
      <c r="A289" s="1564"/>
      <c r="B289" s="1564"/>
      <c r="C289" s="1564"/>
      <c r="D289" s="1564"/>
      <c r="E289" s="1564"/>
      <c r="F289" s="1564"/>
    </row>
    <row r="290" s="1531" customFormat="1" ht="14.25" spans="1:6">
      <c r="A290" s="1564"/>
      <c r="B290" s="1564"/>
      <c r="C290" s="1564"/>
      <c r="D290" s="1564"/>
      <c r="E290" s="1564"/>
      <c r="F290" s="1564"/>
    </row>
    <row r="291" s="1531" customFormat="1" ht="14.25" spans="1:6">
      <c r="A291" s="1564"/>
      <c r="B291" s="1564"/>
      <c r="C291" s="1564"/>
      <c r="D291" s="1564"/>
      <c r="E291" s="1564"/>
      <c r="F291" s="1564"/>
    </row>
    <row r="292" s="1531" customFormat="1" ht="14.25" spans="1:6">
      <c r="A292" s="1564"/>
      <c r="B292" s="1564"/>
      <c r="C292" s="1564"/>
      <c r="D292" s="1564"/>
      <c r="E292" s="1564"/>
      <c r="F292" s="1564"/>
    </row>
    <row r="293" s="1531" customFormat="1" ht="14.25" spans="1:6">
      <c r="A293" s="1564"/>
      <c r="B293" s="1564"/>
      <c r="C293" s="1564"/>
      <c r="D293" s="1564"/>
      <c r="E293" s="1564"/>
      <c r="F293" s="1564"/>
    </row>
    <row r="294" s="1531" customFormat="1" ht="14.25" spans="1:6">
      <c r="A294" s="1564"/>
      <c r="B294" s="1564"/>
      <c r="C294" s="1564"/>
      <c r="D294" s="1564"/>
      <c r="E294" s="1564"/>
      <c r="F294" s="1564"/>
    </row>
    <row r="295" s="1531" customFormat="1" spans="1:6">
      <c r="A295" s="1601" t="s">
        <v>34</v>
      </c>
      <c r="B295" s="1602" t="s">
        <v>61</v>
      </c>
      <c r="C295" s="1562"/>
      <c r="D295" s="1562"/>
      <c r="E295" s="1562"/>
      <c r="F295" s="1562"/>
    </row>
    <row r="296" s="1531" customFormat="1" ht="14.25" spans="1:6">
      <c r="A296" s="1564"/>
      <c r="B296" s="1564"/>
      <c r="C296" s="1564"/>
      <c r="D296" s="1564"/>
      <c r="E296" s="1564"/>
      <c r="F296" s="1564"/>
    </row>
    <row r="297" s="1531" customFormat="1" ht="14.25" spans="1:6">
      <c r="A297" s="1564"/>
      <c r="B297" s="1564"/>
      <c r="C297" s="1564"/>
      <c r="D297" s="1564"/>
      <c r="E297" s="1564"/>
      <c r="F297" s="1564"/>
    </row>
    <row r="298" s="1531" customFormat="1" ht="14.25" spans="1:6">
      <c r="A298" s="1564"/>
      <c r="B298" s="1564"/>
      <c r="C298" s="1564"/>
      <c r="D298" s="1564"/>
      <c r="E298" s="1564"/>
      <c r="F298" s="1564"/>
    </row>
    <row r="299" s="1531" customFormat="1" ht="14.25" spans="1:6">
      <c r="A299" s="1564"/>
      <c r="B299" s="1564"/>
      <c r="C299" s="1564"/>
      <c r="D299" s="1564"/>
      <c r="E299" s="1564"/>
      <c r="F299" s="1564"/>
    </row>
    <row r="300" s="1531" customFormat="1" ht="14.25" spans="1:6">
      <c r="A300" s="1564"/>
      <c r="B300" s="1564"/>
      <c r="C300" s="1564"/>
      <c r="D300" s="1564"/>
      <c r="E300" s="1564"/>
      <c r="F300" s="1564"/>
    </row>
    <row r="301" s="1531" customFormat="1" ht="14.25" spans="1:12">
      <c r="A301" s="1564"/>
      <c r="B301" s="1564"/>
      <c r="C301" s="1564"/>
      <c r="D301" s="1564"/>
      <c r="E301" s="1564"/>
      <c r="F301" s="1564"/>
      <c r="L301" s="1565"/>
    </row>
    <row r="302" s="1531" customFormat="1" ht="14.25" spans="1:6">
      <c r="A302" s="1564"/>
      <c r="B302" s="1564"/>
      <c r="C302" s="1564"/>
      <c r="D302" s="1564"/>
      <c r="E302" s="1564"/>
      <c r="F302" s="1564"/>
    </row>
    <row r="303" s="1531" customFormat="1" spans="1:6">
      <c r="A303" s="1601" t="s">
        <v>36</v>
      </c>
      <c r="B303" s="1602" t="s">
        <v>62</v>
      </c>
      <c r="C303" s="1562"/>
      <c r="D303" s="1562"/>
      <c r="E303" s="1562"/>
      <c r="F303" s="1562"/>
    </row>
    <row r="304" s="1531" customFormat="1" ht="14.25" spans="1:6">
      <c r="A304" s="1564"/>
      <c r="B304" s="1564"/>
      <c r="C304" s="1564"/>
      <c r="D304" s="1564"/>
      <c r="E304" s="1564"/>
      <c r="F304" s="1564"/>
    </row>
    <row r="305" s="1531" customFormat="1" ht="14.25" spans="1:6">
      <c r="A305" s="1564"/>
      <c r="B305" s="1564"/>
      <c r="C305" s="1564"/>
      <c r="D305" s="1564"/>
      <c r="E305" s="1564"/>
      <c r="F305" s="1564"/>
    </row>
    <row r="306" s="1531" customFormat="1" ht="14.25" spans="1:6">
      <c r="A306" s="1564"/>
      <c r="B306" s="1564"/>
      <c r="C306" s="1564"/>
      <c r="D306" s="1564"/>
      <c r="E306" s="1564"/>
      <c r="F306" s="1564"/>
    </row>
    <row r="307" s="1531" customFormat="1" ht="14.25" spans="1:6">
      <c r="A307" s="1564"/>
      <c r="B307" s="1564"/>
      <c r="C307" s="1564"/>
      <c r="D307" s="1564"/>
      <c r="E307" s="1564"/>
      <c r="F307" s="1564"/>
    </row>
    <row r="308" s="1531" customFormat="1" ht="14.25" spans="1:6">
      <c r="A308" s="1564"/>
      <c r="B308" s="1564"/>
      <c r="C308" s="1564"/>
      <c r="D308" s="1564"/>
      <c r="E308" s="1564"/>
      <c r="F308" s="1564"/>
    </row>
    <row r="309" s="1531" customFormat="1" ht="14.25" spans="1:6">
      <c r="A309" s="1564"/>
      <c r="B309" s="1564"/>
      <c r="C309" s="1564"/>
      <c r="D309" s="1564"/>
      <c r="E309" s="1564"/>
      <c r="F309" s="1564"/>
    </row>
    <row r="310" s="1531" customFormat="1" ht="14.25" spans="1:6">
      <c r="A310" s="1564"/>
      <c r="B310" s="1564"/>
      <c r="C310" s="1564"/>
      <c r="D310" s="1564"/>
      <c r="E310" s="1564"/>
      <c r="F310" s="1564"/>
    </row>
    <row r="311" s="1531" customFormat="1" ht="14.25" spans="1:6">
      <c r="A311" s="1564"/>
      <c r="B311" s="1564"/>
      <c r="C311" s="1564"/>
      <c r="D311" s="1564"/>
      <c r="E311" s="1564"/>
      <c r="F311" s="1564"/>
    </row>
    <row r="312" s="1531" customFormat="1" ht="14.25" spans="1:6">
      <c r="A312" s="1564"/>
      <c r="B312" s="1564"/>
      <c r="C312" s="1564"/>
      <c r="D312" s="1564"/>
      <c r="E312" s="1564"/>
      <c r="F312" s="1564"/>
    </row>
    <row r="313" s="1531" customFormat="1" ht="14.25" spans="1:6">
      <c r="A313" s="1564"/>
      <c r="B313" s="1564"/>
      <c r="C313" s="1564"/>
      <c r="D313" s="1564"/>
      <c r="E313" s="1564"/>
      <c r="F313" s="1564"/>
    </row>
    <row r="314" s="1531" customFormat="1" ht="14.25" spans="1:6">
      <c r="A314" s="1564"/>
      <c r="B314" s="1564"/>
      <c r="C314" s="1564"/>
      <c r="D314" s="1564"/>
      <c r="E314" s="1564"/>
      <c r="F314" s="1564"/>
    </row>
    <row r="315" s="1531" customFormat="1" ht="14.25" spans="1:6">
      <c r="A315" s="1564"/>
      <c r="B315" s="1564"/>
      <c r="C315" s="1564"/>
      <c r="D315" s="1564"/>
      <c r="E315" s="1564"/>
      <c r="F315" s="1564"/>
    </row>
    <row r="316" s="1531" customFormat="1" ht="14.25" spans="1:6">
      <c r="A316" s="1564"/>
      <c r="B316" s="1564"/>
      <c r="C316" s="1564"/>
      <c r="D316" s="1564"/>
      <c r="E316" s="1564"/>
      <c r="F316" s="1564"/>
    </row>
    <row r="317" s="1531" customFormat="1" ht="14.25" spans="1:6">
      <c r="A317" s="1564"/>
      <c r="B317" s="1564"/>
      <c r="C317" s="1564"/>
      <c r="D317" s="1564"/>
      <c r="E317" s="1564"/>
      <c r="F317" s="1564"/>
    </row>
    <row r="318" s="1531" customFormat="1" ht="14.25" spans="1:6">
      <c r="A318" s="1564"/>
      <c r="B318" s="1564"/>
      <c r="C318" s="1564"/>
      <c r="D318" s="1564"/>
      <c r="E318" s="1564"/>
      <c r="F318" s="1564"/>
    </row>
    <row r="319" s="1531" customFormat="1" ht="14.25" spans="1:6">
      <c r="A319" s="1564"/>
      <c r="B319" s="1564"/>
      <c r="C319" s="1564"/>
      <c r="D319" s="1564"/>
      <c r="E319" s="1564"/>
      <c r="F319" s="1564"/>
    </row>
    <row r="320" s="1531" customFormat="1" ht="14.25" spans="1:6">
      <c r="A320" s="1564"/>
      <c r="B320" s="1564"/>
      <c r="C320" s="1564"/>
      <c r="D320" s="1564"/>
      <c r="E320" s="1564"/>
      <c r="F320" s="1564"/>
    </row>
    <row r="321" s="1531" customFormat="1" ht="14.25" spans="1:6">
      <c r="A321" s="1564"/>
      <c r="B321" s="1564"/>
      <c r="C321" s="1564"/>
      <c r="D321" s="1564"/>
      <c r="E321" s="1564"/>
      <c r="F321" s="1564"/>
    </row>
    <row r="322" s="1531" customFormat="1" ht="14.25" spans="1:6">
      <c r="A322" s="1564"/>
      <c r="B322" s="1564"/>
      <c r="C322" s="1564"/>
      <c r="D322" s="1564"/>
      <c r="E322" s="1564"/>
      <c r="F322" s="1564"/>
    </row>
    <row r="323" s="1531" customFormat="1" ht="14.25" spans="1:6">
      <c r="A323" s="1564"/>
      <c r="B323" s="1564"/>
      <c r="C323" s="1564"/>
      <c r="D323" s="1564"/>
      <c r="E323" s="1564"/>
      <c r="F323" s="1564"/>
    </row>
    <row r="324" s="1531" customFormat="1" ht="14.25" spans="1:6">
      <c r="A324" s="1564"/>
      <c r="B324" s="1564"/>
      <c r="C324" s="1564"/>
      <c r="D324" s="1564"/>
      <c r="E324" s="1564"/>
      <c r="F324" s="1564"/>
    </row>
    <row r="325" ht="14.25" spans="1:6">
      <c r="A325" s="1538" t="s">
        <v>23</v>
      </c>
      <c r="B325" s="1538"/>
      <c r="C325" s="1538"/>
      <c r="D325" s="1538"/>
      <c r="E325" s="1538"/>
      <c r="F325" s="1538"/>
    </row>
    <row r="326" spans="1:6">
      <c r="A326" s="1601" t="s">
        <v>30</v>
      </c>
      <c r="B326" s="1602" t="s">
        <v>63</v>
      </c>
      <c r="C326" s="1562"/>
      <c r="D326" s="1562"/>
      <c r="E326" s="1562"/>
      <c r="F326" s="1562"/>
    </row>
    <row r="329" spans="1:6">
      <c r="A329" s="1601" t="s">
        <v>32</v>
      </c>
      <c r="B329" s="1602" t="s">
        <v>64</v>
      </c>
      <c r="C329" s="1562"/>
      <c r="D329" s="1562"/>
      <c r="E329" s="1562"/>
      <c r="F329" s="1562"/>
    </row>
    <row r="333" spans="1:6">
      <c r="A333" s="1601" t="s">
        <v>34</v>
      </c>
      <c r="B333" s="1602" t="s">
        <v>65</v>
      </c>
      <c r="C333" s="1562"/>
      <c r="D333" s="1562"/>
      <c r="E333" s="1562"/>
      <c r="F333" s="1562"/>
    </row>
    <row r="334" ht="14.25" spans="2:2">
      <c r="B334" s="1563" t="s">
        <v>66</v>
      </c>
    </row>
    <row r="336" spans="1:6">
      <c r="A336" s="1601" t="s">
        <v>36</v>
      </c>
      <c r="B336" s="1602" t="s">
        <v>67</v>
      </c>
      <c r="C336" s="1562"/>
      <c r="D336" s="1562"/>
      <c r="E336" s="1562"/>
      <c r="F336" s="1562"/>
    </row>
    <row r="337" ht="14.25" spans="2:2">
      <c r="B337" s="1563" t="s">
        <v>66</v>
      </c>
    </row>
    <row r="339" spans="1:6">
      <c r="A339" s="1601" t="s">
        <v>38</v>
      </c>
      <c r="B339" s="1602" t="s">
        <v>68</v>
      </c>
      <c r="C339" s="1562"/>
      <c r="D339" s="1562"/>
      <c r="E339" s="1562"/>
      <c r="F339" s="1562"/>
    </row>
    <row r="356" ht="14.25" spans="1:6">
      <c r="A356" s="1553" t="s">
        <v>16</v>
      </c>
      <c r="B356" s="1553"/>
      <c r="C356" s="1553"/>
      <c r="D356" s="1553"/>
      <c r="E356" s="1553"/>
      <c r="F356" s="1553"/>
    </row>
    <row r="357" s="1531" customFormat="1" spans="1:6">
      <c r="A357" s="1603" t="s">
        <v>30</v>
      </c>
      <c r="B357" s="1604" t="s">
        <v>69</v>
      </c>
      <c r="C357" s="1567"/>
      <c r="D357" s="1567"/>
      <c r="E357" s="1567"/>
      <c r="F357" s="1567"/>
    </row>
    <row r="358" s="1531" customFormat="1" ht="14.25" spans="1:6">
      <c r="A358" s="1564"/>
      <c r="B358" s="1564"/>
      <c r="C358" s="1564"/>
      <c r="D358" s="1564"/>
      <c r="E358" s="1564"/>
      <c r="F358" s="1564"/>
    </row>
    <row r="359" s="1531" customFormat="1" ht="14.25" spans="1:6">
      <c r="A359" s="1564"/>
      <c r="B359" s="1564"/>
      <c r="C359" s="1564"/>
      <c r="D359" s="1564"/>
      <c r="E359" s="1564"/>
      <c r="F359" s="1564"/>
    </row>
    <row r="360" s="1531" customFormat="1" ht="14.25" spans="1:6">
      <c r="A360" s="1564"/>
      <c r="B360" s="1564"/>
      <c r="C360" s="1564"/>
      <c r="D360" s="1564"/>
      <c r="E360" s="1564"/>
      <c r="F360" s="1564"/>
    </row>
    <row r="361" s="1531" customFormat="1" ht="14.25" spans="1:6">
      <c r="A361" s="1564"/>
      <c r="B361" s="1564"/>
      <c r="C361" s="1564"/>
      <c r="D361" s="1564"/>
      <c r="E361" s="1564"/>
      <c r="F361" s="1564"/>
    </row>
    <row r="362" s="1531" customFormat="1" ht="14.25" spans="1:6">
      <c r="A362" s="1564"/>
      <c r="B362" s="1564"/>
      <c r="C362" s="1564"/>
      <c r="D362" s="1564"/>
      <c r="E362" s="1564"/>
      <c r="F362" s="1564"/>
    </row>
    <row r="363" s="1531" customFormat="1" ht="14.25" spans="1:6">
      <c r="A363" s="1564"/>
      <c r="B363" s="1564"/>
      <c r="C363" s="1564"/>
      <c r="D363" s="1564"/>
      <c r="E363" s="1564"/>
      <c r="F363" s="1564"/>
    </row>
    <row r="364" s="1531" customFormat="1" spans="1:6">
      <c r="A364" s="1603" t="s">
        <v>32</v>
      </c>
      <c r="B364" s="1604" t="s">
        <v>70</v>
      </c>
      <c r="C364" s="1567"/>
      <c r="D364" s="1567"/>
      <c r="E364" s="1567"/>
      <c r="F364" s="1567"/>
    </row>
    <row r="365" s="1531" customFormat="1" ht="14.25" spans="1:6">
      <c r="A365" s="1564"/>
      <c r="B365" s="1564"/>
      <c r="C365" s="1564"/>
      <c r="D365" s="1564"/>
      <c r="E365" s="1564"/>
      <c r="F365" s="1564"/>
    </row>
    <row r="366" s="1531" customFormat="1" ht="14.25" spans="1:6">
      <c r="A366" s="1564"/>
      <c r="B366" s="1564"/>
      <c r="C366" s="1564"/>
      <c r="D366" s="1564"/>
      <c r="E366" s="1564"/>
      <c r="F366" s="1564"/>
    </row>
    <row r="367" s="1531" customFormat="1" ht="14.25" spans="1:6">
      <c r="A367" s="1564"/>
      <c r="B367" s="1564"/>
      <c r="C367" s="1564"/>
      <c r="D367" s="1564"/>
      <c r="E367" s="1564"/>
      <c r="F367" s="1564"/>
    </row>
    <row r="368" s="1531" customFormat="1" ht="14.25" spans="1:6">
      <c r="A368" s="1564"/>
      <c r="B368" s="1564"/>
      <c r="C368" s="1564"/>
      <c r="D368" s="1564"/>
      <c r="E368" s="1564"/>
      <c r="F368" s="1564"/>
    </row>
    <row r="369" s="1531" customFormat="1" ht="14.25" spans="1:6">
      <c r="A369" s="1564"/>
      <c r="B369" s="1564"/>
      <c r="C369" s="1564"/>
      <c r="D369" s="1564"/>
      <c r="E369" s="1564"/>
      <c r="F369" s="1564"/>
    </row>
    <row r="370" s="1531" customFormat="1" ht="14.25" spans="1:6">
      <c r="A370" s="1564"/>
      <c r="B370" s="1564"/>
      <c r="C370" s="1564"/>
      <c r="D370" s="1564"/>
      <c r="E370" s="1564"/>
      <c r="F370" s="1564"/>
    </row>
    <row r="371" s="1531" customFormat="1" ht="14.25" spans="1:6">
      <c r="A371" s="1564"/>
      <c r="B371" s="1564"/>
      <c r="C371" s="1564"/>
      <c r="D371" s="1564"/>
      <c r="E371" s="1564"/>
      <c r="F371" s="1564"/>
    </row>
    <row r="372" s="1531" customFormat="1" ht="14.25" spans="1:6">
      <c r="A372" s="1564"/>
      <c r="B372" s="1564"/>
      <c r="C372" s="1564"/>
      <c r="D372" s="1564"/>
      <c r="E372" s="1564"/>
      <c r="F372" s="1564"/>
    </row>
    <row r="373" s="1531" customFormat="1" ht="14.25" spans="1:6">
      <c r="A373" s="1564"/>
      <c r="B373" s="1564"/>
      <c r="C373" s="1564"/>
      <c r="D373" s="1564"/>
      <c r="E373" s="1564"/>
      <c r="F373" s="1564"/>
    </row>
    <row r="374" s="1531" customFormat="1" ht="14.25" spans="1:6">
      <c r="A374" s="1564"/>
      <c r="B374" s="1564"/>
      <c r="C374" s="1564"/>
      <c r="D374" s="1564"/>
      <c r="E374" s="1564"/>
      <c r="F374" s="1564"/>
    </row>
    <row r="375" s="1531" customFormat="1" ht="14.25" spans="1:6">
      <c r="A375" s="1564"/>
      <c r="B375" s="1564"/>
      <c r="C375" s="1564"/>
      <c r="D375" s="1564"/>
      <c r="E375" s="1564"/>
      <c r="F375" s="1564"/>
    </row>
    <row r="376" s="1531" customFormat="1" ht="14.25" spans="1:6">
      <c r="A376" s="1564"/>
      <c r="B376" s="1564"/>
      <c r="C376" s="1564"/>
      <c r="D376" s="1564"/>
      <c r="E376" s="1564"/>
      <c r="F376" s="1564"/>
    </row>
    <row r="377" s="1531" customFormat="1" ht="14.25" spans="1:6">
      <c r="A377" s="1564"/>
      <c r="B377" s="1564"/>
      <c r="C377" s="1564"/>
      <c r="D377" s="1564"/>
      <c r="E377" s="1564"/>
      <c r="F377" s="1564"/>
    </row>
    <row r="378" s="1531" customFormat="1" ht="14.25" spans="1:6">
      <c r="A378" s="1564"/>
      <c r="B378" s="1564"/>
      <c r="C378" s="1564"/>
      <c r="D378" s="1564"/>
      <c r="E378" s="1564"/>
      <c r="F378" s="1564"/>
    </row>
    <row r="379" s="1531" customFormat="1" ht="14.25" spans="1:6">
      <c r="A379" s="1564"/>
      <c r="B379" s="1564"/>
      <c r="C379" s="1564"/>
      <c r="D379" s="1564"/>
      <c r="E379" s="1564"/>
      <c r="F379" s="1564"/>
    </row>
    <row r="380" s="1531" customFormat="1" ht="14.25" spans="1:6">
      <c r="A380" s="1564"/>
      <c r="B380" s="1564"/>
      <c r="C380" s="1564"/>
      <c r="D380" s="1564"/>
      <c r="E380" s="1564"/>
      <c r="F380" s="1564"/>
    </row>
    <row r="381" s="1531" customFormat="1" ht="14.25" spans="1:6">
      <c r="A381" s="1564"/>
      <c r="B381" s="1564"/>
      <c r="C381" s="1564"/>
      <c r="D381" s="1564"/>
      <c r="E381" s="1564"/>
      <c r="F381" s="1564"/>
    </row>
    <row r="382" s="1531" customFormat="1" ht="14.25" spans="1:6">
      <c r="A382" s="1564"/>
      <c r="B382" s="1564"/>
      <c r="C382" s="1564"/>
      <c r="D382" s="1564"/>
      <c r="E382" s="1564"/>
      <c r="F382" s="1564"/>
    </row>
    <row r="383" s="1531" customFormat="1" ht="14.25" spans="1:6">
      <c r="A383" s="1564"/>
      <c r="B383" s="1564"/>
      <c r="C383" s="1564"/>
      <c r="D383" s="1564"/>
      <c r="E383" s="1564"/>
      <c r="F383" s="1564"/>
    </row>
    <row r="384" s="1531" customFormat="1" ht="14.25" spans="1:6">
      <c r="A384" s="1564"/>
      <c r="B384" s="1564"/>
      <c r="C384" s="1564"/>
      <c r="D384" s="1564"/>
      <c r="E384" s="1564"/>
      <c r="F384" s="1564"/>
    </row>
    <row r="385" s="1531" customFormat="1" spans="1:6">
      <c r="A385" s="1603" t="s">
        <v>34</v>
      </c>
      <c r="B385" s="1604" t="s">
        <v>71</v>
      </c>
      <c r="C385" s="1567"/>
      <c r="D385" s="1567"/>
      <c r="E385" s="1567"/>
      <c r="F385" s="1567"/>
    </row>
    <row r="386" s="1531" customFormat="1" ht="14.25" spans="1:6">
      <c r="A386" s="1564"/>
      <c r="B386" s="1564" t="s">
        <v>72</v>
      </c>
      <c r="C386" s="1564"/>
      <c r="D386" s="1564"/>
      <c r="E386" s="1564"/>
      <c r="F386" s="1564"/>
    </row>
    <row r="387" s="1531" customFormat="1" ht="14.25" spans="1:6">
      <c r="A387" s="1564"/>
      <c r="B387" s="1564"/>
      <c r="C387" s="1564"/>
      <c r="D387" s="1564"/>
      <c r="E387" s="1564"/>
      <c r="F387" s="1564"/>
    </row>
    <row r="388" s="1531" customFormat="1" ht="14.25" spans="1:6">
      <c r="A388" s="1564"/>
      <c r="B388" s="1564"/>
      <c r="C388" s="1564"/>
      <c r="D388" s="1564"/>
      <c r="E388" s="1564"/>
      <c r="F388" s="1564"/>
    </row>
    <row r="389" s="1531" customFormat="1" ht="14.25" spans="1:6">
      <c r="A389" s="1564"/>
      <c r="B389" s="1564"/>
      <c r="C389" s="1564"/>
      <c r="D389" s="1564"/>
      <c r="E389" s="1564"/>
      <c r="F389" s="1564"/>
    </row>
    <row r="390" s="1531" customFormat="1" ht="14.25" spans="1:6">
      <c r="A390" s="1564"/>
      <c r="B390" s="1564"/>
      <c r="C390" s="1564"/>
      <c r="D390" s="1564"/>
      <c r="E390" s="1564"/>
      <c r="F390" s="1564"/>
    </row>
    <row r="391" s="1531" customFormat="1" ht="14.25" spans="1:6">
      <c r="A391" s="1564"/>
      <c r="B391" s="1564"/>
      <c r="C391" s="1564"/>
      <c r="D391" s="1564"/>
      <c r="E391" s="1564"/>
      <c r="F391" s="1564"/>
    </row>
    <row r="392" s="1531" customFormat="1" ht="14.25" spans="1:6">
      <c r="A392" s="1564"/>
      <c r="B392" s="1564"/>
      <c r="C392" s="1564"/>
      <c r="D392" s="1564"/>
      <c r="E392" s="1564"/>
      <c r="F392" s="1564"/>
    </row>
    <row r="393" s="1531" customFormat="1" ht="14.25" spans="1:6">
      <c r="A393" s="1564"/>
      <c r="B393" s="1564"/>
      <c r="C393" s="1564"/>
      <c r="D393" s="1564"/>
      <c r="E393" s="1564"/>
      <c r="F393" s="1564"/>
    </row>
    <row r="394" s="1531" customFormat="1" ht="14.25" spans="1:6">
      <c r="A394" s="1564"/>
      <c r="B394" s="1564"/>
      <c r="C394" s="1564"/>
      <c r="D394" s="1564"/>
      <c r="E394" s="1564"/>
      <c r="F394" s="1564"/>
    </row>
    <row r="395" s="1531" customFormat="1" ht="14.25" spans="1:6">
      <c r="A395" s="1564"/>
      <c r="B395" s="1564"/>
      <c r="C395" s="1564"/>
      <c r="D395" s="1564"/>
      <c r="E395" s="1564"/>
      <c r="F395" s="1564"/>
    </row>
    <row r="396" s="1531" customFormat="1" spans="1:6">
      <c r="A396" s="1603" t="s">
        <v>36</v>
      </c>
      <c r="B396" s="1604" t="s">
        <v>73</v>
      </c>
      <c r="C396" s="1567"/>
      <c r="D396" s="1567"/>
      <c r="E396" s="1567"/>
      <c r="F396" s="1567"/>
    </row>
    <row r="397" s="1531" customFormat="1" ht="14.25" spans="1:6">
      <c r="A397" s="1564"/>
      <c r="B397" s="1564"/>
      <c r="C397" s="1564"/>
      <c r="D397" s="1564"/>
      <c r="E397" s="1564"/>
      <c r="F397" s="1564"/>
    </row>
    <row r="398" s="1531" customFormat="1" ht="14.25" spans="1:6">
      <c r="A398" s="1564"/>
      <c r="B398" s="1564"/>
      <c r="C398" s="1564"/>
      <c r="D398" s="1564"/>
      <c r="E398" s="1564"/>
      <c r="F398" s="1564"/>
    </row>
    <row r="399" s="1531" customFormat="1" ht="14.25" spans="1:6">
      <c r="A399" s="1564"/>
      <c r="B399" s="1564"/>
      <c r="C399" s="1564"/>
      <c r="D399" s="1564"/>
      <c r="E399" s="1564"/>
      <c r="F399" s="1564"/>
    </row>
    <row r="400" s="1531" customFormat="1" ht="14.25" spans="1:6">
      <c r="A400" s="1564"/>
      <c r="B400" s="1564"/>
      <c r="C400" s="1564"/>
      <c r="D400" s="1564"/>
      <c r="E400" s="1564"/>
      <c r="F400" s="1564"/>
    </row>
    <row r="401" s="1531" customFormat="1" ht="14.25" spans="1:6">
      <c r="A401" s="1564"/>
      <c r="B401" s="1564"/>
      <c r="C401" s="1564"/>
      <c r="D401" s="1564"/>
      <c r="E401" s="1564"/>
      <c r="F401" s="1564"/>
    </row>
    <row r="402" s="1531" customFormat="1" ht="14.25" spans="1:6">
      <c r="A402" s="1564"/>
      <c r="B402" s="1564"/>
      <c r="C402" s="1564"/>
      <c r="D402" s="1564"/>
      <c r="E402" s="1564"/>
      <c r="F402" s="1564"/>
    </row>
    <row r="403" s="1531" customFormat="1" ht="14.25" spans="1:6">
      <c r="A403" s="1564"/>
      <c r="B403" s="1564"/>
      <c r="C403" s="1564"/>
      <c r="D403" s="1564"/>
      <c r="E403" s="1564"/>
      <c r="F403" s="1564"/>
    </row>
    <row r="404" s="1531" customFormat="1" ht="14.25" spans="1:6">
      <c r="A404" s="1564"/>
      <c r="B404" s="1564"/>
      <c r="C404" s="1564"/>
      <c r="D404" s="1564"/>
      <c r="E404" s="1564"/>
      <c r="F404" s="1564"/>
    </row>
    <row r="405" s="1531" customFormat="1" ht="14.25" spans="1:6">
      <c r="A405" s="1564"/>
      <c r="B405" s="1564"/>
      <c r="C405" s="1564"/>
      <c r="D405" s="1564"/>
      <c r="E405" s="1564"/>
      <c r="F405" s="1564"/>
    </row>
    <row r="406" s="1531" customFormat="1" ht="14.25" spans="1:6">
      <c r="A406" s="1564"/>
      <c r="B406" s="1564"/>
      <c r="C406" s="1564"/>
      <c r="D406" s="1564"/>
      <c r="E406" s="1564"/>
      <c r="F406" s="1564"/>
    </row>
    <row r="407" s="1531" customFormat="1" ht="14.25" spans="1:6">
      <c r="A407" s="1564"/>
      <c r="B407" s="1564"/>
      <c r="C407" s="1564"/>
      <c r="D407" s="1564"/>
      <c r="E407" s="1564"/>
      <c r="F407" s="1564"/>
    </row>
    <row r="408" s="1531" customFormat="1" ht="14.25" spans="1:6">
      <c r="A408" s="1564"/>
      <c r="B408" s="1564"/>
      <c r="C408" s="1564"/>
      <c r="D408" s="1564"/>
      <c r="E408" s="1564"/>
      <c r="F408" s="1564"/>
    </row>
    <row r="409" s="1531" customFormat="1" ht="14.25" spans="1:6">
      <c r="A409" s="1564"/>
      <c r="B409" s="1564"/>
      <c r="C409" s="1564"/>
      <c r="D409" s="1564"/>
      <c r="E409" s="1564"/>
      <c r="F409" s="1564"/>
    </row>
    <row r="410" s="1531" customFormat="1" ht="14.25" spans="1:6">
      <c r="A410" s="1564"/>
      <c r="B410" s="1564"/>
      <c r="C410" s="1564"/>
      <c r="D410" s="1564"/>
      <c r="E410" s="1564"/>
      <c r="F410" s="1564"/>
    </row>
    <row r="411" s="1531" customFormat="1" ht="14.25" spans="1:6">
      <c r="A411" s="1564"/>
      <c r="B411" s="1564"/>
      <c r="C411" s="1564"/>
      <c r="D411" s="1564"/>
      <c r="E411" s="1564"/>
      <c r="F411" s="1564"/>
    </row>
    <row r="412" s="1531" customFormat="1" ht="14.25" spans="1:6">
      <c r="A412" s="1564"/>
      <c r="B412" s="1564"/>
      <c r="C412" s="1564"/>
      <c r="D412" s="1564"/>
      <c r="E412" s="1564"/>
      <c r="F412" s="1564"/>
    </row>
    <row r="413" s="1531" customFormat="1" ht="14.25" spans="1:6">
      <c r="A413" s="1564"/>
      <c r="B413" s="1564"/>
      <c r="C413" s="1564"/>
      <c r="D413" s="1564"/>
      <c r="E413" s="1564"/>
      <c r="F413" s="1564"/>
    </row>
    <row r="414" s="1531" customFormat="1" ht="14.25" spans="1:6">
      <c r="A414" s="1564"/>
      <c r="B414" s="1564"/>
      <c r="C414" s="1564"/>
      <c r="D414" s="1564"/>
      <c r="E414" s="1564"/>
      <c r="F414" s="1564"/>
    </row>
    <row r="415" s="1531" customFormat="1" ht="14.25" spans="1:6">
      <c r="A415" s="1564"/>
      <c r="B415" s="1564"/>
      <c r="C415" s="1564"/>
      <c r="D415" s="1564"/>
      <c r="E415" s="1564"/>
      <c r="F415" s="1564"/>
    </row>
    <row r="416" s="1531" customFormat="1" ht="14.25" spans="1:6">
      <c r="A416" s="1564"/>
      <c r="B416" s="1564"/>
      <c r="C416" s="1564"/>
      <c r="D416" s="1564"/>
      <c r="E416" s="1564"/>
      <c r="F416" s="1564"/>
    </row>
    <row r="417" s="1531" customFormat="1" ht="14.25" spans="1:6">
      <c r="A417" s="1564"/>
      <c r="B417" s="1564"/>
      <c r="C417" s="1564"/>
      <c r="D417" s="1564"/>
      <c r="E417" s="1564"/>
      <c r="F417" s="1564"/>
    </row>
    <row r="418" s="1531" customFormat="1" ht="14.25" spans="1:6">
      <c r="A418" s="1564"/>
      <c r="B418" s="1564"/>
      <c r="C418" s="1564"/>
      <c r="D418" s="1564"/>
      <c r="E418" s="1564"/>
      <c r="F418" s="1564"/>
    </row>
    <row r="419" s="1531" customFormat="1" ht="14.25" spans="1:6">
      <c r="A419" s="1564"/>
      <c r="B419" s="1564"/>
      <c r="C419" s="1564"/>
      <c r="D419" s="1564"/>
      <c r="E419" s="1564"/>
      <c r="F419" s="1564"/>
    </row>
    <row r="420" ht="14.25" spans="1:6">
      <c r="A420" s="1553" t="s">
        <v>18</v>
      </c>
      <c r="B420" s="1553"/>
      <c r="C420" s="1553"/>
      <c r="D420" s="1553"/>
      <c r="E420" s="1553"/>
      <c r="F420" s="1553"/>
    </row>
    <row r="421" s="1531" customFormat="1" spans="1:6">
      <c r="A421" s="1603" t="s">
        <v>30</v>
      </c>
      <c r="B421" s="1604" t="s">
        <v>74</v>
      </c>
      <c r="C421" s="1567"/>
      <c r="D421" s="1567"/>
      <c r="E421" s="1567"/>
      <c r="F421" s="1567"/>
    </row>
    <row r="422" s="1531" customFormat="1" ht="14.25" spans="1:6">
      <c r="A422" s="1564"/>
      <c r="B422" s="1564"/>
      <c r="C422" s="1564"/>
      <c r="D422" s="1564"/>
      <c r="E422" s="1564"/>
      <c r="F422" s="1564"/>
    </row>
    <row r="423" s="1531" customFormat="1" ht="14.25" spans="1:6">
      <c r="A423" s="1564"/>
      <c r="B423" s="1564"/>
      <c r="C423" s="1564"/>
      <c r="D423" s="1564"/>
      <c r="E423" s="1564"/>
      <c r="F423" s="1564"/>
    </row>
    <row r="424" s="1531" customFormat="1" ht="14.25" spans="1:6">
      <c r="A424" s="1564"/>
      <c r="B424" s="1564"/>
      <c r="C424" s="1564"/>
      <c r="D424" s="1564"/>
      <c r="E424" s="1564"/>
      <c r="F424" s="1564"/>
    </row>
    <row r="425" s="1531" customFormat="1" ht="14.25" spans="1:6">
      <c r="A425" s="1564"/>
      <c r="B425" s="1564"/>
      <c r="C425" s="1564"/>
      <c r="D425" s="1564"/>
      <c r="E425" s="1564"/>
      <c r="F425" s="1564"/>
    </row>
    <row r="426" s="1531" customFormat="1" ht="14.25" spans="1:6">
      <c r="A426" s="1564"/>
      <c r="B426" s="1564"/>
      <c r="C426" s="1564"/>
      <c r="D426" s="1564"/>
      <c r="E426" s="1564"/>
      <c r="F426" s="1564"/>
    </row>
    <row r="427" s="1531" customFormat="1" ht="14.25" spans="1:6">
      <c r="A427" s="1564"/>
      <c r="B427" s="1564"/>
      <c r="C427" s="1564"/>
      <c r="D427" s="1564"/>
      <c r="E427" s="1564"/>
      <c r="F427" s="1564"/>
    </row>
    <row r="428" s="1531" customFormat="1" ht="14.25" spans="1:6">
      <c r="A428" s="1564"/>
      <c r="B428" s="1564"/>
      <c r="C428" s="1564"/>
      <c r="D428" s="1564"/>
      <c r="E428" s="1564"/>
      <c r="F428" s="1564"/>
    </row>
    <row r="429" s="1531" customFormat="1" ht="14.25" spans="1:6">
      <c r="A429" s="1564"/>
      <c r="B429" s="1564"/>
      <c r="C429" s="1564"/>
      <c r="D429" s="1564"/>
      <c r="E429" s="1564"/>
      <c r="F429" s="1564"/>
    </row>
    <row r="430" s="1531" customFormat="1" ht="14.25" spans="1:6">
      <c r="A430" s="1564"/>
      <c r="B430" s="1564"/>
      <c r="C430" s="1564"/>
      <c r="D430" s="1564"/>
      <c r="E430" s="1564"/>
      <c r="F430" s="1564"/>
    </row>
    <row r="431" s="1531" customFormat="1" ht="14.25" spans="1:6">
      <c r="A431" s="1564"/>
      <c r="B431" s="1564"/>
      <c r="C431" s="1564"/>
      <c r="D431" s="1564"/>
      <c r="E431" s="1564"/>
      <c r="F431" s="1564"/>
    </row>
    <row r="432" s="1531" customFormat="1" ht="14.25" spans="1:6">
      <c r="A432" s="1564"/>
      <c r="B432" s="1564"/>
      <c r="C432" s="1564"/>
      <c r="D432" s="1564"/>
      <c r="E432" s="1564"/>
      <c r="F432" s="1564"/>
    </row>
    <row r="433" s="1531" customFormat="1" ht="14.25" spans="1:6">
      <c r="A433" s="1564"/>
      <c r="B433" s="1564"/>
      <c r="C433" s="1564"/>
      <c r="D433" s="1564"/>
      <c r="E433" s="1564"/>
      <c r="F433" s="1564"/>
    </row>
    <row r="434" s="1531" customFormat="1" ht="14.25" spans="1:6">
      <c r="A434" s="1564"/>
      <c r="B434" s="1564"/>
      <c r="C434" s="1564"/>
      <c r="D434" s="1564"/>
      <c r="E434" s="1564"/>
      <c r="F434" s="1564"/>
    </row>
    <row r="435" s="1531" customFormat="1" ht="14.25" spans="1:6">
      <c r="A435" s="1564"/>
      <c r="B435" s="1564"/>
      <c r="C435" s="1564"/>
      <c r="D435" s="1564"/>
      <c r="E435" s="1564"/>
      <c r="F435" s="1564"/>
    </row>
    <row r="436" s="1531" customFormat="1" ht="14.25" spans="1:6">
      <c r="A436" s="1564"/>
      <c r="B436" s="1564"/>
      <c r="C436" s="1564"/>
      <c r="D436" s="1564"/>
      <c r="E436" s="1564"/>
      <c r="F436" s="1564"/>
    </row>
    <row r="437" s="1531" customFormat="1" ht="14.25" spans="1:6">
      <c r="A437" s="1564"/>
      <c r="B437" s="1564"/>
      <c r="C437" s="1564"/>
      <c r="D437" s="1564"/>
      <c r="E437" s="1564"/>
      <c r="F437" s="1564"/>
    </row>
    <row r="438" s="1531" customFormat="1" ht="14.25" spans="1:6">
      <c r="A438" s="1564"/>
      <c r="B438" s="1564"/>
      <c r="C438" s="1564"/>
      <c r="D438" s="1564"/>
      <c r="E438" s="1564"/>
      <c r="F438" s="1564"/>
    </row>
    <row r="439" ht="14.25" spans="1:6">
      <c r="A439" s="1553" t="s">
        <v>21</v>
      </c>
      <c r="B439" s="1553"/>
      <c r="C439" s="1553"/>
      <c r="D439" s="1553"/>
      <c r="E439" s="1553"/>
      <c r="F439" s="1553"/>
    </row>
    <row r="440" s="1531" customFormat="1" ht="14.25" spans="1:6">
      <c r="A440" s="1564"/>
      <c r="B440" s="1564"/>
      <c r="C440" s="1564"/>
      <c r="D440" s="1564"/>
      <c r="E440" s="1564"/>
      <c r="F440" s="1564"/>
    </row>
    <row r="441" s="1531" customFormat="1" ht="14.25" spans="1:6">
      <c r="A441" s="1564"/>
      <c r="B441" s="1564"/>
      <c r="C441" s="1564"/>
      <c r="D441" s="1564"/>
      <c r="E441" s="1564"/>
      <c r="F441" s="1564"/>
    </row>
    <row r="442" s="1531" customFormat="1" ht="14.25" spans="1:6">
      <c r="A442" s="1564"/>
      <c r="B442" s="1564"/>
      <c r="C442" s="1564"/>
      <c r="D442" s="1564"/>
      <c r="E442" s="1564"/>
      <c r="F442" s="1564"/>
    </row>
    <row r="443" s="1531" customFormat="1" spans="1:6">
      <c r="A443" s="1603" t="s">
        <v>30</v>
      </c>
      <c r="B443" s="1604" t="s">
        <v>75</v>
      </c>
      <c r="C443" s="1567"/>
      <c r="D443" s="1567"/>
      <c r="E443" s="1567"/>
      <c r="F443" s="1567"/>
    </row>
    <row r="444" s="1531" customFormat="1" ht="14.25" spans="1:6">
      <c r="A444" s="1564"/>
      <c r="B444" s="1564"/>
      <c r="C444" s="1564"/>
      <c r="D444" s="1564"/>
      <c r="E444" s="1564"/>
      <c r="F444" s="1564"/>
    </row>
    <row r="445" s="1531" customFormat="1" ht="14.25" spans="1:6">
      <c r="A445" s="1564"/>
      <c r="B445" s="1564"/>
      <c r="C445" s="1564"/>
      <c r="D445" s="1564"/>
      <c r="E445" s="1564"/>
      <c r="F445" s="1564"/>
    </row>
    <row r="446" s="1531" customFormat="1" ht="14.25" spans="1:6">
      <c r="A446" s="1564"/>
      <c r="B446" s="1564"/>
      <c r="C446" s="1564"/>
      <c r="D446" s="1564"/>
      <c r="E446" s="1564"/>
      <c r="F446" s="1564"/>
    </row>
    <row r="447" s="1531" customFormat="1" ht="14.25" spans="1:6">
      <c r="A447" s="1564"/>
      <c r="B447" s="1564"/>
      <c r="C447" s="1564"/>
      <c r="D447" s="1564"/>
      <c r="E447" s="1564"/>
      <c r="F447" s="1564"/>
    </row>
    <row r="448" s="1531" customFormat="1" ht="14.25" spans="1:6">
      <c r="A448" s="1564"/>
      <c r="B448" s="1564"/>
      <c r="C448" s="1564"/>
      <c r="D448" s="1564"/>
      <c r="E448" s="1564"/>
      <c r="F448" s="1564"/>
    </row>
    <row r="449" s="1531" customFormat="1" ht="14.25" spans="1:6">
      <c r="A449" s="1564"/>
      <c r="B449" s="1564"/>
      <c r="C449" s="1564"/>
      <c r="D449" s="1564"/>
      <c r="E449" s="1564"/>
      <c r="F449" s="1564"/>
    </row>
    <row r="450" s="1531" customFormat="1" ht="14.25" spans="1:6">
      <c r="A450" s="1564"/>
      <c r="B450" s="1564"/>
      <c r="C450" s="1564"/>
      <c r="D450" s="1564"/>
      <c r="E450" s="1564"/>
      <c r="F450" s="1564"/>
    </row>
    <row r="451" s="1531" customFormat="1" spans="1:6">
      <c r="A451" s="1603" t="s">
        <v>32</v>
      </c>
      <c r="B451" s="1604" t="s">
        <v>71</v>
      </c>
      <c r="C451" s="1567"/>
      <c r="D451" s="1567"/>
      <c r="E451" s="1567"/>
      <c r="F451" s="1567"/>
    </row>
    <row r="452" s="1531" customFormat="1" ht="14.25" spans="1:6">
      <c r="A452" s="1564"/>
      <c r="B452" s="1564"/>
      <c r="C452" s="1564"/>
      <c r="D452" s="1564"/>
      <c r="E452" s="1564"/>
      <c r="F452" s="1564"/>
    </row>
    <row r="453" s="1531" customFormat="1" ht="14.25" spans="1:6">
      <c r="A453" s="1564"/>
      <c r="B453" s="1564"/>
      <c r="C453" s="1564"/>
      <c r="D453" s="1564"/>
      <c r="E453" s="1564"/>
      <c r="F453" s="1564"/>
    </row>
    <row r="454" s="1531" customFormat="1" spans="1:6">
      <c r="A454" s="1603" t="s">
        <v>34</v>
      </c>
      <c r="B454" s="1604" t="s">
        <v>54</v>
      </c>
      <c r="C454" s="1567"/>
      <c r="D454" s="1567"/>
      <c r="E454" s="1567"/>
      <c r="F454" s="1567"/>
    </row>
    <row r="455" s="1531" customFormat="1" ht="14.25" spans="1:6">
      <c r="A455" s="1564"/>
      <c r="B455" s="1564"/>
      <c r="C455" s="1564"/>
      <c r="D455" s="1564"/>
      <c r="E455" s="1564"/>
      <c r="F455" s="1564"/>
    </row>
    <row r="456" s="1531" customFormat="1" ht="14.25" spans="1:6">
      <c r="A456" s="1564"/>
      <c r="B456" s="1564"/>
      <c r="C456" s="1564"/>
      <c r="D456" s="1564"/>
      <c r="E456" s="1564"/>
      <c r="F456" s="1564"/>
    </row>
    <row r="457" s="1531" customFormat="1" ht="14.25" spans="1:6">
      <c r="A457" s="1564"/>
      <c r="B457" s="1564"/>
      <c r="C457" s="1564"/>
      <c r="D457" s="1564"/>
      <c r="E457" s="1564"/>
      <c r="F457" s="1564"/>
    </row>
    <row r="458" s="1531" customFormat="1" ht="14.25" spans="1:6">
      <c r="A458" s="1564"/>
      <c r="B458" s="1564"/>
      <c r="C458" s="1564"/>
      <c r="D458" s="1564"/>
      <c r="E458" s="1564"/>
      <c r="F458" s="1564"/>
    </row>
    <row r="459" s="1531" customFormat="1" ht="14.25" spans="1:6">
      <c r="A459" s="1564"/>
      <c r="B459" s="1564"/>
      <c r="C459" s="1564"/>
      <c r="D459" s="1564"/>
      <c r="E459" s="1564"/>
      <c r="F459" s="1564"/>
    </row>
    <row r="460" s="1531" customFormat="1" ht="14.25" spans="1:6">
      <c r="A460" s="1564"/>
      <c r="B460" s="1564"/>
      <c r="C460" s="1564"/>
      <c r="D460" s="1564"/>
      <c r="E460" s="1564"/>
      <c r="F460" s="1564"/>
    </row>
    <row r="461" s="1531" customFormat="1" ht="14.25" spans="1:6">
      <c r="A461" s="1564"/>
      <c r="B461" s="1564"/>
      <c r="C461" s="1564"/>
      <c r="D461" s="1564"/>
      <c r="E461" s="1564"/>
      <c r="F461" s="1564"/>
    </row>
    <row r="462" s="1531" customFormat="1" ht="14.25" spans="1:6">
      <c r="A462" s="1564"/>
      <c r="B462" s="1564"/>
      <c r="C462" s="1564"/>
      <c r="D462" s="1564"/>
      <c r="E462" s="1564"/>
      <c r="F462" s="1564"/>
    </row>
    <row r="463" s="1531" customFormat="1" ht="14.25" spans="1:6">
      <c r="A463" s="1564"/>
      <c r="B463" s="1564"/>
      <c r="C463" s="1564"/>
      <c r="D463" s="1564"/>
      <c r="E463" s="1564"/>
      <c r="F463" s="1564"/>
    </row>
    <row r="464" s="1531" customFormat="1" ht="14.25" spans="1:6">
      <c r="A464" s="1564"/>
      <c r="B464" s="1564"/>
      <c r="C464" s="1564"/>
      <c r="D464" s="1564"/>
      <c r="E464" s="1564"/>
      <c r="F464" s="1564"/>
    </row>
    <row r="465" s="1531" customFormat="1" ht="14.25" spans="1:6">
      <c r="A465" s="1564"/>
      <c r="B465" s="1564"/>
      <c r="C465" s="1564"/>
      <c r="D465" s="1564"/>
      <c r="E465" s="1564"/>
      <c r="F465" s="1564"/>
    </row>
    <row r="466" s="1531" customFormat="1" ht="14.25" spans="1:6">
      <c r="A466" s="1564"/>
      <c r="B466" s="1564"/>
      <c r="C466" s="1564"/>
      <c r="D466" s="1564"/>
      <c r="E466" s="1564"/>
      <c r="F466" s="1564"/>
    </row>
    <row r="467" s="1531" customFormat="1" ht="14.25" spans="1:6">
      <c r="A467" s="1564"/>
      <c r="B467" s="1564"/>
      <c r="C467" s="1564"/>
      <c r="D467" s="1564"/>
      <c r="E467" s="1564"/>
      <c r="F467" s="1564"/>
    </row>
    <row r="468" s="1531" customFormat="1" ht="14.25" spans="1:6">
      <c r="A468" s="1564"/>
      <c r="B468" s="1564"/>
      <c r="C468" s="1564"/>
      <c r="D468" s="1564"/>
      <c r="E468" s="1564"/>
      <c r="F468" s="1564"/>
    </row>
    <row r="469" s="1531" customFormat="1" ht="14.25" spans="1:6">
      <c r="A469" s="1564"/>
      <c r="B469" s="1564"/>
      <c r="C469" s="1564"/>
      <c r="D469" s="1564"/>
      <c r="E469" s="1564"/>
      <c r="F469" s="1564"/>
    </row>
    <row r="470" s="1531" customFormat="1" ht="14.25" spans="1:6">
      <c r="A470" s="1564"/>
      <c r="B470" s="1564"/>
      <c r="C470" s="1564"/>
      <c r="D470" s="1564"/>
      <c r="E470" s="1564"/>
      <c r="F470" s="1564"/>
    </row>
    <row r="471" s="1531" customFormat="1" ht="14.25" spans="1:6">
      <c r="A471" s="1564"/>
      <c r="B471" s="1564"/>
      <c r="C471" s="1564"/>
      <c r="D471" s="1564"/>
      <c r="E471" s="1564"/>
      <c r="F471" s="1564"/>
    </row>
    <row r="472" s="1531" customFormat="1" ht="14.25" spans="1:6">
      <c r="A472" s="1564"/>
      <c r="B472" s="1564"/>
      <c r="C472" s="1564"/>
      <c r="D472" s="1564"/>
      <c r="E472" s="1564"/>
      <c r="F472" s="1564"/>
    </row>
    <row r="473" s="1531" customFormat="1" ht="14.25" spans="1:6">
      <c r="A473" s="1564"/>
      <c r="B473" s="1564"/>
      <c r="C473" s="1564"/>
      <c r="D473" s="1564"/>
      <c r="E473" s="1564"/>
      <c r="F473" s="1564"/>
    </row>
    <row r="474" s="1531" customFormat="1" ht="14.25" spans="1:6">
      <c r="A474" s="1564"/>
      <c r="B474" s="1564"/>
      <c r="C474" s="1564"/>
      <c r="D474" s="1564"/>
      <c r="E474" s="1564"/>
      <c r="F474" s="1564"/>
    </row>
    <row r="475" s="1531" customFormat="1" ht="14.25" spans="1:6">
      <c r="A475" s="1564"/>
      <c r="B475" s="1564"/>
      <c r="C475" s="1564"/>
      <c r="D475" s="1564"/>
      <c r="E475" s="1564"/>
      <c r="F475" s="1564"/>
    </row>
    <row r="476" s="1531" customFormat="1" ht="14.25" spans="1:6">
      <c r="A476" s="1564"/>
      <c r="B476" s="1564"/>
      <c r="C476" s="1564"/>
      <c r="D476" s="1564"/>
      <c r="E476" s="1564"/>
      <c r="F476" s="1564"/>
    </row>
    <row r="477" ht="14.25" spans="1:6">
      <c r="A477" s="1553" t="s">
        <v>25</v>
      </c>
      <c r="B477" s="1553"/>
      <c r="C477" s="1553"/>
      <c r="D477" s="1553"/>
      <c r="E477" s="1553"/>
      <c r="F477" s="1553"/>
    </row>
    <row r="478" s="1531" customFormat="1" spans="1:6">
      <c r="A478" s="1603" t="s">
        <v>30</v>
      </c>
      <c r="B478" s="1604" t="s">
        <v>76</v>
      </c>
      <c r="C478" s="1567"/>
      <c r="D478" s="1567"/>
      <c r="E478" s="1567"/>
      <c r="F478" s="1567"/>
    </row>
    <row r="479" s="1531" customFormat="1" ht="14.25" spans="1:6">
      <c r="A479" s="1564"/>
      <c r="B479" s="1564"/>
      <c r="C479" s="1564"/>
      <c r="D479" s="1564"/>
      <c r="E479" s="1564"/>
      <c r="F479" s="1564"/>
    </row>
    <row r="480" s="1531" customFormat="1" ht="14.25" spans="1:6">
      <c r="A480" s="1564"/>
      <c r="B480" s="1564"/>
      <c r="C480" s="1564"/>
      <c r="D480" s="1564"/>
      <c r="E480" s="1564"/>
      <c r="F480" s="1564"/>
    </row>
    <row r="481" s="1531" customFormat="1" ht="14.25" spans="1:6">
      <c r="A481" s="1564"/>
      <c r="B481" s="1564"/>
      <c r="C481" s="1564"/>
      <c r="D481" s="1564"/>
      <c r="E481" s="1564"/>
      <c r="F481" s="1564"/>
    </row>
    <row r="482" s="1531" customFormat="1" ht="14.25" spans="1:6">
      <c r="A482" s="1564"/>
      <c r="B482" s="1564"/>
      <c r="C482" s="1564"/>
      <c r="D482" s="1564"/>
      <c r="E482" s="1564"/>
      <c r="F482" s="1564"/>
    </row>
    <row r="483" s="1531" customFormat="1" ht="14.25" spans="1:6">
      <c r="A483" s="1564"/>
      <c r="B483" s="1564"/>
      <c r="C483" s="1564"/>
      <c r="D483" s="1564"/>
      <c r="E483" s="1564"/>
      <c r="F483" s="1564"/>
    </row>
    <row r="484" s="1531" customFormat="1" ht="14.25" spans="1:6">
      <c r="A484" s="1564"/>
      <c r="B484" s="1564"/>
      <c r="C484" s="1564"/>
      <c r="D484" s="1564"/>
      <c r="E484" s="1564"/>
      <c r="F484" s="1564"/>
    </row>
    <row r="485" s="1531" customFormat="1" spans="1:6">
      <c r="A485" s="1603" t="s">
        <v>32</v>
      </c>
      <c r="B485" s="1604" t="s">
        <v>77</v>
      </c>
      <c r="C485" s="1567"/>
      <c r="D485" s="1567"/>
      <c r="E485" s="1567"/>
      <c r="F485" s="1567"/>
    </row>
    <row r="486" s="1531" customFormat="1" ht="14.25" spans="1:6">
      <c r="A486" s="1564"/>
      <c r="B486" s="1564"/>
      <c r="C486" s="1564"/>
      <c r="D486" s="1564"/>
      <c r="E486" s="1564"/>
      <c r="F486" s="1564"/>
    </row>
    <row r="487" s="1531" customFormat="1" ht="14.25" spans="1:6">
      <c r="A487" s="1564"/>
      <c r="B487" s="1564"/>
      <c r="C487" s="1564"/>
      <c r="D487" s="1564"/>
      <c r="E487" s="1564"/>
      <c r="F487" s="1564"/>
    </row>
    <row r="488" s="1531" customFormat="1" ht="14.25" spans="1:6">
      <c r="A488" s="1564"/>
      <c r="B488" s="1564"/>
      <c r="C488" s="1564"/>
      <c r="D488" s="1564"/>
      <c r="E488" s="1564"/>
      <c r="F488" s="1564"/>
    </row>
    <row r="489" s="1531" customFormat="1" ht="14.25" spans="1:6">
      <c r="A489" s="1564"/>
      <c r="B489" s="1564"/>
      <c r="C489" s="1564"/>
      <c r="D489" s="1564"/>
      <c r="E489" s="1564"/>
      <c r="F489" s="1564"/>
    </row>
    <row r="490" s="1531" customFormat="1" ht="14.25" spans="1:6">
      <c r="A490" s="1564"/>
      <c r="B490" s="1564"/>
      <c r="C490" s="1564"/>
      <c r="D490" s="1564"/>
      <c r="E490" s="1564"/>
      <c r="F490" s="1564"/>
    </row>
    <row r="491" s="1531" customFormat="1" ht="14.25" spans="1:6">
      <c r="A491" s="1564"/>
      <c r="B491" s="1564"/>
      <c r="C491" s="1564"/>
      <c r="D491" s="1564"/>
      <c r="E491" s="1564"/>
      <c r="F491" s="1564"/>
    </row>
    <row r="492" s="1531" customFormat="1" ht="14.25" spans="1:6">
      <c r="A492" s="1564"/>
      <c r="B492" s="1564"/>
      <c r="C492" s="1564"/>
      <c r="D492" s="1564"/>
      <c r="E492" s="1564"/>
      <c r="F492" s="1564"/>
    </row>
    <row r="493" s="1531" customFormat="1" ht="14.25" spans="1:6">
      <c r="A493" s="1564"/>
      <c r="B493" s="1564"/>
      <c r="C493" s="1564"/>
      <c r="D493" s="1564"/>
      <c r="E493" s="1564"/>
      <c r="F493" s="1564"/>
    </row>
    <row r="494" s="1531" customFormat="1" ht="14.25" spans="1:6">
      <c r="A494" s="1564"/>
      <c r="B494" s="1564"/>
      <c r="C494" s="1564"/>
      <c r="D494" s="1564"/>
      <c r="E494" s="1564"/>
      <c r="F494" s="1564"/>
    </row>
    <row r="495" s="1531" customFormat="1" ht="14.25" spans="1:6">
      <c r="A495" s="1564"/>
      <c r="B495" s="1564"/>
      <c r="C495" s="1564"/>
      <c r="D495" s="1564"/>
      <c r="E495" s="1564"/>
      <c r="F495" s="1564"/>
    </row>
    <row r="496" s="1531" customFormat="1" ht="14.25" spans="1:6">
      <c r="A496" s="1564"/>
      <c r="B496" s="1564"/>
      <c r="C496" s="1564"/>
      <c r="D496" s="1564"/>
      <c r="E496" s="1564"/>
      <c r="F496" s="1564"/>
    </row>
    <row r="497" s="1531" customFormat="1" ht="14.25" spans="1:6">
      <c r="A497" s="1564"/>
      <c r="B497" s="1564"/>
      <c r="C497" s="1564"/>
      <c r="D497" s="1564"/>
      <c r="E497" s="1564"/>
      <c r="F497" s="1564"/>
    </row>
    <row r="498" s="1531" customFormat="1" ht="14.25" spans="1:6">
      <c r="A498" s="1564"/>
      <c r="B498" s="1564"/>
      <c r="C498" s="1564"/>
      <c r="D498" s="1564"/>
      <c r="E498" s="1564"/>
      <c r="F498" s="1564"/>
    </row>
    <row r="499" s="1531" customFormat="1" ht="14.25" spans="1:6">
      <c r="A499" s="1564"/>
      <c r="B499" s="1564"/>
      <c r="C499" s="1564"/>
      <c r="D499" s="1564"/>
      <c r="E499" s="1564"/>
      <c r="F499" s="1564"/>
    </row>
    <row r="500" s="1531" customFormat="1" ht="14.25" spans="1:6">
      <c r="A500" s="1564"/>
      <c r="B500" s="1564"/>
      <c r="C500" s="1564"/>
      <c r="D500" s="1564"/>
      <c r="E500" s="1564"/>
      <c r="F500" s="1564"/>
    </row>
    <row r="501" s="1531" customFormat="1" ht="14.25" spans="1:6">
      <c r="A501" s="1564"/>
      <c r="B501" s="1564"/>
      <c r="C501" s="1564"/>
      <c r="D501" s="1564"/>
      <c r="E501" s="1564"/>
      <c r="F501" s="1564"/>
    </row>
    <row r="502" s="1531" customFormat="1" ht="14.25" spans="1:6">
      <c r="A502" s="1564"/>
      <c r="B502" s="1564"/>
      <c r="C502" s="1564"/>
      <c r="D502" s="1564"/>
      <c r="E502" s="1564"/>
      <c r="F502" s="1564"/>
    </row>
    <row r="503" s="1531" customFormat="1" ht="14.25" spans="1:6">
      <c r="A503" s="1564"/>
      <c r="B503" s="1564"/>
      <c r="C503" s="1564"/>
      <c r="D503" s="1564"/>
      <c r="E503" s="1564"/>
      <c r="F503" s="1564"/>
    </row>
    <row r="504" s="1531" customFormat="1" ht="14.25" spans="1:6">
      <c r="A504" s="1564"/>
      <c r="B504" s="1564"/>
      <c r="C504" s="1564"/>
      <c r="D504" s="1564"/>
      <c r="E504" s="1564"/>
      <c r="F504" s="1564"/>
    </row>
    <row r="505" s="1531" customFormat="1" ht="14.25" spans="1:6">
      <c r="A505" s="1564"/>
      <c r="B505" s="1564"/>
      <c r="C505" s="1564"/>
      <c r="D505" s="1564"/>
      <c r="E505" s="1564"/>
      <c r="F505" s="1564"/>
    </row>
    <row r="506" s="1531" customFormat="1" ht="14.25" spans="1:6">
      <c r="A506" s="1564"/>
      <c r="B506" s="1564"/>
      <c r="C506" s="1564"/>
      <c r="D506" s="1564"/>
      <c r="E506" s="1564"/>
      <c r="F506" s="1564"/>
    </row>
    <row r="507" s="1531" customFormat="1" ht="14.25" spans="1:6">
      <c r="A507" s="1564"/>
      <c r="B507" s="1564"/>
      <c r="C507" s="1564"/>
      <c r="D507" s="1564"/>
      <c r="E507" s="1564"/>
      <c r="F507" s="1564"/>
    </row>
    <row r="508" s="1531" customFormat="1" ht="14.25" spans="1:6">
      <c r="A508" s="1564"/>
      <c r="B508" s="1564"/>
      <c r="C508" s="1564"/>
      <c r="D508" s="1564"/>
      <c r="E508" s="1564"/>
      <c r="F508" s="1564"/>
    </row>
    <row r="509" s="1531" customFormat="1" ht="14.25" spans="1:6">
      <c r="A509" s="1564"/>
      <c r="B509" s="1564"/>
      <c r="C509" s="1564"/>
      <c r="D509" s="1564"/>
      <c r="E509" s="1564"/>
      <c r="F509" s="1564"/>
    </row>
    <row r="510" ht="14.25" spans="1:6">
      <c r="A510" s="1553" t="s">
        <v>28</v>
      </c>
      <c r="B510" s="1553"/>
      <c r="C510" s="1553"/>
      <c r="D510" s="1553"/>
      <c r="E510" s="1553"/>
      <c r="F510" s="1553"/>
    </row>
    <row r="511" spans="1:6">
      <c r="A511" s="1603" t="s">
        <v>30</v>
      </c>
      <c r="B511" s="1604" t="s">
        <v>78</v>
      </c>
      <c r="C511" s="1567"/>
      <c r="D511" s="1567"/>
      <c r="E511" s="1567"/>
      <c r="F511" s="1567"/>
    </row>
    <row r="520" spans="1:6">
      <c r="A520" s="1603" t="s">
        <v>32</v>
      </c>
      <c r="B520" s="1604" t="s">
        <v>79</v>
      </c>
      <c r="C520" s="1567"/>
      <c r="D520" s="1567"/>
      <c r="E520" s="1567"/>
      <c r="F520" s="1567"/>
    </row>
  </sheetData>
  <sheetProtection algorithmName="SHA-512" hashValue="nkRCfFRSlCwLX8V81KvYOz65V/eWWDqcgdk+Vtw255sLjSqfg4DveIhY2UgNrEPk+yK2/585Vn57Q5EJJGiF3A==" saltValue="/+595RqXGiJqpySANTVo6w==" spinCount="100000" sheet="1" objects="1" scenarios="1"/>
  <mergeCells count="51">
    <mergeCell ref="A3:F3"/>
    <mergeCell ref="H3:M3"/>
    <mergeCell ref="O3:T3"/>
    <mergeCell ref="O6:T6"/>
    <mergeCell ref="H7:M7"/>
    <mergeCell ref="A10:F10"/>
    <mergeCell ref="O10:T10"/>
    <mergeCell ref="H12:M12"/>
    <mergeCell ref="A14:F14"/>
    <mergeCell ref="O14:T14"/>
    <mergeCell ref="D15:F15"/>
    <mergeCell ref="O16:T16"/>
    <mergeCell ref="A17:F17"/>
    <mergeCell ref="A35:F35"/>
    <mergeCell ref="A179:F179"/>
    <mergeCell ref="A237:F237"/>
    <mergeCell ref="B242:F242"/>
    <mergeCell ref="B245:F245"/>
    <mergeCell ref="B248:F248"/>
    <mergeCell ref="B251:F251"/>
    <mergeCell ref="B255:F255"/>
    <mergeCell ref="A274:F274"/>
    <mergeCell ref="B278:F278"/>
    <mergeCell ref="B285:F285"/>
    <mergeCell ref="B295:F295"/>
    <mergeCell ref="B303:F303"/>
    <mergeCell ref="A325:F325"/>
    <mergeCell ref="B326:F326"/>
    <mergeCell ref="B329:F329"/>
    <mergeCell ref="B333:F333"/>
    <mergeCell ref="B336:F336"/>
    <mergeCell ref="B339:F339"/>
    <mergeCell ref="A356:F356"/>
    <mergeCell ref="B357:F357"/>
    <mergeCell ref="B364:F364"/>
    <mergeCell ref="B385:F385"/>
    <mergeCell ref="B396:F396"/>
    <mergeCell ref="A420:F420"/>
    <mergeCell ref="B421:F421"/>
    <mergeCell ref="A439:F439"/>
    <mergeCell ref="B443:F443"/>
    <mergeCell ref="B451:F451"/>
    <mergeCell ref="B454:F454"/>
    <mergeCell ref="A477:F477"/>
    <mergeCell ref="B478:F478"/>
    <mergeCell ref="B485:F485"/>
    <mergeCell ref="A510:F510"/>
    <mergeCell ref="B511:F511"/>
    <mergeCell ref="B520:F520"/>
    <mergeCell ref="B1:T2"/>
    <mergeCell ref="C11:F12"/>
  </mergeCells>
  <pageMargins left="0.7" right="0.7" top="0.75" bottom="0.75" header="0.3" footer="0.3"/>
  <pageSetup paperSize="1" orientation="portrait" horizontalDpi="1200" verticalDpi="1200"/>
  <headerFooter/>
  <drawing r:id="rId1"/>
  <legacyDrawing r:id="rId2"/>
  <controls>
    <mc:AlternateContent xmlns:mc="http://schemas.openxmlformats.org/markup-compatibility/2006">
      <mc:Choice Requires="x14">
        <control shapeId="24577" r:id="rId3" name="ListBox1">
          <controlPr defaultSize="0" r:id="rId4">
            <anchor moveWithCells="1">
              <from>
                <xdr:col>2</xdr:col>
                <xdr:colOff>9525</xdr:colOff>
                <xdr:row>3</xdr:row>
                <xdr:rowOff>0</xdr:rowOff>
              </from>
              <to>
                <xdr:col>6</xdr:col>
                <xdr:colOff>9525</xdr:colOff>
                <xdr:row>8</xdr:row>
                <xdr:rowOff>171450</xdr:rowOff>
              </to>
            </anchor>
          </controlPr>
        </control>
      </mc:Choice>
      <mc:Fallback>
        <control shapeId="24577" r:id="rId3" name="ListBox1"/>
      </mc:Fallback>
    </mc:AlternateContent>
    <mc:AlternateContent xmlns:mc="http://schemas.openxmlformats.org/markup-compatibility/2006">
      <mc:Choice Requires="x14">
        <control shapeId="24581" r:id="rId5" name="ListBox4">
          <controlPr defaultSize="0" r:id="rId6">
            <anchor moveWithCells="1">
              <from>
                <xdr:col>1</xdr:col>
                <xdr:colOff>581025</xdr:colOff>
                <xdr:row>17</xdr:row>
                <xdr:rowOff>9525</xdr:rowOff>
              </from>
              <to>
                <xdr:col>6</xdr:col>
                <xdr:colOff>9525</xdr:colOff>
                <xdr:row>18</xdr:row>
                <xdr:rowOff>400050</xdr:rowOff>
              </to>
            </anchor>
          </controlPr>
        </control>
      </mc:Choice>
      <mc:Fallback>
        <control shapeId="24581" r:id="rId5" name="ListBox4"/>
      </mc:Fallback>
    </mc:AlternateContent>
    <mc:AlternateContent xmlns:mc="http://schemas.openxmlformats.org/markup-compatibility/2006">
      <mc:Choice Requires="x14">
        <control shapeId="24582" r:id="rId7" name="gotoprojectstart">
          <controlPr defaultSize="0" r:id="rId8" disabled="1">
            <anchor moveWithCells="1">
              <from>
                <xdr:col>5</xdr:col>
                <xdr:colOff>142875</xdr:colOff>
                <xdr:row>16</xdr:row>
                <xdr:rowOff>0</xdr:rowOff>
              </from>
              <to>
                <xdr:col>6</xdr:col>
                <xdr:colOff>9525</xdr:colOff>
                <xdr:row>17</xdr:row>
                <xdr:rowOff>38100</xdr:rowOff>
              </to>
            </anchor>
          </controlPr>
        </control>
      </mc:Choice>
      <mc:Fallback>
        <control shapeId="24582" r:id="rId7" name="gotoprojectstart"/>
      </mc:Fallback>
    </mc:AlternateContent>
    <mc:AlternateContent xmlns:mc="http://schemas.openxmlformats.org/markup-compatibility/2006">
      <mc:Choice Requires="x14">
        <control shapeId="24584" r:id="rId9" name="gotosim">
          <controlPr defaultSize="0" r:id="rId10">
            <anchor moveWithCells="1">
              <from>
                <xdr:col>5</xdr:col>
                <xdr:colOff>66675</xdr:colOff>
                <xdr:row>2</xdr:row>
                <xdr:rowOff>0</xdr:rowOff>
              </from>
              <to>
                <xdr:col>6</xdr:col>
                <xdr:colOff>0</xdr:colOff>
                <xdr:row>3</xdr:row>
                <xdr:rowOff>47625</xdr:rowOff>
              </to>
            </anchor>
          </controlPr>
        </control>
      </mc:Choice>
      <mc:Fallback>
        <control shapeId="24584" r:id="rId9" name="gotosim"/>
      </mc:Fallback>
    </mc:AlternateContent>
    <mc:AlternateContent xmlns:mc="http://schemas.openxmlformats.org/markup-compatibility/2006">
      <mc:Choice Requires="x14">
        <control shapeId="24585" r:id="rId11" name="goto36mo">
          <controlPr defaultSize="0" r:id="rId12" disabled="1">
            <anchor moveWithCells="1">
              <from>
                <xdr:col>11</xdr:col>
                <xdr:colOff>104775</xdr:colOff>
                <xdr:row>2</xdr:row>
                <xdr:rowOff>0</xdr:rowOff>
              </from>
              <to>
                <xdr:col>13</xdr:col>
                <xdr:colOff>19050</xdr:colOff>
                <xdr:row>3</xdr:row>
                <xdr:rowOff>47625</xdr:rowOff>
              </to>
            </anchor>
          </controlPr>
        </control>
      </mc:Choice>
      <mc:Fallback>
        <control shapeId="24585" r:id="rId11" name="goto36mo"/>
      </mc:Fallback>
    </mc:AlternateContent>
    <mc:AlternateContent xmlns:mc="http://schemas.openxmlformats.org/markup-compatibility/2006">
      <mc:Choice Requires="x14">
        <control shapeId="24586" r:id="rId13" name="gotoperformance">
          <controlPr defaultSize="0" r:id="rId14" disabled="1">
            <anchor moveWithCells="1">
              <from>
                <xdr:col>11</xdr:col>
                <xdr:colOff>85725</xdr:colOff>
                <xdr:row>6</xdr:row>
                <xdr:rowOff>9525</xdr:rowOff>
              </from>
              <to>
                <xdr:col>13</xdr:col>
                <xdr:colOff>0</xdr:colOff>
                <xdr:row>7</xdr:row>
                <xdr:rowOff>9525</xdr:rowOff>
              </to>
            </anchor>
          </controlPr>
        </control>
      </mc:Choice>
      <mc:Fallback>
        <control shapeId="24586" r:id="rId13" name="gotoperformance"/>
      </mc:Fallback>
    </mc:AlternateContent>
    <mc:AlternateContent xmlns:mc="http://schemas.openxmlformats.org/markup-compatibility/2006">
      <mc:Choice Requires="x14">
        <control shapeId="24587" r:id="rId15" name="gotodanalysis">
          <controlPr defaultSize="0" r:id="rId16" disabled="1">
            <anchor moveWithCells="1">
              <from>
                <xdr:col>11</xdr:col>
                <xdr:colOff>104775</xdr:colOff>
                <xdr:row>11</xdr:row>
                <xdr:rowOff>9525</xdr:rowOff>
              </from>
              <to>
                <xdr:col>13</xdr:col>
                <xdr:colOff>19050</xdr:colOff>
                <xdr:row>12</xdr:row>
                <xdr:rowOff>9525</xdr:rowOff>
              </to>
            </anchor>
          </controlPr>
        </control>
      </mc:Choice>
      <mc:Fallback>
        <control shapeId="24587" r:id="rId15" name="gotodanalysis"/>
      </mc:Fallback>
    </mc:AlternateContent>
    <mc:AlternateContent xmlns:mc="http://schemas.openxmlformats.org/markup-compatibility/2006">
      <mc:Choice Requires="x14">
        <control shapeId="24588" r:id="rId17" name="gotomktg">
          <controlPr defaultSize="0" r:id="rId18" disabled="1">
            <anchor moveWithCells="1">
              <from>
                <xdr:col>18</xdr:col>
                <xdr:colOff>114300</xdr:colOff>
                <xdr:row>2</xdr:row>
                <xdr:rowOff>0</xdr:rowOff>
              </from>
              <to>
                <xdr:col>20</xdr:col>
                <xdr:colOff>28575</xdr:colOff>
                <xdr:row>3</xdr:row>
                <xdr:rowOff>47625</xdr:rowOff>
              </to>
            </anchor>
          </controlPr>
        </control>
      </mc:Choice>
      <mc:Fallback>
        <control shapeId="24588" r:id="rId17" name="gotomktg"/>
      </mc:Fallback>
    </mc:AlternateContent>
    <mc:AlternateContent xmlns:mc="http://schemas.openxmlformats.org/markup-compatibility/2006">
      <mc:Choice Requires="x14">
        <control shapeId="24589" r:id="rId19" name="gotoinn">
          <controlPr defaultSize="0" r:id="rId20" disabled="1">
            <anchor moveWithCells="1">
              <from>
                <xdr:col>18</xdr:col>
                <xdr:colOff>104775</xdr:colOff>
                <xdr:row>5</xdr:row>
                <xdr:rowOff>0</xdr:rowOff>
              </from>
              <to>
                <xdr:col>20</xdr:col>
                <xdr:colOff>19050</xdr:colOff>
                <xdr:row>6</xdr:row>
                <xdr:rowOff>47625</xdr:rowOff>
              </to>
            </anchor>
          </controlPr>
        </control>
      </mc:Choice>
      <mc:Fallback>
        <control shapeId="24589" r:id="rId19" name="gotoinn"/>
      </mc:Fallback>
    </mc:AlternateContent>
    <mc:AlternateContent xmlns:mc="http://schemas.openxmlformats.org/markup-compatibility/2006">
      <mc:Choice Requires="x14">
        <control shapeId="24590" r:id="rId21" name="gotooper">
          <controlPr defaultSize="0" r:id="rId22" disabled="1">
            <anchor moveWithCells="1">
              <from>
                <xdr:col>18</xdr:col>
                <xdr:colOff>104775</xdr:colOff>
                <xdr:row>8</xdr:row>
                <xdr:rowOff>219075</xdr:rowOff>
              </from>
              <to>
                <xdr:col>20</xdr:col>
                <xdr:colOff>19050</xdr:colOff>
                <xdr:row>10</xdr:row>
                <xdr:rowOff>38100</xdr:rowOff>
              </to>
            </anchor>
          </controlPr>
        </control>
      </mc:Choice>
      <mc:Fallback>
        <control shapeId="24590" r:id="rId21" name="gotooper"/>
      </mc:Fallback>
    </mc:AlternateContent>
    <mc:AlternateContent xmlns:mc="http://schemas.openxmlformats.org/markup-compatibility/2006">
      <mc:Choice Requires="x14">
        <control shapeId="24591" r:id="rId23" name="gotofin">
          <controlPr defaultSize="0" r:id="rId24" disabled="1">
            <anchor moveWithCells="1">
              <from>
                <xdr:col>18</xdr:col>
                <xdr:colOff>104775</xdr:colOff>
                <xdr:row>12</xdr:row>
                <xdr:rowOff>161925</xdr:rowOff>
              </from>
              <to>
                <xdr:col>20</xdr:col>
                <xdr:colOff>19050</xdr:colOff>
                <xdr:row>14</xdr:row>
                <xdr:rowOff>19050</xdr:rowOff>
              </to>
            </anchor>
          </controlPr>
        </control>
      </mc:Choice>
      <mc:Fallback>
        <control shapeId="24591" r:id="rId23" name="gotofin"/>
      </mc:Fallback>
    </mc:AlternateContent>
    <mc:AlternateContent xmlns:mc="http://schemas.openxmlformats.org/markup-compatibility/2006">
      <mc:Choice Requires="x14">
        <control shapeId="24592" r:id="rId25" name="gotoorg">
          <controlPr defaultSize="0" r:id="rId26" disabled="1">
            <anchor moveWithCells="1">
              <from>
                <xdr:col>18</xdr:col>
                <xdr:colOff>104775</xdr:colOff>
                <xdr:row>15</xdr:row>
                <xdr:rowOff>9525</xdr:rowOff>
              </from>
              <to>
                <xdr:col>20</xdr:col>
                <xdr:colOff>19050</xdr:colOff>
                <xdr:row>16</xdr:row>
                <xdr:rowOff>28575</xdr:rowOff>
              </to>
            </anchor>
          </controlPr>
        </control>
      </mc:Choice>
      <mc:Fallback>
        <control shapeId="24592" r:id="rId25" name="gotoorg"/>
      </mc:Fallback>
    </mc:AlternateContent>
    <mc:AlternateContent xmlns:mc="http://schemas.openxmlformats.org/markup-compatibility/2006">
      <mc:Choice Requires="x14">
        <control shapeId="24593" r:id="rId27" name="ListBox2">
          <controlPr defaultSize="0" r:id="rId28">
            <anchor moveWithCells="1">
              <from>
                <xdr:col>7</xdr:col>
                <xdr:colOff>571500</xdr:colOff>
                <xdr:row>7</xdr:row>
                <xdr:rowOff>0</xdr:rowOff>
              </from>
              <to>
                <xdr:col>13</xdr:col>
                <xdr:colOff>9525</xdr:colOff>
                <xdr:row>10</xdr:row>
                <xdr:rowOff>38100</xdr:rowOff>
              </to>
            </anchor>
          </controlPr>
        </control>
      </mc:Choice>
      <mc:Fallback>
        <control shapeId="24593" r:id="rId27" name="ListBox2"/>
      </mc:Fallback>
    </mc:AlternateContent>
    <mc:AlternateContent xmlns:mc="http://schemas.openxmlformats.org/markup-compatibility/2006">
      <mc:Choice Requires="x14">
        <control shapeId="24594" r:id="rId29" name="ListBox3">
          <controlPr defaultSize="0" r:id="rId30">
            <anchor moveWithCells="1">
              <from>
                <xdr:col>7</xdr:col>
                <xdr:colOff>571500</xdr:colOff>
                <xdr:row>3</xdr:row>
                <xdr:rowOff>9525</xdr:rowOff>
              </from>
              <to>
                <xdr:col>13</xdr:col>
                <xdr:colOff>9525</xdr:colOff>
                <xdr:row>5</xdr:row>
                <xdr:rowOff>0</xdr:rowOff>
              </to>
            </anchor>
          </controlPr>
        </control>
      </mc:Choice>
      <mc:Fallback>
        <control shapeId="24594" r:id="rId29" name="ListBox3"/>
      </mc:Fallback>
    </mc:AlternateContent>
    <mc:AlternateContent xmlns:mc="http://schemas.openxmlformats.org/markup-compatibility/2006">
      <mc:Choice Requires="x14">
        <control shapeId="24596" r:id="rId31" name="ListBox5">
          <controlPr defaultSize="0" r:id="rId32">
            <anchor moveWithCells="1">
              <from>
                <xdr:col>7</xdr:col>
                <xdr:colOff>600075</xdr:colOff>
                <xdr:row>11</xdr:row>
                <xdr:rowOff>238125</xdr:rowOff>
              </from>
              <to>
                <xdr:col>13</xdr:col>
                <xdr:colOff>38100</xdr:colOff>
                <xdr:row>15</xdr:row>
                <xdr:rowOff>76200</xdr:rowOff>
              </to>
            </anchor>
          </controlPr>
        </control>
      </mc:Choice>
      <mc:Fallback>
        <control shapeId="24596" r:id="rId31" name="ListBox5"/>
      </mc:Fallback>
    </mc:AlternateContent>
    <mc:AlternateContent xmlns:mc="http://schemas.openxmlformats.org/markup-compatibility/2006">
      <mc:Choice Requires="x14">
        <control shapeId="24597" r:id="rId33" name="ListBox6">
          <controlPr defaultSize="0" r:id="rId34">
            <anchor moveWithCells="1">
              <from>
                <xdr:col>14</xdr:col>
                <xdr:colOff>600075</xdr:colOff>
                <xdr:row>2</xdr:row>
                <xdr:rowOff>190500</xdr:rowOff>
              </from>
              <to>
                <xdr:col>20</xdr:col>
                <xdr:colOff>28575</xdr:colOff>
                <xdr:row>4</xdr:row>
                <xdr:rowOff>104775</xdr:rowOff>
              </to>
            </anchor>
          </controlPr>
        </control>
      </mc:Choice>
      <mc:Fallback>
        <control shapeId="24597" r:id="rId33" name="ListBox6"/>
      </mc:Fallback>
    </mc:AlternateContent>
    <mc:AlternateContent xmlns:mc="http://schemas.openxmlformats.org/markup-compatibility/2006">
      <mc:Choice Requires="x14">
        <control shapeId="24598" r:id="rId35" name="ListBox7">
          <controlPr defaultSize="0" r:id="rId36">
            <anchor moveWithCells="1">
              <from>
                <xdr:col>14</xdr:col>
                <xdr:colOff>581025</xdr:colOff>
                <xdr:row>6</xdr:row>
                <xdr:rowOff>9525</xdr:rowOff>
              </from>
              <to>
                <xdr:col>20</xdr:col>
                <xdr:colOff>28575</xdr:colOff>
                <xdr:row>7</xdr:row>
                <xdr:rowOff>180975</xdr:rowOff>
              </to>
            </anchor>
          </controlPr>
        </control>
      </mc:Choice>
      <mc:Fallback>
        <control shapeId="24598" r:id="rId35" name="ListBox7"/>
      </mc:Fallback>
    </mc:AlternateContent>
    <mc:AlternateContent xmlns:mc="http://schemas.openxmlformats.org/markup-compatibility/2006">
      <mc:Choice Requires="x14">
        <control shapeId="24599" r:id="rId37" name="ListBox8">
          <controlPr defaultSize="0" r:id="rId38">
            <anchor moveWithCells="1">
              <from>
                <xdr:col>14</xdr:col>
                <xdr:colOff>571500</xdr:colOff>
                <xdr:row>10</xdr:row>
                <xdr:rowOff>0</xdr:rowOff>
              </from>
              <to>
                <xdr:col>20</xdr:col>
                <xdr:colOff>9525</xdr:colOff>
                <xdr:row>12</xdr:row>
                <xdr:rowOff>114300</xdr:rowOff>
              </to>
            </anchor>
          </controlPr>
        </control>
      </mc:Choice>
      <mc:Fallback>
        <control shapeId="24599" r:id="rId37" name="ListBox8"/>
      </mc:Fallback>
    </mc:AlternateContent>
    <mc:AlternateContent xmlns:mc="http://schemas.openxmlformats.org/markup-compatibility/2006">
      <mc:Choice Requires="x14">
        <control shapeId="24600" r:id="rId39" name="ListBox9">
          <controlPr defaultSize="0" r:id="rId40">
            <anchor moveWithCells="1">
              <from>
                <xdr:col>14</xdr:col>
                <xdr:colOff>571500</xdr:colOff>
                <xdr:row>13</xdr:row>
                <xdr:rowOff>190500</xdr:rowOff>
              </from>
              <to>
                <xdr:col>20</xdr:col>
                <xdr:colOff>9525</xdr:colOff>
                <xdr:row>14</xdr:row>
                <xdr:rowOff>419100</xdr:rowOff>
              </to>
            </anchor>
          </controlPr>
        </control>
      </mc:Choice>
      <mc:Fallback>
        <control shapeId="24600" r:id="rId39" name="ListBox9"/>
      </mc:Fallback>
    </mc:AlternateContent>
    <mc:AlternateContent xmlns:mc="http://schemas.openxmlformats.org/markup-compatibility/2006">
      <mc:Choice Requires="x14">
        <control shapeId="24601" r:id="rId41" name="ListBox10">
          <controlPr defaultSize="0" r:id="rId40">
            <anchor moveWithCells="1">
              <from>
                <xdr:col>14</xdr:col>
                <xdr:colOff>571500</xdr:colOff>
                <xdr:row>16</xdr:row>
                <xdr:rowOff>9525</xdr:rowOff>
              </from>
              <to>
                <xdr:col>20</xdr:col>
                <xdr:colOff>9525</xdr:colOff>
                <xdr:row>18</xdr:row>
                <xdr:rowOff>47625</xdr:rowOff>
              </to>
            </anchor>
          </controlPr>
        </control>
      </mc:Choice>
      <mc:Fallback>
        <control shapeId="24601" r:id="rId41"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0000"/>
  </sheetPr>
  <dimension ref="A1:S45"/>
  <sheetViews>
    <sheetView showGridLines="0" showRowColHeaders="0" zoomScale="90" zoomScaleNormal="90" zoomScalePageLayoutView="85" showWhiteSpace="0" workbookViewId="0">
      <selection activeCell="F44" sqref="F44"/>
    </sheetView>
  </sheetViews>
  <sheetFormatPr defaultColWidth="9.14166666666667" defaultRowHeight="12.75"/>
  <cols>
    <col min="1" max="1" width="28.8583333333333" style="328" customWidth="1"/>
    <col min="2" max="2" width="14" style="328" customWidth="1"/>
    <col min="3" max="3" width="15.425" style="328" customWidth="1"/>
    <col min="4" max="4" width="10.425" style="328" customWidth="1"/>
    <col min="5" max="5" width="6" style="328" customWidth="1"/>
    <col min="6" max="8" width="9.14166666666667" style="328"/>
    <col min="9" max="9" width="7.425" style="328" customWidth="1"/>
    <col min="10" max="10" width="7.14166666666667" style="328" customWidth="1"/>
    <col min="11" max="11" width="9.14166666666667" style="328"/>
    <col min="12" max="17" width="9.14166666666667" style="328" customWidth="1"/>
    <col min="18" max="18" width="25.425" style="328" hidden="1" customWidth="1"/>
    <col min="19" max="16384" width="9.14166666666667" style="328"/>
  </cols>
  <sheetData>
    <row r="1" ht="32.1" customHeight="1" spans="1:19">
      <c r="A1" s="1513"/>
      <c r="B1" s="1514"/>
      <c r="E1" s="338"/>
      <c r="F1" s="1"/>
      <c r="G1" s="1"/>
      <c r="H1" s="1"/>
      <c r="I1" s="1"/>
      <c r="J1" s="1"/>
      <c r="K1" s="1"/>
      <c r="L1" s="1"/>
      <c r="M1" s="1"/>
      <c r="N1" s="1"/>
      <c r="O1" s="1"/>
      <c r="P1" s="1"/>
      <c r="Q1" s="1"/>
      <c r="R1" s="1" t="s">
        <v>80</v>
      </c>
      <c r="S1" s="1"/>
    </row>
    <row r="2" customHeight="1" spans="3:19">
      <c r="C2" s="1"/>
      <c r="D2" s="1"/>
      <c r="E2" s="1"/>
      <c r="Q2" s="1"/>
      <c r="R2" s="1522">
        <v>12</v>
      </c>
      <c r="S2" s="1"/>
    </row>
    <row r="3" customHeight="1" spans="3:19">
      <c r="C3" s="1"/>
      <c r="D3" s="1"/>
      <c r="E3" s="1"/>
      <c r="Q3" s="1"/>
      <c r="R3" s="1" t="s">
        <v>81</v>
      </c>
      <c r="S3" s="1"/>
    </row>
    <row r="4" customHeight="1" spans="5:19">
      <c r="E4" s="1"/>
      <c r="Q4" s="1"/>
      <c r="R4" s="1523" t="s">
        <v>82</v>
      </c>
      <c r="S4" s="1"/>
    </row>
    <row r="5" customHeight="1" spans="3:19">
      <c r="C5" s="1515"/>
      <c r="D5" s="1515"/>
      <c r="E5" s="1515"/>
      <c r="G5" s="1516" t="s">
        <v>83</v>
      </c>
      <c r="H5" s="1516"/>
      <c r="I5" s="1516"/>
      <c r="Q5" s="1"/>
      <c r="R5" s="1" t="s">
        <v>84</v>
      </c>
      <c r="S5" s="1"/>
    </row>
    <row r="6" customHeight="1" spans="3:18">
      <c r="C6" s="1515"/>
      <c r="D6" s="1515"/>
      <c r="E6" s="1515"/>
      <c r="G6" s="1517" t="str">
        <f>"C = "&amp;CurrentCycle</f>
        <v>C = 12</v>
      </c>
      <c r="H6" s="1517"/>
      <c r="I6" s="1517"/>
      <c r="R6" s="1523" t="s">
        <v>85</v>
      </c>
    </row>
    <row r="7" customHeight="1" spans="3:18">
      <c r="C7" s="1515"/>
      <c r="D7" s="1515"/>
      <c r="E7" s="1515"/>
      <c r="G7" s="1518" t="s">
        <v>86</v>
      </c>
      <c r="H7" s="1518"/>
      <c r="I7" s="1518"/>
      <c r="R7" s="1" t="s">
        <v>87</v>
      </c>
    </row>
    <row r="8" customHeight="1" spans="7:18">
      <c r="G8" s="1518" t="str">
        <f>"table in process is "</f>
        <v>table in process is </v>
      </c>
      <c r="H8" s="1518"/>
      <c r="I8" s="1518"/>
      <c r="R8" s="1"/>
    </row>
    <row r="9" customHeight="1" spans="3:18">
      <c r="C9" s="1519"/>
      <c r="D9" s="1519"/>
      <c r="G9" s="1517">
        <f>Section</f>
        <v>0</v>
      </c>
      <c r="H9" s="1517"/>
      <c r="I9" s="1517"/>
      <c r="R9" s="1" t="s">
        <v>88</v>
      </c>
    </row>
    <row r="10" customHeight="1" spans="3:18">
      <c r="C10" s="1520"/>
      <c r="D10" s="1520"/>
      <c r="R10" s="1522">
        <v>12</v>
      </c>
    </row>
    <row r="11" customHeight="1" spans="3:18">
      <c r="C11" s="1520"/>
      <c r="D11" s="1520"/>
      <c r="R11" s="1" t="s">
        <v>89</v>
      </c>
    </row>
    <row r="12" customHeight="1" spans="3:18">
      <c r="C12" s="1520"/>
      <c r="D12" s="1520"/>
      <c r="R12" s="1523" t="s">
        <v>82</v>
      </c>
    </row>
    <row r="13" customHeight="1" spans="3:18">
      <c r="C13" s="1520"/>
      <c r="D13" s="1520"/>
      <c r="R13" s="1524" t="s">
        <v>90</v>
      </c>
    </row>
    <row r="14" customHeight="1" spans="18:18">
      <c r="R14" s="1522" t="s">
        <v>91</v>
      </c>
    </row>
    <row r="15" customHeight="1" spans="13:18">
      <c r="M15" s="345"/>
      <c r="R15" s="1523" t="s">
        <v>92</v>
      </c>
    </row>
    <row r="16" customHeight="1" spans="3:18">
      <c r="C16" s="1521"/>
      <c r="D16" s="1521"/>
      <c r="E16" s="1521"/>
      <c r="R16" s="1523"/>
    </row>
    <row r="17" customHeight="1" spans="3:18">
      <c r="C17" s="1521"/>
      <c r="D17" s="1521"/>
      <c r="E17" s="1521"/>
      <c r="R17" s="1524" t="s">
        <v>93</v>
      </c>
    </row>
    <row r="18" customHeight="1" spans="3:18">
      <c r="C18" s="1521"/>
      <c r="D18" s="1521"/>
      <c r="E18" s="1521"/>
      <c r="R18" s="1522">
        <v>11</v>
      </c>
    </row>
    <row r="19" customHeight="1" spans="3:18">
      <c r="C19" s="1521"/>
      <c r="D19" s="1521"/>
      <c r="E19" s="1521"/>
      <c r="R19" s="1525"/>
    </row>
    <row r="20" customHeight="1" spans="18:18">
      <c r="R20" s="1525"/>
    </row>
    <row r="21" customHeight="1"/>
    <row r="22" customHeight="1" spans="18:19">
      <c r="R22" s="1526"/>
      <c r="S22" s="1526"/>
    </row>
    <row r="23" customHeight="1" spans="3:19">
      <c r="C23" s="1521"/>
      <c r="D23" s="1521"/>
      <c r="E23" s="1521"/>
      <c r="R23" s="1526"/>
      <c r="S23" s="1526"/>
    </row>
    <row r="24" customHeight="1"/>
    <row r="25" customHeight="1" spans="18:18">
      <c r="R25" s="1527"/>
    </row>
    <row r="26" customHeight="1"/>
    <row r="27" customHeight="1" spans="18:18">
      <c r="R27" s="1526"/>
    </row>
    <row r="28" customHeight="1" spans="18:19">
      <c r="R28" s="1526"/>
      <c r="S28" s="1526"/>
    </row>
    <row r="29" customHeight="1" spans="19:19">
      <c r="S29" s="1526"/>
    </row>
    <row r="30" customHeight="1" spans="18:18">
      <c r="R30" s="328" t="s">
        <v>94</v>
      </c>
    </row>
    <row r="31" customHeight="1" spans="3:18">
      <c r="C31" s="1521"/>
      <c r="D31" s="1521"/>
      <c r="E31" s="1521"/>
      <c r="R31" s="1528"/>
    </row>
    <row r="32" customHeight="1" spans="3:18">
      <c r="C32" s="1521"/>
      <c r="D32" s="1521"/>
      <c r="E32" s="1521"/>
      <c r="R32" s="1529"/>
    </row>
    <row r="33" customHeight="1" spans="3:18">
      <c r="C33" s="1521"/>
      <c r="D33" s="1521"/>
      <c r="E33" s="1521"/>
      <c r="R33" s="1529"/>
    </row>
    <row r="34" spans="3:18">
      <c r="C34" s="1521"/>
      <c r="D34" s="1521"/>
      <c r="E34" s="1521"/>
      <c r="R34" s="1529"/>
    </row>
    <row r="35" spans="3:18">
      <c r="C35" s="21"/>
      <c r="D35" s="21"/>
      <c r="E35" s="21"/>
      <c r="R35" s="1529"/>
    </row>
    <row r="41" spans="18:18">
      <c r="R41" s="1521" t="s">
        <v>95</v>
      </c>
    </row>
    <row r="42" spans="18:18">
      <c r="R42" s="1521" t="s">
        <v>96</v>
      </c>
    </row>
    <row r="43" spans="18:18">
      <c r="R43" s="1521" t="s">
        <v>97</v>
      </c>
    </row>
    <row r="44" ht="13.35" customHeight="1" spans="18:18">
      <c r="R44" s="1521" t="s">
        <v>98</v>
      </c>
    </row>
    <row r="45" spans="18:18">
      <c r="R45" s="328" t="s">
        <v>99</v>
      </c>
    </row>
  </sheetData>
  <sheetProtection selectLockedCells="1"/>
  <mergeCells count="11">
    <mergeCell ref="G5:I5"/>
    <mergeCell ref="G6:I6"/>
    <mergeCell ref="G7:I7"/>
    <mergeCell ref="G8:I8"/>
    <mergeCell ref="C9:D9"/>
    <mergeCell ref="G9:I9"/>
    <mergeCell ref="C10:D10"/>
    <mergeCell ref="C11:D11"/>
    <mergeCell ref="C12:D12"/>
    <mergeCell ref="C13:D13"/>
    <mergeCell ref="C5:D7"/>
  </mergeCells>
  <pageMargins left="0.7" right="0.7" top="0.5" bottom="0.5" header="0.3" footer="0.3"/>
  <pageSetup paperSize="1" scale="59" orientation="portrait"/>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1"/>
  <legacyDrawing r:id="rId2"/>
  <controls>
    <mc:AlternateContent xmlns:mc="http://schemas.openxmlformats.org/markup-compatibility/2006">
      <mc:Choice Requires="x14">
        <control shapeId="53250" r:id="rId3" name="projectstart">
          <controlPr defaultSize="0" r:id="rId4" disabled="1">
            <anchor moveWithCells="1">
              <from>
                <xdr:col>6</xdr:col>
                <xdr:colOff>219075</xdr:colOff>
                <xdr:row>15</xdr:row>
                <xdr:rowOff>28575</xdr:rowOff>
              </from>
              <to>
                <xdr:col>8</xdr:col>
                <xdr:colOff>285750</xdr:colOff>
                <xdr:row>17</xdr:row>
                <xdr:rowOff>0</xdr:rowOff>
              </to>
            </anchor>
          </controlPr>
        </control>
      </mc:Choice>
      <mc:Fallback>
        <control shapeId="53250" r:id="rId3" name="projectstart"/>
      </mc:Fallback>
    </mc:AlternateContent>
    <mc:AlternateContent xmlns:mc="http://schemas.openxmlformats.org/markup-compatibility/2006">
      <mc:Choice Requires="x14">
        <control shapeId="53251" r:id="rId5" name="ShapeIP">
          <controlPr defaultSize="0" r:id="rId6" disabled="1">
            <anchor moveWithCells="1">
              <from>
                <xdr:col>6</xdr:col>
                <xdr:colOff>219075</xdr:colOff>
                <xdr:row>12</xdr:row>
                <xdr:rowOff>152400</xdr:rowOff>
              </from>
              <to>
                <xdr:col>8</xdr:col>
                <xdr:colOff>285750</xdr:colOff>
                <xdr:row>14</xdr:row>
                <xdr:rowOff>123825</xdr:rowOff>
              </to>
            </anchor>
          </controlPr>
        </control>
      </mc:Choice>
      <mc:Fallback>
        <control shapeId="53251" r:id="rId5" name="ShapeIP"/>
      </mc:Fallback>
    </mc:AlternateContent>
    <mc:AlternateContent xmlns:mc="http://schemas.openxmlformats.org/markup-compatibility/2006">
      <mc:Choice Requires="x14">
        <control shapeId="53249" name="Button 1" r:id="rId7">
          <controlPr print="0" defaultSize="0">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BR663"/>
  <sheetViews>
    <sheetView showGridLines="0" showRowColHeaders="0" zoomScale="106" zoomScaleNormal="106" zoomScalePageLayoutView="87" zoomScaleSheetLayoutView="90" workbookViewId="0">
      <pane ySplit="1" topLeftCell="A2" activePane="bottomLeft" state="frozen"/>
      <selection/>
      <selection pane="bottomLeft" activeCell="J23" sqref="J23"/>
    </sheetView>
  </sheetViews>
  <sheetFormatPr defaultColWidth="9.14166666666667" defaultRowHeight="12.75"/>
  <cols>
    <col min="1" max="1" width="15.8583333333333" style="25" customWidth="1"/>
    <col min="2" max="2" width="9.56666666666667" style="25" customWidth="1"/>
    <col min="3" max="3" width="10.5666666666667" style="25" customWidth="1"/>
    <col min="4" max="4" width="12.425" style="25" customWidth="1"/>
    <col min="5" max="5" width="13.5666666666667" style="25" customWidth="1"/>
    <col min="6" max="6" width="12.425" style="25" customWidth="1"/>
    <col min="7" max="7" width="11.1416666666667" style="25" customWidth="1"/>
    <col min="8" max="8" width="10.425" style="25" customWidth="1"/>
    <col min="9" max="9" width="12.5666666666667" style="25" customWidth="1"/>
    <col min="10" max="11" width="10.8583333333333" style="25" customWidth="1"/>
    <col min="12" max="12" width="10.425" style="140" customWidth="1"/>
    <col min="13" max="13" width="10.5666666666667" style="140" customWidth="1"/>
    <col min="14" max="14" width="12" style="140" customWidth="1"/>
    <col min="15" max="15" width="10" style="140" customWidth="1"/>
    <col min="16" max="69" width="9.14166666666667" style="140" customWidth="1"/>
    <col min="70" max="16384" width="9.14166666666667" style="25"/>
  </cols>
  <sheetData>
    <row r="1" ht="32.1" customHeight="1" spans="13:69">
      <c r="M1" s="25"/>
      <c r="N1" s="25"/>
      <c r="O1" s="25"/>
      <c r="P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row>
    <row r="2" ht="41.25" customHeight="1" spans="13:69">
      <c r="M2" s="25"/>
      <c r="N2" s="25"/>
      <c r="O2" s="25"/>
      <c r="P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row>
    <row r="3" customHeight="1" spans="12:69">
      <c r="L3" s="25"/>
      <c r="M3" s="25"/>
      <c r="N3" s="25"/>
      <c r="O3" s="25"/>
      <c r="P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row>
    <row r="4" s="140" customFormat="1" spans="7:7">
      <c r="G4" s="140" t="s">
        <v>72</v>
      </c>
    </row>
    <row r="5" ht="15.75" spans="1:69">
      <c r="A5" s="1406">
        <v>1</v>
      </c>
      <c r="B5" s="1407" t="s">
        <v>100</v>
      </c>
      <c r="C5" s="1408"/>
      <c r="D5" s="1408"/>
      <c r="E5" s="1408"/>
      <c r="F5" s="1409"/>
      <c r="G5" s="1409"/>
      <c r="H5" s="1409"/>
      <c r="I5" s="1409"/>
      <c r="J5" s="1409"/>
      <c r="K5" s="1438"/>
      <c r="L5" s="1409"/>
      <c r="M5" s="1439"/>
      <c r="N5" s="25"/>
      <c r="O5" s="88"/>
      <c r="P5" s="88"/>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row>
    <row r="6" customHeight="1" spans="1:69">
      <c r="A6" s="70">
        <v>1.1</v>
      </c>
      <c r="B6" s="71" t="s">
        <v>101</v>
      </c>
      <c r="C6" s="71"/>
      <c r="D6" s="77"/>
      <c r="E6" s="26"/>
      <c r="F6" s="26"/>
      <c r="L6" s="25"/>
      <c r="M6" s="25"/>
      <c r="N6" s="25"/>
      <c r="O6" s="88"/>
      <c r="P6" s="88"/>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row>
    <row r="7" ht="11.25" customHeight="1" spans="1:69">
      <c r="A7" s="40"/>
      <c r="B7" s="26"/>
      <c r="C7" s="127"/>
      <c r="D7" s="127"/>
      <c r="E7" s="26"/>
      <c r="F7" s="26"/>
      <c r="G7" s="1410" t="s">
        <v>102</v>
      </c>
      <c r="H7" s="1411" t="s">
        <v>103</v>
      </c>
      <c r="I7" s="1410" t="s">
        <v>104</v>
      </c>
      <c r="J7" s="1440" t="s">
        <v>105</v>
      </c>
      <c r="K7" s="1441" t="s">
        <v>106</v>
      </c>
      <c r="L7" s="25"/>
      <c r="M7" s="25"/>
      <c r="N7" s="25"/>
      <c r="O7" s="88"/>
      <c r="P7" s="88"/>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row>
    <row r="8" s="26" customFormat="1" ht="11.25" customHeight="1" spans="1:25">
      <c r="A8" s="763" t="s">
        <v>107</v>
      </c>
      <c r="B8" s="1412" t="s">
        <v>108</v>
      </c>
      <c r="C8" s="1413"/>
      <c r="D8" s="390"/>
      <c r="E8" s="1414"/>
      <c r="F8" s="44" t="s">
        <v>109</v>
      </c>
      <c r="G8" s="1414"/>
      <c r="H8" s="1415">
        <f>H$22/H$28</f>
        <v>0.5555116875</v>
      </c>
      <c r="I8" s="1415">
        <f>I$22/I$28</f>
        <v>0.591351151209678</v>
      </c>
      <c r="J8" s="1415">
        <f>J$22/J$28</f>
        <v>0.645110346774194</v>
      </c>
      <c r="K8" s="1415">
        <f>K22/SUM(H28:J28)</f>
        <v>0.59732439516129</v>
      </c>
      <c r="O8" s="88"/>
      <c r="P8" s="1442"/>
      <c r="Q8" s="38"/>
      <c r="R8" s="38"/>
      <c r="S8" s="38"/>
      <c r="T8" s="38"/>
      <c r="U8" s="38"/>
      <c r="V8" s="38"/>
      <c r="W8" s="38"/>
      <c r="X8" s="38"/>
      <c r="Y8" s="38"/>
    </row>
    <row r="9" s="26" customFormat="1" ht="11.25" customHeight="1" spans="1:25">
      <c r="A9" s="763" t="s">
        <v>110</v>
      </c>
      <c r="B9" s="1412" t="s">
        <v>111</v>
      </c>
      <c r="C9" s="1413"/>
      <c r="D9" s="1413"/>
      <c r="F9" s="44" t="s">
        <v>112</v>
      </c>
      <c r="G9" s="1416"/>
      <c r="H9" s="1417">
        <v>1</v>
      </c>
      <c r="I9" s="1417">
        <v>1</v>
      </c>
      <c r="J9" s="1443">
        <v>1</v>
      </c>
      <c r="K9" s="72"/>
      <c r="O9" s="127"/>
      <c r="P9" s="204"/>
      <c r="Q9" s="38"/>
      <c r="R9" s="38"/>
      <c r="S9" s="38"/>
      <c r="T9" s="38"/>
      <c r="U9" s="38"/>
      <c r="V9" s="38"/>
      <c r="W9" s="38"/>
      <c r="X9" s="38"/>
      <c r="Y9" s="38"/>
    </row>
    <row r="10" s="26" customFormat="1" ht="11.25" customHeight="1" spans="1:25">
      <c r="A10" s="763" t="s">
        <v>113</v>
      </c>
      <c r="B10" s="1412" t="s">
        <v>114</v>
      </c>
      <c r="C10" s="1413"/>
      <c r="D10" s="1413"/>
      <c r="E10" s="1418"/>
      <c r="F10" s="44" t="s">
        <v>112</v>
      </c>
      <c r="G10" s="1416"/>
      <c r="H10" s="1417">
        <v>1</v>
      </c>
      <c r="I10" s="1417">
        <v>1</v>
      </c>
      <c r="J10" s="1443">
        <v>1</v>
      </c>
      <c r="K10" s="72"/>
      <c r="O10" s="127"/>
      <c r="P10" s="127"/>
      <c r="Q10" s="38"/>
      <c r="R10" s="38"/>
      <c r="S10" s="38"/>
      <c r="T10" s="38"/>
      <c r="U10" s="38"/>
      <c r="V10" s="38"/>
      <c r="W10" s="38"/>
      <c r="X10" s="38"/>
      <c r="Y10" s="38"/>
    </row>
    <row r="11" s="26" customFormat="1" ht="11.25" customHeight="1" spans="1:25">
      <c r="A11" s="40"/>
      <c r="B11" s="41"/>
      <c r="C11" s="41"/>
      <c r="D11" s="41"/>
      <c r="E11" s="59"/>
      <c r="F11" s="59"/>
      <c r="G11" s="128"/>
      <c r="H11" s="38"/>
      <c r="I11" s="38"/>
      <c r="J11" s="38"/>
      <c r="K11" s="41"/>
      <c r="O11" s="127"/>
      <c r="P11" s="127"/>
      <c r="Q11" s="38"/>
      <c r="R11" s="38"/>
      <c r="S11" s="38"/>
      <c r="T11" s="38"/>
      <c r="U11" s="38"/>
      <c r="V11" s="38"/>
      <c r="W11" s="38"/>
      <c r="X11" s="38"/>
      <c r="Y11" s="38"/>
    </row>
    <row r="12" s="26" customFormat="1" ht="15.75" spans="1:25">
      <c r="A12" s="1419">
        <v>1.2</v>
      </c>
      <c r="B12" s="1420" t="s">
        <v>60</v>
      </c>
      <c r="C12" s="1420"/>
      <c r="F12" s="40"/>
      <c r="G12" s="200"/>
      <c r="H12" s="200"/>
      <c r="I12" s="200"/>
      <c r="J12" s="200"/>
      <c r="K12" s="291"/>
      <c r="O12" s="127"/>
      <c r="P12" s="439"/>
      <c r="Q12" s="38"/>
      <c r="R12" s="38"/>
      <c r="S12" s="38"/>
      <c r="T12" s="38"/>
      <c r="U12" s="38"/>
      <c r="V12" s="38"/>
      <c r="W12" s="38"/>
      <c r="X12" s="38"/>
      <c r="Y12" s="38"/>
    </row>
    <row r="13" s="26" customFormat="1" ht="11.25" spans="1:25">
      <c r="A13" s="40"/>
      <c r="B13" s="41"/>
      <c r="C13" s="41"/>
      <c r="D13" s="41"/>
      <c r="E13" s="59"/>
      <c r="F13" s="59"/>
      <c r="G13" s="128"/>
      <c r="H13" s="38"/>
      <c r="I13" s="38"/>
      <c r="J13" s="38"/>
      <c r="K13" s="41"/>
      <c r="O13" s="127"/>
      <c r="P13" s="127"/>
      <c r="Q13" s="38"/>
      <c r="R13" s="38"/>
      <c r="S13" s="38"/>
      <c r="T13" s="38"/>
      <c r="U13" s="38"/>
      <c r="V13" s="38"/>
      <c r="W13" s="38"/>
      <c r="X13" s="38"/>
      <c r="Y13" s="38"/>
    </row>
    <row r="14" s="26" customFormat="1" ht="11.25" spans="1:25">
      <c r="A14" s="40"/>
      <c r="B14" s="41"/>
      <c r="C14" s="41"/>
      <c r="D14" s="41"/>
      <c r="E14" s="59"/>
      <c r="F14" s="59"/>
      <c r="G14" s="382" t="s">
        <v>102</v>
      </c>
      <c r="H14" s="382" t="s">
        <v>103</v>
      </c>
      <c r="I14" s="382" t="s">
        <v>104</v>
      </c>
      <c r="J14" s="382" t="s">
        <v>105</v>
      </c>
      <c r="K14" s="440" t="s">
        <v>106</v>
      </c>
      <c r="O14" s="127"/>
      <c r="P14" s="127"/>
      <c r="Q14" s="38"/>
      <c r="R14" s="38"/>
      <c r="S14" s="38"/>
      <c r="T14" s="38"/>
      <c r="U14" s="38"/>
      <c r="V14" s="38"/>
      <c r="W14" s="38"/>
      <c r="X14" s="38"/>
      <c r="Y14" s="38"/>
    </row>
    <row r="15" s="26" customFormat="1" ht="11.25" spans="1:25">
      <c r="A15" s="763" t="s">
        <v>115</v>
      </c>
      <c r="B15" s="384" t="s">
        <v>116</v>
      </c>
      <c r="C15" s="385"/>
      <c r="D15" s="386"/>
      <c r="E15" s="385"/>
      <c r="F15" s="44" t="s">
        <v>117</v>
      </c>
      <c r="G15" s="1421">
        <v>15000000</v>
      </c>
      <c r="H15" s="1422">
        <v>1.03</v>
      </c>
      <c r="I15" s="1422">
        <v>1.06</v>
      </c>
      <c r="J15" s="1422">
        <v>1.1</v>
      </c>
      <c r="K15" s="72"/>
      <c r="O15" s="127"/>
      <c r="P15" s="127"/>
      <c r="Q15" s="38"/>
      <c r="R15" s="38"/>
      <c r="S15" s="38"/>
      <c r="T15" s="38"/>
      <c r="U15" s="38"/>
      <c r="V15" s="38"/>
      <c r="W15" s="38"/>
      <c r="X15" s="38"/>
      <c r="Y15" s="38"/>
    </row>
    <row r="16" s="26" customFormat="1" ht="11.25" spans="1:25">
      <c r="A16" s="763" t="s">
        <v>118</v>
      </c>
      <c r="B16" s="389" t="s">
        <v>119</v>
      </c>
      <c r="C16" s="390"/>
      <c r="D16" s="391"/>
      <c r="E16" s="392"/>
      <c r="F16" s="393" t="s">
        <v>120</v>
      </c>
      <c r="G16" s="1421">
        <v>73920</v>
      </c>
      <c r="H16" s="395"/>
      <c r="I16" s="395"/>
      <c r="J16" s="395"/>
      <c r="K16" s="72"/>
      <c r="O16" s="127"/>
      <c r="P16" s="127"/>
      <c r="Q16" s="38"/>
      <c r="R16" s="38"/>
      <c r="S16" s="38"/>
      <c r="T16" s="38"/>
      <c r="U16" s="38"/>
      <c r="V16" s="38"/>
      <c r="W16" s="38"/>
      <c r="X16" s="38"/>
      <c r="Y16" s="38"/>
    </row>
    <row r="17" s="26" customFormat="1" ht="11.25" spans="1:25">
      <c r="A17" s="763" t="s">
        <v>121</v>
      </c>
      <c r="B17" s="396" t="s">
        <v>122</v>
      </c>
      <c r="C17" s="397"/>
      <c r="D17" s="398"/>
      <c r="E17" s="399"/>
      <c r="F17" s="44" t="s">
        <v>117</v>
      </c>
      <c r="G17" s="1423">
        <v>1.5</v>
      </c>
      <c r="H17" s="395"/>
      <c r="I17" s="395"/>
      <c r="J17" s="395"/>
      <c r="K17" s="72"/>
      <c r="O17" s="127"/>
      <c r="P17" s="127"/>
      <c r="Q17" s="38"/>
      <c r="R17" s="38"/>
      <c r="S17" s="38"/>
      <c r="T17" s="38"/>
      <c r="U17" s="38"/>
      <c r="V17" s="38"/>
      <c r="W17" s="38"/>
      <c r="X17" s="38"/>
      <c r="Y17" s="38"/>
    </row>
    <row r="18" s="26" customFormat="1" ht="11.25" spans="1:25">
      <c r="A18" s="763" t="s">
        <v>123</v>
      </c>
      <c r="B18" s="50" t="s">
        <v>124</v>
      </c>
      <c r="C18" s="401"/>
      <c r="D18" s="402"/>
      <c r="E18" s="401"/>
      <c r="F18" s="44" t="s">
        <v>109</v>
      </c>
      <c r="G18" s="1424"/>
      <c r="H18" s="1422">
        <v>1.1</v>
      </c>
      <c r="I18" s="1422">
        <v>1.18</v>
      </c>
      <c r="J18" s="1422">
        <v>1.25</v>
      </c>
      <c r="K18" s="441"/>
      <c r="O18" s="127"/>
      <c r="P18" s="127"/>
      <c r="Q18" s="38"/>
      <c r="R18" s="38"/>
      <c r="S18" s="38"/>
      <c r="T18" s="38"/>
      <c r="U18" s="38"/>
      <c r="V18" s="38"/>
      <c r="W18" s="38"/>
      <c r="X18" s="38"/>
      <c r="Y18" s="38"/>
    </row>
    <row r="19" s="26" customFormat="1" ht="11.25" spans="1:25">
      <c r="A19" s="763"/>
      <c r="B19" s="404" t="s">
        <v>125</v>
      </c>
      <c r="C19" s="42"/>
      <c r="D19" s="405"/>
      <c r="E19" s="42"/>
      <c r="F19" s="44" t="s">
        <v>117</v>
      </c>
      <c r="G19" s="406">
        <f>G17*G16</f>
        <v>110880</v>
      </c>
      <c r="H19" s="407">
        <f>G19*H18</f>
        <v>121968</v>
      </c>
      <c r="I19" s="407">
        <f>G19*I18</f>
        <v>130838.4</v>
      </c>
      <c r="J19" s="407">
        <f>G19*J18</f>
        <v>138600</v>
      </c>
      <c r="K19" s="441">
        <f>SUM(H19:J19)</f>
        <v>391406.4</v>
      </c>
      <c r="O19" s="127"/>
      <c r="P19" s="127"/>
      <c r="Q19" s="38"/>
      <c r="R19" s="38"/>
      <c r="S19" s="38"/>
      <c r="T19" s="38"/>
      <c r="U19" s="38"/>
      <c r="V19" s="38"/>
      <c r="W19" s="38"/>
      <c r="X19" s="38"/>
      <c r="Y19" s="38"/>
    </row>
    <row r="20" s="26" customFormat="1" ht="11.25" spans="1:25">
      <c r="A20" s="763" t="s">
        <v>126</v>
      </c>
      <c r="B20" s="408" t="s">
        <v>127</v>
      </c>
      <c r="C20" s="38"/>
      <c r="D20" s="222"/>
      <c r="E20" s="38"/>
      <c r="F20" s="44" t="s">
        <v>109</v>
      </c>
      <c r="G20" s="409"/>
      <c r="H20" s="410"/>
      <c r="I20" s="410"/>
      <c r="J20" s="410"/>
      <c r="K20" s="442">
        <v>2.18</v>
      </c>
      <c r="O20" s="127"/>
      <c r="P20" s="127"/>
      <c r="Q20" s="38"/>
      <c r="R20" s="38"/>
      <c r="S20" s="38"/>
      <c r="T20" s="38"/>
      <c r="U20" s="38"/>
      <c r="V20" s="38"/>
      <c r="W20" s="38"/>
      <c r="X20" s="38"/>
      <c r="Y20" s="38"/>
    </row>
    <row r="21" s="26" customFormat="1" ht="11.25" spans="1:25">
      <c r="A21" s="763" t="s">
        <v>128</v>
      </c>
      <c r="B21" s="389" t="s">
        <v>129</v>
      </c>
      <c r="C21" s="390"/>
      <c r="D21" s="391"/>
      <c r="E21" s="390"/>
      <c r="F21" s="44" t="s">
        <v>109</v>
      </c>
      <c r="G21" s="411"/>
      <c r="H21" s="1422">
        <v>0.31</v>
      </c>
      <c r="I21" s="1422">
        <v>0.33</v>
      </c>
      <c r="J21" s="1422">
        <v>0.36</v>
      </c>
      <c r="K21" s="443">
        <f>H21+I21+J21</f>
        <v>1</v>
      </c>
      <c r="O21" s="127"/>
      <c r="P21" s="127"/>
      <c r="Q21" s="38"/>
      <c r="R21" s="38"/>
      <c r="S21" s="38"/>
      <c r="T21" s="38"/>
      <c r="U21" s="38"/>
      <c r="V21" s="38"/>
      <c r="W21" s="38"/>
      <c r="X21" s="38"/>
      <c r="Y21" s="38"/>
    </row>
    <row r="22" s="26" customFormat="1" ht="11.25" spans="1:25">
      <c r="A22" s="763"/>
      <c r="B22" s="396" t="s">
        <v>130</v>
      </c>
      <c r="C22" s="397"/>
      <c r="D22" s="398"/>
      <c r="E22" s="397"/>
      <c r="F22" s="413" t="s">
        <v>117</v>
      </c>
      <c r="G22" s="411"/>
      <c r="H22" s="414">
        <f>H$21*$K$22</f>
        <v>264512.44512</v>
      </c>
      <c r="I22" s="414">
        <f>I$21*$K$22</f>
        <v>281577.76416</v>
      </c>
      <c r="J22" s="414">
        <f>J$21*$K$22</f>
        <v>307175.74272</v>
      </c>
      <c r="K22" s="444">
        <f>K19*K20</f>
        <v>853265.952</v>
      </c>
      <c r="O22" s="127"/>
      <c r="P22" s="127"/>
      <c r="Q22" s="38"/>
      <c r="R22" s="38"/>
      <c r="S22" s="38"/>
      <c r="T22" s="38"/>
      <c r="U22" s="38"/>
      <c r="V22" s="38"/>
      <c r="W22" s="38"/>
      <c r="X22" s="38"/>
      <c r="Y22" s="38"/>
    </row>
    <row r="23" s="26" customFormat="1" ht="11.25" spans="1:25">
      <c r="A23" s="763" t="s">
        <v>131</v>
      </c>
      <c r="B23" s="384" t="s">
        <v>132</v>
      </c>
      <c r="C23" s="384"/>
      <c r="D23" s="415"/>
      <c r="E23" s="416"/>
      <c r="F23" s="413" t="s">
        <v>109</v>
      </c>
      <c r="G23" s="395"/>
      <c r="H23" s="1425">
        <v>0.38</v>
      </c>
      <c r="I23" s="1425">
        <v>0.38</v>
      </c>
      <c r="J23" s="1425">
        <v>0.36</v>
      </c>
      <c r="K23" s="411">
        <f>K24/K22</f>
        <v>0.3728</v>
      </c>
      <c r="O23" s="127"/>
      <c r="P23" s="127"/>
      <c r="Q23" s="38"/>
      <c r="R23" s="38"/>
      <c r="S23" s="38"/>
      <c r="T23" s="38"/>
      <c r="U23" s="38"/>
      <c r="V23" s="38"/>
      <c r="W23" s="38"/>
      <c r="X23" s="38"/>
      <c r="Y23" s="38"/>
    </row>
    <row r="24" s="26" customFormat="1" ht="11.25" spans="1:25">
      <c r="A24" s="763"/>
      <c r="B24" s="418" t="s">
        <v>133</v>
      </c>
      <c r="C24" s="397"/>
      <c r="D24" s="398"/>
      <c r="E24" s="397"/>
      <c r="F24" s="413" t="s">
        <v>117</v>
      </c>
      <c r="G24" s="395"/>
      <c r="H24" s="406">
        <f>H22*H23</f>
        <v>100514.7291456</v>
      </c>
      <c r="I24" s="406">
        <f>I22*I23</f>
        <v>106999.5503808</v>
      </c>
      <c r="J24" s="406">
        <f>J22*J23</f>
        <v>110583.2673792</v>
      </c>
      <c r="K24" s="444">
        <f>SUM(H24:J24)</f>
        <v>318097.5469056</v>
      </c>
      <c r="O24" s="127"/>
      <c r="P24" s="127"/>
      <c r="Q24" s="38"/>
      <c r="R24" s="38"/>
      <c r="S24" s="38"/>
      <c r="T24" s="38"/>
      <c r="U24" s="38"/>
      <c r="V24" s="38"/>
      <c r="W24" s="38"/>
      <c r="X24" s="38"/>
      <c r="Y24" s="38"/>
    </row>
    <row r="25" s="26" customFormat="1" ht="11.25" spans="1:25">
      <c r="A25" s="763"/>
      <c r="B25" s="419" t="s">
        <v>134</v>
      </c>
      <c r="C25" s="38"/>
      <c r="D25" s="222"/>
      <c r="E25" s="38"/>
      <c r="F25" s="413" t="s">
        <v>109</v>
      </c>
      <c r="G25" s="395"/>
      <c r="H25" s="420">
        <f>H24/H19</f>
        <v>0.824107381818182</v>
      </c>
      <c r="I25" s="420">
        <f>I24/I19</f>
        <v>0.817799288135594</v>
      </c>
      <c r="J25" s="420">
        <f>J24/J19</f>
        <v>0.797859072</v>
      </c>
      <c r="K25" s="72"/>
      <c r="O25" s="127"/>
      <c r="P25" s="127"/>
      <c r="Q25" s="38"/>
      <c r="R25" s="38"/>
      <c r="S25" s="38"/>
      <c r="T25" s="38"/>
      <c r="U25" s="38"/>
      <c r="V25" s="38"/>
      <c r="W25" s="38"/>
      <c r="X25" s="38"/>
      <c r="Y25" s="38"/>
    </row>
    <row r="26" s="26" customFormat="1" ht="11.25" spans="1:25">
      <c r="A26" s="763"/>
      <c r="B26" s="416" t="s">
        <v>135</v>
      </c>
      <c r="C26" s="385"/>
      <c r="D26" s="386"/>
      <c r="E26" s="385"/>
      <c r="F26" s="413" t="s">
        <v>109</v>
      </c>
      <c r="G26" s="72"/>
      <c r="H26" s="421">
        <f>1-H23</f>
        <v>0.62</v>
      </c>
      <c r="I26" s="421">
        <f>1-I23</f>
        <v>0.62</v>
      </c>
      <c r="J26" s="421">
        <f>1-J23</f>
        <v>0.64</v>
      </c>
      <c r="K26" s="411">
        <f>K27/K22</f>
        <v>0.6272</v>
      </c>
      <c r="O26" s="127"/>
      <c r="P26" s="127"/>
      <c r="Q26" s="38"/>
      <c r="R26" s="38"/>
      <c r="S26" s="38"/>
      <c r="T26" s="38"/>
      <c r="U26" s="38"/>
      <c r="V26" s="38"/>
      <c r="W26" s="38"/>
      <c r="X26" s="38"/>
      <c r="Y26" s="38"/>
    </row>
    <row r="27" s="26" customFormat="1" ht="11.25" spans="1:25">
      <c r="A27" s="763"/>
      <c r="B27" s="418" t="s">
        <v>136</v>
      </c>
      <c r="C27" s="397"/>
      <c r="D27" s="398"/>
      <c r="E27" s="397"/>
      <c r="F27" s="413" t="s">
        <v>117</v>
      </c>
      <c r="G27" s="72"/>
      <c r="H27" s="406">
        <f>H26*H22</f>
        <v>163997.7159744</v>
      </c>
      <c r="I27" s="406">
        <f>I26*I22</f>
        <v>174578.2137792</v>
      </c>
      <c r="J27" s="406">
        <f>J26*J22</f>
        <v>196592.4753408</v>
      </c>
      <c r="K27" s="444">
        <f>SUM(H27:J27)</f>
        <v>535168.4050944</v>
      </c>
      <c r="O27" s="127"/>
      <c r="P27" s="127"/>
      <c r="Q27" s="38"/>
      <c r="R27" s="38"/>
      <c r="S27" s="38"/>
      <c r="T27" s="38"/>
      <c r="U27" s="38"/>
      <c r="V27" s="38"/>
      <c r="W27" s="38"/>
      <c r="X27" s="38"/>
      <c r="Y27" s="38"/>
    </row>
    <row r="28" s="26" customFormat="1" ht="11.25" spans="1:25">
      <c r="A28" s="763" t="s">
        <v>137</v>
      </c>
      <c r="B28" s="395" t="s">
        <v>138</v>
      </c>
      <c r="C28" s="395"/>
      <c r="D28" s="422"/>
      <c r="E28" s="389"/>
      <c r="F28" s="413" t="s">
        <v>117</v>
      </c>
      <c r="G28" s="1426">
        <v>476160</v>
      </c>
      <c r="H28" s="1426">
        <v>476160</v>
      </c>
      <c r="I28" s="1426">
        <v>476160</v>
      </c>
      <c r="J28" s="1426">
        <v>476160</v>
      </c>
      <c r="K28" s="443"/>
      <c r="O28" s="127"/>
      <c r="P28" s="127"/>
      <c r="Q28" s="38"/>
      <c r="R28" s="38"/>
      <c r="S28" s="38"/>
      <c r="T28" s="38"/>
      <c r="U28" s="38"/>
      <c r="V28" s="38"/>
      <c r="W28" s="38"/>
      <c r="X28" s="38"/>
      <c r="Y28" s="38"/>
    </row>
    <row r="29" s="26" customFormat="1" ht="11.25" spans="1:25">
      <c r="A29" s="40"/>
      <c r="B29" s="41"/>
      <c r="C29" s="41"/>
      <c r="D29" s="41"/>
      <c r="E29" s="59"/>
      <c r="F29" s="59"/>
      <c r="G29" s="128"/>
      <c r="H29" s="38"/>
      <c r="I29" s="38"/>
      <c r="J29" s="38"/>
      <c r="K29" s="41"/>
      <c r="O29" s="127"/>
      <c r="P29" s="127"/>
      <c r="Q29" s="38"/>
      <c r="R29" s="38"/>
      <c r="S29" s="38"/>
      <c r="T29" s="38"/>
      <c r="U29" s="38"/>
      <c r="V29" s="38"/>
      <c r="W29" s="38"/>
      <c r="X29" s="38"/>
      <c r="Y29" s="38"/>
    </row>
    <row r="30" s="26" customFormat="1" ht="11.25" spans="1:25">
      <c r="A30" s="40"/>
      <c r="B30" s="41"/>
      <c r="C30" s="41"/>
      <c r="D30" s="41"/>
      <c r="E30" s="59"/>
      <c r="F30" s="59"/>
      <c r="G30" s="128"/>
      <c r="H30" s="38"/>
      <c r="I30" s="38"/>
      <c r="J30" s="38"/>
      <c r="K30" s="41"/>
      <c r="O30" s="127"/>
      <c r="P30" s="127"/>
      <c r="Q30" s="38"/>
      <c r="R30" s="38"/>
      <c r="S30" s="38"/>
      <c r="T30" s="38"/>
      <c r="U30" s="38"/>
      <c r="V30" s="38"/>
      <c r="W30" s="38"/>
      <c r="X30" s="38"/>
      <c r="Y30" s="38"/>
    </row>
    <row r="31" s="26" customFormat="1" ht="11.25" spans="1:25">
      <c r="A31" s="40"/>
      <c r="B31" s="41"/>
      <c r="C31" s="41"/>
      <c r="D31" s="41"/>
      <c r="E31" s="59"/>
      <c r="F31" s="59"/>
      <c r="G31" s="128"/>
      <c r="H31" s="38"/>
      <c r="I31" s="38"/>
      <c r="J31" s="38"/>
      <c r="K31" s="41"/>
      <c r="O31" s="127"/>
      <c r="P31" s="127"/>
      <c r="Q31" s="38"/>
      <c r="R31" s="38"/>
      <c r="S31" s="38"/>
      <c r="T31" s="38"/>
      <c r="U31" s="38"/>
      <c r="V31" s="38"/>
      <c r="W31" s="38"/>
      <c r="X31" s="38"/>
      <c r="Y31" s="38"/>
    </row>
    <row r="32" s="26" customFormat="1" ht="11.25" hidden="1" spans="1:25">
      <c r="A32" s="40"/>
      <c r="B32" s="41"/>
      <c r="C32" s="41"/>
      <c r="D32" s="41"/>
      <c r="E32" s="59"/>
      <c r="F32" s="59"/>
      <c r="G32" s="128"/>
      <c r="H32" s="38"/>
      <c r="I32" s="38"/>
      <c r="J32" s="38"/>
      <c r="K32" s="41"/>
      <c r="O32" s="127"/>
      <c r="P32" s="127"/>
      <c r="Q32" s="38"/>
      <c r="R32" s="38"/>
      <c r="S32" s="38"/>
      <c r="T32" s="38"/>
      <c r="U32" s="38"/>
      <c r="V32" s="38"/>
      <c r="W32" s="38"/>
      <c r="X32" s="38"/>
      <c r="Y32" s="38"/>
    </row>
    <row r="33" s="26" customFormat="1" ht="15.75" hidden="1" spans="1:25">
      <c r="A33" s="1427">
        <v>2</v>
      </c>
      <c r="B33" s="1428" t="s">
        <v>139</v>
      </c>
      <c r="C33" s="1429"/>
      <c r="D33" s="41"/>
      <c r="E33" s="59"/>
      <c r="F33" s="59"/>
      <c r="G33" s="128"/>
      <c r="H33" s="38"/>
      <c r="I33" s="38"/>
      <c r="J33" s="38"/>
      <c r="K33" s="41"/>
      <c r="O33" s="127"/>
      <c r="P33" s="127"/>
      <c r="Q33" s="38"/>
      <c r="R33" s="38"/>
      <c r="S33" s="38"/>
      <c r="T33" s="38"/>
      <c r="U33" s="38"/>
      <c r="V33" s="38"/>
      <c r="W33" s="38"/>
      <c r="X33" s="38"/>
      <c r="Y33" s="38"/>
    </row>
    <row r="34" s="127" customFormat="1" ht="15.75" hidden="1" spans="1:25">
      <c r="A34" s="679"/>
      <c r="B34" s="190"/>
      <c r="C34" s="1430"/>
      <c r="D34" s="38"/>
      <c r="E34" s="83"/>
      <c r="F34" s="83"/>
      <c r="G34" s="128"/>
      <c r="H34" s="38"/>
      <c r="I34" s="38"/>
      <c r="J34" s="38"/>
      <c r="K34" s="38"/>
      <c r="Q34" s="38"/>
      <c r="R34" s="38"/>
      <c r="S34" s="38"/>
      <c r="T34" s="38"/>
      <c r="U34" s="38"/>
      <c r="V34" s="38"/>
      <c r="W34" s="38"/>
      <c r="X34" s="38"/>
      <c r="Y34" s="38"/>
    </row>
    <row r="35" s="26" customFormat="1" hidden="1" spans="1:25">
      <c r="A35" s="70" t="str">
        <f>"2.0"</f>
        <v>2.0</v>
      </c>
      <c r="B35" s="71" t="s">
        <v>140</v>
      </c>
      <c r="C35" s="59"/>
      <c r="D35" s="41"/>
      <c r="E35" s="59"/>
      <c r="F35" s="59"/>
      <c r="G35" s="128"/>
      <c r="H35" s="38"/>
      <c r="I35" s="38"/>
      <c r="J35" s="38"/>
      <c r="K35" s="41"/>
      <c r="O35" s="127"/>
      <c r="P35" s="127"/>
      <c r="Q35" s="38"/>
      <c r="R35" s="38"/>
      <c r="S35" s="38"/>
      <c r="T35" s="38"/>
      <c r="U35" s="38"/>
      <c r="V35" s="38"/>
      <c r="W35" s="38"/>
      <c r="X35" s="38"/>
      <c r="Y35" s="38"/>
    </row>
    <row r="36" s="26" customFormat="1" hidden="1" spans="1:25">
      <c r="A36" s="70"/>
      <c r="B36" s="1431" t="s">
        <v>141</v>
      </c>
      <c r="C36" s="1431"/>
      <c r="D36" s="1432">
        <v>150000</v>
      </c>
      <c r="E36" s="59"/>
      <c r="F36" s="59"/>
      <c r="G36" s="128"/>
      <c r="H36" s="38"/>
      <c r="I36" s="38"/>
      <c r="J36" s="38"/>
      <c r="K36" s="41"/>
      <c r="O36" s="127"/>
      <c r="P36" s="127"/>
      <c r="Q36" s="38"/>
      <c r="R36" s="38"/>
      <c r="S36" s="38"/>
      <c r="T36" s="38"/>
      <c r="U36" s="38"/>
      <c r="V36" s="38"/>
      <c r="W36" s="38"/>
      <c r="X36" s="38"/>
      <c r="Y36" s="38"/>
    </row>
    <row r="37" s="127" customFormat="1" ht="15.75" hidden="1" spans="1:25">
      <c r="A37" s="679"/>
      <c r="B37" s="190"/>
      <c r="C37" s="1430"/>
      <c r="D37" s="38"/>
      <c r="E37" s="83"/>
      <c r="F37" s="83"/>
      <c r="G37" s="128"/>
      <c r="H37" s="38"/>
      <c r="I37" s="38"/>
      <c r="J37" s="38"/>
      <c r="K37" s="38"/>
      <c r="Q37" s="38"/>
      <c r="R37" s="38"/>
      <c r="S37" s="38"/>
      <c r="T37" s="38"/>
      <c r="U37" s="38"/>
      <c r="V37" s="38"/>
      <c r="W37" s="38"/>
      <c r="X37" s="38"/>
      <c r="Y37" s="38"/>
    </row>
    <row r="38" s="127" customFormat="1" ht="15.75" hidden="1" spans="1:25">
      <c r="A38" s="679"/>
      <c r="B38" s="204" t="s">
        <v>142</v>
      </c>
      <c r="C38" s="1430"/>
      <c r="D38" s="1433">
        <f>SUM(D36:D37)</f>
        <v>150000</v>
      </c>
      <c r="E38" s="83"/>
      <c r="F38" s="83"/>
      <c r="G38" s="128"/>
      <c r="H38" s="38"/>
      <c r="I38" s="38"/>
      <c r="J38" s="38"/>
      <c r="K38" s="38"/>
      <c r="Q38" s="38"/>
      <c r="R38" s="38"/>
      <c r="S38" s="38"/>
      <c r="T38" s="38"/>
      <c r="U38" s="38"/>
      <c r="V38" s="38"/>
      <c r="W38" s="38"/>
      <c r="X38" s="38"/>
      <c r="Y38" s="38"/>
    </row>
    <row r="39" s="127" customFormat="1" ht="15.75" hidden="1" spans="1:25">
      <c r="A39" s="679"/>
      <c r="B39" s="190"/>
      <c r="C39" s="1430"/>
      <c r="D39" s="38"/>
      <c r="E39" s="83"/>
      <c r="F39" s="83"/>
      <c r="G39" s="128"/>
      <c r="H39" s="38"/>
      <c r="I39" s="38"/>
      <c r="J39" s="38"/>
      <c r="K39" s="38"/>
      <c r="Q39" s="38"/>
      <c r="R39" s="38"/>
      <c r="S39" s="38"/>
      <c r="T39" s="38"/>
      <c r="U39" s="38"/>
      <c r="V39" s="38"/>
      <c r="W39" s="38"/>
      <c r="X39" s="38"/>
      <c r="Y39" s="38"/>
    </row>
    <row r="40" s="127" customFormat="1" ht="15.75" hidden="1" spans="1:25">
      <c r="A40" s="679"/>
      <c r="B40" s="190"/>
      <c r="C40" s="1430"/>
      <c r="D40" s="38"/>
      <c r="E40" s="83"/>
      <c r="F40" s="83"/>
      <c r="G40" s="128"/>
      <c r="H40" s="38"/>
      <c r="I40" s="38"/>
      <c r="J40" s="38"/>
      <c r="K40" s="38"/>
      <c r="Q40" s="38"/>
      <c r="R40" s="38"/>
      <c r="S40" s="38"/>
      <c r="T40" s="38"/>
      <c r="U40" s="38"/>
      <c r="V40" s="38"/>
      <c r="W40" s="38"/>
      <c r="X40" s="38"/>
      <c r="Y40" s="38"/>
    </row>
    <row r="41" s="26" customFormat="1" hidden="1" customHeight="1" spans="1:25">
      <c r="A41" s="70">
        <v>2.1</v>
      </c>
      <c r="B41" s="71" t="s">
        <v>143</v>
      </c>
      <c r="C41" s="41"/>
      <c r="D41" s="41"/>
      <c r="E41" s="59"/>
      <c r="F41" s="59"/>
      <c r="G41" s="128"/>
      <c r="H41" s="38"/>
      <c r="I41" s="38"/>
      <c r="J41" s="38"/>
      <c r="K41" s="41"/>
      <c r="O41" s="127"/>
      <c r="P41" s="127"/>
      <c r="Q41" s="38"/>
      <c r="R41" s="38"/>
      <c r="S41" s="38"/>
      <c r="T41" s="38"/>
      <c r="U41" s="38"/>
      <c r="V41" s="38"/>
      <c r="W41" s="38"/>
      <c r="X41" s="38"/>
      <c r="Y41" s="38"/>
    </row>
    <row r="42" s="26" customFormat="1" ht="11.25" hidden="1" spans="1:25">
      <c r="A42" s="40"/>
      <c r="B42" s="41"/>
      <c r="C42" s="41"/>
      <c r="D42" s="42"/>
      <c r="E42" s="43"/>
      <c r="F42" s="44" t="s">
        <v>144</v>
      </c>
      <c r="G42" s="44"/>
      <c r="H42" s="83"/>
      <c r="I42" s="38"/>
      <c r="J42" s="38"/>
      <c r="K42" s="38"/>
      <c r="O42" s="127"/>
      <c r="P42" s="127"/>
      <c r="Q42" s="38"/>
      <c r="R42" s="38"/>
      <c r="S42" s="38"/>
      <c r="T42" s="38"/>
      <c r="U42" s="38"/>
      <c r="V42" s="38"/>
      <c r="W42" s="38"/>
      <c r="X42" s="38"/>
      <c r="Y42" s="38"/>
    </row>
    <row r="43" s="26" customFormat="1" ht="11.25" hidden="1" spans="1:25">
      <c r="A43" s="40"/>
      <c r="B43" s="46" t="s">
        <v>145</v>
      </c>
      <c r="C43" s="47"/>
      <c r="D43" s="48" t="s">
        <v>146</v>
      </c>
      <c r="E43" s="49" t="s">
        <v>147</v>
      </c>
      <c r="F43" s="50" t="s">
        <v>104</v>
      </c>
      <c r="G43" s="51" t="s">
        <v>105</v>
      </c>
      <c r="H43" s="83"/>
      <c r="I43" s="83"/>
      <c r="J43" s="83"/>
      <c r="K43" s="38"/>
      <c r="O43" s="127"/>
      <c r="P43" s="127"/>
      <c r="Q43" s="38"/>
      <c r="R43" s="38"/>
      <c r="S43" s="38"/>
      <c r="T43" s="38"/>
      <c r="U43" s="38"/>
      <c r="V43" s="38"/>
      <c r="W43" s="38"/>
      <c r="X43" s="38"/>
      <c r="Y43" s="38"/>
    </row>
    <row r="44" s="26" customFormat="1" ht="11.25" hidden="1" spans="2:25">
      <c r="B44" s="1431" t="s">
        <v>148</v>
      </c>
      <c r="C44" s="53"/>
      <c r="D44" s="1432">
        <v>25000</v>
      </c>
      <c r="E44" s="249">
        <v>1</v>
      </c>
      <c r="F44" s="1434">
        <v>1.11</v>
      </c>
      <c r="G44" s="1434">
        <v>1.2</v>
      </c>
      <c r="H44" s="159"/>
      <c r="I44" s="128"/>
      <c r="J44" s="128"/>
      <c r="K44" s="128"/>
      <c r="O44" s="127"/>
      <c r="P44" s="127"/>
      <c r="Q44" s="38"/>
      <c r="R44" s="38"/>
      <c r="S44" s="38"/>
      <c r="T44" s="38"/>
      <c r="U44" s="38"/>
      <c r="V44" s="38"/>
      <c r="W44" s="38"/>
      <c r="X44" s="38"/>
      <c r="Y44" s="38"/>
    </row>
    <row r="45" s="26" customFormat="1" ht="11.25" hidden="1" spans="2:25">
      <c r="B45" s="1431" t="s">
        <v>149</v>
      </c>
      <c r="C45" s="53"/>
      <c r="D45" s="1432">
        <v>67500</v>
      </c>
      <c r="E45" s="249">
        <v>1.5</v>
      </c>
      <c r="F45" s="1434">
        <v>1.11</v>
      </c>
      <c r="G45" s="1434">
        <v>1.2</v>
      </c>
      <c r="H45" s="159"/>
      <c r="I45" s="128"/>
      <c r="J45" s="128"/>
      <c r="K45" s="128"/>
      <c r="O45" s="127"/>
      <c r="P45" s="127"/>
      <c r="Q45" s="38"/>
      <c r="R45" s="38"/>
      <c r="S45" s="38"/>
      <c r="T45" s="38"/>
      <c r="U45" s="38"/>
      <c r="V45" s="38"/>
      <c r="W45" s="38"/>
      <c r="X45" s="38"/>
      <c r="Y45" s="38"/>
    </row>
    <row r="46" s="26" customFormat="1" ht="11.25" hidden="1" spans="2:25">
      <c r="B46" s="1435" t="s">
        <v>150</v>
      </c>
      <c r="C46" s="53"/>
      <c r="D46" s="1432">
        <v>32500</v>
      </c>
      <c r="E46" s="249">
        <v>0.5</v>
      </c>
      <c r="F46" s="1434">
        <v>1.11</v>
      </c>
      <c r="G46" s="1434">
        <v>1.2</v>
      </c>
      <c r="H46" s="159"/>
      <c r="I46" s="128"/>
      <c r="J46" s="128"/>
      <c r="K46" s="128"/>
      <c r="O46" s="127"/>
      <c r="P46" s="127"/>
      <c r="Q46" s="38"/>
      <c r="R46" s="38"/>
      <c r="S46" s="38"/>
      <c r="T46" s="38"/>
      <c r="U46" s="38"/>
      <c r="V46" s="38"/>
      <c r="W46" s="38"/>
      <c r="X46" s="38"/>
      <c r="Y46" s="38"/>
    </row>
    <row r="47" s="26" customFormat="1" ht="11.25" hidden="1" spans="2:25">
      <c r="B47" s="1431" t="s">
        <v>151</v>
      </c>
      <c r="C47" s="1436"/>
      <c r="D47" s="1432">
        <v>5000</v>
      </c>
      <c r="E47" s="249"/>
      <c r="F47" s="1434">
        <v>1.11</v>
      </c>
      <c r="G47" s="1434">
        <v>1.2</v>
      </c>
      <c r="H47" s="83"/>
      <c r="I47" s="38"/>
      <c r="J47" s="128"/>
      <c r="K47" s="128"/>
      <c r="L47" s="127"/>
      <c r="O47" s="127"/>
      <c r="P47" s="127"/>
      <c r="Q47" s="38"/>
      <c r="R47" s="38"/>
      <c r="S47" s="38"/>
      <c r="T47" s="38"/>
      <c r="U47" s="38"/>
      <c r="V47" s="38"/>
      <c r="W47" s="38"/>
      <c r="X47" s="38"/>
      <c r="Y47" s="38"/>
    </row>
    <row r="48" s="26" customFormat="1" ht="11.25" hidden="1" spans="2:25">
      <c r="B48" s="59"/>
      <c r="C48" s="59"/>
      <c r="D48" s="60" t="s">
        <v>103</v>
      </c>
      <c r="E48" s="60" t="s">
        <v>104</v>
      </c>
      <c r="F48" s="60" t="s">
        <v>105</v>
      </c>
      <c r="H48" s="38"/>
      <c r="I48" s="38"/>
      <c r="J48" s="38"/>
      <c r="K48" s="130"/>
      <c r="O48" s="127"/>
      <c r="P48" s="127"/>
      <c r="Q48" s="38"/>
      <c r="R48" s="38"/>
      <c r="S48" s="38"/>
      <c r="T48" s="38"/>
      <c r="U48" s="38"/>
      <c r="V48" s="38"/>
      <c r="W48" s="38"/>
      <c r="X48" s="38"/>
      <c r="Y48" s="38"/>
    </row>
    <row r="49" s="26" customFormat="1" hidden="1" spans="2:25">
      <c r="B49" s="61" t="s">
        <v>142</v>
      </c>
      <c r="C49" s="59"/>
      <c r="D49" s="62">
        <f>SUM(D44:D47)</f>
        <v>130000</v>
      </c>
      <c r="E49" s="62">
        <f>SUMPRODUCT(D44:D47,F44:F47)</f>
        <v>144300</v>
      </c>
      <c r="F49" s="62">
        <f>SUMPRODUCT(D44:D47,G44:G47,F44:F47)</f>
        <v>173160</v>
      </c>
      <c r="H49" s="38"/>
      <c r="I49" s="38"/>
      <c r="J49" s="38"/>
      <c r="K49" s="130"/>
      <c r="O49" s="127"/>
      <c r="P49" s="127"/>
      <c r="Q49" s="38"/>
      <c r="R49" s="38"/>
      <c r="S49" s="38"/>
      <c r="T49" s="38"/>
      <c r="U49" s="38"/>
      <c r="V49" s="38"/>
      <c r="W49" s="38"/>
      <c r="X49" s="38"/>
      <c r="Y49" s="38"/>
    </row>
    <row r="50" s="26" customFormat="1" ht="11.25" hidden="1" spans="2:25">
      <c r="B50" s="59"/>
      <c r="C50" s="59"/>
      <c r="H50" s="38"/>
      <c r="I50" s="38"/>
      <c r="J50" s="38"/>
      <c r="K50" s="130"/>
      <c r="O50" s="127"/>
      <c r="P50" s="127"/>
      <c r="Q50" s="38"/>
      <c r="R50" s="38"/>
      <c r="S50" s="38"/>
      <c r="T50" s="38"/>
      <c r="U50" s="38"/>
      <c r="V50" s="38"/>
      <c r="W50" s="38"/>
      <c r="X50" s="38"/>
      <c r="Y50" s="38"/>
    </row>
    <row r="51" s="26" customFormat="1" ht="11.25" hidden="1" spans="8:25">
      <c r="H51" s="38"/>
      <c r="I51" s="291"/>
      <c r="J51" s="38"/>
      <c r="K51" s="130"/>
      <c r="O51" s="127"/>
      <c r="P51" s="127"/>
      <c r="Q51" s="38"/>
      <c r="R51" s="38"/>
      <c r="S51" s="38"/>
      <c r="T51" s="38"/>
      <c r="U51" s="38"/>
      <c r="V51" s="38"/>
      <c r="W51" s="38"/>
      <c r="X51" s="38"/>
      <c r="Y51" s="38"/>
    </row>
    <row r="52" s="26" customFormat="1" ht="11.25" hidden="1" spans="8:25">
      <c r="H52" s="38"/>
      <c r="I52" s="38"/>
      <c r="J52" s="38"/>
      <c r="K52" s="130"/>
      <c r="O52" s="127"/>
      <c r="P52" s="127"/>
      <c r="Q52" s="38"/>
      <c r="R52" s="38"/>
      <c r="S52" s="38"/>
      <c r="T52" s="38"/>
      <c r="U52" s="38"/>
      <c r="V52" s="38"/>
      <c r="W52" s="38"/>
      <c r="X52" s="38"/>
      <c r="Y52" s="38"/>
    </row>
    <row r="53" s="26" customFormat="1" hidden="1" spans="1:25">
      <c r="A53" s="70">
        <v>2.2</v>
      </c>
      <c r="B53" s="71" t="s">
        <v>152</v>
      </c>
      <c r="H53" s="38"/>
      <c r="I53" s="38"/>
      <c r="J53" s="38"/>
      <c r="K53" s="130"/>
      <c r="O53" s="127"/>
      <c r="P53" s="127"/>
      <c r="Q53" s="38"/>
      <c r="R53" s="38"/>
      <c r="S53" s="38"/>
      <c r="T53" s="38"/>
      <c r="U53" s="38"/>
      <c r="V53" s="38"/>
      <c r="W53" s="38"/>
      <c r="X53" s="38"/>
      <c r="Y53" s="38"/>
    </row>
    <row r="54" s="26" customFormat="1" ht="11.25" hidden="1" spans="8:25">
      <c r="H54" s="38"/>
      <c r="I54" s="38"/>
      <c r="J54" s="38"/>
      <c r="K54" s="130"/>
      <c r="O54" s="127"/>
      <c r="P54" s="127"/>
      <c r="Q54" s="38"/>
      <c r="R54" s="38"/>
      <c r="S54" s="38"/>
      <c r="T54" s="38"/>
      <c r="U54" s="38"/>
      <c r="V54" s="38"/>
      <c r="W54" s="38"/>
      <c r="X54" s="38"/>
      <c r="Y54" s="38"/>
    </row>
    <row r="55" s="26" customFormat="1" ht="11.25" hidden="1" spans="2:25">
      <c r="B55" s="1412" t="s">
        <v>145</v>
      </c>
      <c r="C55" s="1414" t="s">
        <v>153</v>
      </c>
      <c r="D55" s="72" t="s">
        <v>154</v>
      </c>
      <c r="E55" s="72" t="s">
        <v>155</v>
      </c>
      <c r="F55" s="72" t="s">
        <v>156</v>
      </c>
      <c r="G55" s="72" t="s">
        <v>157</v>
      </c>
      <c r="H55" s="38"/>
      <c r="I55" s="38"/>
      <c r="J55" s="38"/>
      <c r="K55" s="130"/>
      <c r="O55" s="127"/>
      <c r="P55" s="127"/>
      <c r="Q55" s="38"/>
      <c r="R55" s="38"/>
      <c r="S55" s="38"/>
      <c r="T55" s="38"/>
      <c r="U55" s="38"/>
      <c r="V55" s="38"/>
      <c r="W55" s="38"/>
      <c r="X55" s="38"/>
      <c r="Y55" s="38"/>
    </row>
    <row r="56" s="26" customFormat="1" ht="11.25" hidden="1" spans="2:25">
      <c r="B56" s="217" t="s">
        <v>158</v>
      </c>
      <c r="C56" s="217" t="s">
        <v>159</v>
      </c>
      <c r="D56" s="1437">
        <v>26000</v>
      </c>
      <c r="E56" s="1437">
        <v>30000</v>
      </c>
      <c r="F56" s="1437">
        <v>28000</v>
      </c>
      <c r="G56" s="1437">
        <v>32000</v>
      </c>
      <c r="H56" s="38"/>
      <c r="I56" s="38"/>
      <c r="J56" s="38"/>
      <c r="K56" s="130"/>
      <c r="O56" s="127"/>
      <c r="P56" s="127"/>
      <c r="Q56" s="38"/>
      <c r="R56" s="38"/>
      <c r="S56" s="38"/>
      <c r="T56" s="38"/>
      <c r="U56" s="38"/>
      <c r="V56" s="38"/>
      <c r="W56" s="38"/>
      <c r="X56" s="38"/>
      <c r="Y56" s="38"/>
    </row>
    <row r="57" s="26" customFormat="1" ht="11.25" hidden="1" spans="2:25">
      <c r="B57" s="217" t="s">
        <v>158</v>
      </c>
      <c r="C57" s="217"/>
      <c r="D57" s="1437">
        <v>23000</v>
      </c>
      <c r="E57" s="1437">
        <v>24000</v>
      </c>
      <c r="F57" s="1437">
        <v>25000</v>
      </c>
      <c r="G57" s="1437">
        <v>27000</v>
      </c>
      <c r="H57" s="38"/>
      <c r="I57" s="38"/>
      <c r="J57" s="38"/>
      <c r="K57" s="130"/>
      <c r="O57" s="127"/>
      <c r="P57" s="127"/>
      <c r="Q57" s="38"/>
      <c r="R57" s="38"/>
      <c r="S57" s="38"/>
      <c r="T57" s="38"/>
      <c r="U57" s="38"/>
      <c r="V57" s="38"/>
      <c r="W57" s="38"/>
      <c r="X57" s="38"/>
      <c r="Y57" s="38"/>
    </row>
    <row r="58" s="26" customFormat="1" ht="11.25" hidden="1" spans="2:25">
      <c r="B58" s="217" t="s">
        <v>160</v>
      </c>
      <c r="C58" s="217" t="s">
        <v>159</v>
      </c>
      <c r="D58" s="1437">
        <v>25000</v>
      </c>
      <c r="E58" s="1437">
        <v>30000</v>
      </c>
      <c r="F58" s="1437">
        <v>29000</v>
      </c>
      <c r="G58" s="1437">
        <v>32000</v>
      </c>
      <c r="H58" s="38"/>
      <c r="I58" s="38"/>
      <c r="J58" s="38"/>
      <c r="K58" s="130"/>
      <c r="O58" s="127"/>
      <c r="P58" s="127"/>
      <c r="Q58" s="38"/>
      <c r="R58" s="38"/>
      <c r="S58" s="38"/>
      <c r="T58" s="38"/>
      <c r="U58" s="38"/>
      <c r="V58" s="38"/>
      <c r="W58" s="38"/>
      <c r="X58" s="38"/>
      <c r="Y58" s="38"/>
    </row>
    <row r="59" s="26" customFormat="1" ht="11.25" hidden="1" spans="2:25">
      <c r="B59" s="217" t="s">
        <v>160</v>
      </c>
      <c r="C59" s="217"/>
      <c r="D59" s="1437">
        <v>15000</v>
      </c>
      <c r="E59" s="1437">
        <v>20000</v>
      </c>
      <c r="F59" s="1437">
        <v>20000</v>
      </c>
      <c r="G59" s="1437">
        <v>22000</v>
      </c>
      <c r="H59" s="38"/>
      <c r="I59" s="38"/>
      <c r="J59" s="38"/>
      <c r="K59" s="130"/>
      <c r="O59" s="127"/>
      <c r="P59" s="127"/>
      <c r="Q59" s="38"/>
      <c r="R59" s="38"/>
      <c r="S59" s="38"/>
      <c r="T59" s="38"/>
      <c r="U59" s="38"/>
      <c r="V59" s="38"/>
      <c r="W59" s="38"/>
      <c r="X59" s="38"/>
      <c r="Y59" s="38"/>
    </row>
    <row r="60" s="26" customFormat="1" ht="11.25" hidden="1" spans="8:25">
      <c r="H60" s="38"/>
      <c r="I60" s="38"/>
      <c r="J60" s="38"/>
      <c r="K60" s="130"/>
      <c r="O60" s="127"/>
      <c r="P60" s="127"/>
      <c r="Q60" s="38"/>
      <c r="R60" s="38"/>
      <c r="S60" s="38"/>
      <c r="T60" s="38"/>
      <c r="U60" s="38"/>
      <c r="V60" s="38"/>
      <c r="W60" s="38"/>
      <c r="X60" s="38"/>
      <c r="Y60" s="38"/>
    </row>
    <row r="61" s="26" customFormat="1" ht="11.25" hidden="1" spans="8:25">
      <c r="H61" s="38"/>
      <c r="I61" s="38"/>
      <c r="J61" s="38"/>
      <c r="K61" s="130"/>
      <c r="O61" s="127"/>
      <c r="P61" s="127"/>
      <c r="Q61" s="38"/>
      <c r="R61" s="38"/>
      <c r="S61" s="38"/>
      <c r="T61" s="38"/>
      <c r="U61" s="38"/>
      <c r="V61" s="38"/>
      <c r="W61" s="38"/>
      <c r="X61" s="38"/>
      <c r="Y61" s="38"/>
    </row>
    <row r="62" s="26" customFormat="1" hidden="1" customHeight="1" spans="1:25">
      <c r="A62" s="70">
        <v>2.3</v>
      </c>
      <c r="B62" s="71" t="s">
        <v>161</v>
      </c>
      <c r="I62" s="38"/>
      <c r="J62" s="41"/>
      <c r="K62" s="38"/>
      <c r="O62" s="127"/>
      <c r="P62" s="127"/>
      <c r="Q62" s="38"/>
      <c r="R62" s="38"/>
      <c r="S62" s="38"/>
      <c r="T62" s="38"/>
      <c r="U62" s="38"/>
      <c r="V62" s="38"/>
      <c r="W62" s="38"/>
      <c r="X62" s="38"/>
      <c r="Y62" s="38"/>
    </row>
    <row r="63" s="26" customFormat="1" hidden="1" customHeight="1" spans="1:25">
      <c r="A63" s="70"/>
      <c r="B63" s="71"/>
      <c r="D63" s="72" t="s">
        <v>162</v>
      </c>
      <c r="E63" s="44" t="s">
        <v>163</v>
      </c>
      <c r="F63" s="44"/>
      <c r="I63" s="38"/>
      <c r="J63" s="41"/>
      <c r="K63" s="38"/>
      <c r="O63" s="127"/>
      <c r="P63" s="127"/>
      <c r="Q63" s="38"/>
      <c r="R63" s="38"/>
      <c r="S63" s="38"/>
      <c r="T63" s="38"/>
      <c r="U63" s="38"/>
      <c r="V63" s="38"/>
      <c r="W63" s="38"/>
      <c r="X63" s="38"/>
      <c r="Y63" s="38"/>
    </row>
    <row r="64" s="26" customFormat="1" hidden="1" customHeight="1" spans="1:25">
      <c r="A64" s="70"/>
      <c r="B64" s="71"/>
      <c r="D64" s="72" t="s">
        <v>103</v>
      </c>
      <c r="E64" s="72" t="s">
        <v>104</v>
      </c>
      <c r="F64" s="72" t="s">
        <v>105</v>
      </c>
      <c r="I64" s="38"/>
      <c r="J64" s="41"/>
      <c r="K64" s="38"/>
      <c r="O64" s="127"/>
      <c r="P64" s="127"/>
      <c r="Q64" s="38"/>
      <c r="R64" s="38"/>
      <c r="S64" s="38"/>
      <c r="T64" s="38"/>
      <c r="U64" s="38"/>
      <c r="V64" s="38"/>
      <c r="W64" s="38"/>
      <c r="X64" s="38"/>
      <c r="Y64" s="38"/>
    </row>
    <row r="65" s="26" customFormat="1" hidden="1" customHeight="1" spans="1:25">
      <c r="A65" s="70"/>
      <c r="B65" s="1431" t="s">
        <v>164</v>
      </c>
      <c r="C65" s="53"/>
      <c r="D65" s="1432">
        <v>8000</v>
      </c>
      <c r="E65" s="1434">
        <v>1.11</v>
      </c>
      <c r="F65" s="1434">
        <v>1.2</v>
      </c>
      <c r="G65" s="59"/>
      <c r="H65" s="59"/>
      <c r="I65" s="38"/>
      <c r="O65" s="127"/>
      <c r="P65" s="127"/>
      <c r="Q65" s="38"/>
      <c r="R65" s="38"/>
      <c r="S65" s="38"/>
      <c r="T65" s="38"/>
      <c r="U65" s="38"/>
      <c r="V65" s="38"/>
      <c r="W65" s="38"/>
      <c r="X65" s="38"/>
      <c r="Y65" s="38"/>
    </row>
    <row r="66" s="26" customFormat="1" hidden="1" customHeight="1" spans="1:25">
      <c r="A66" s="70"/>
      <c r="B66" s="1431" t="s">
        <v>165</v>
      </c>
      <c r="C66" s="53"/>
      <c r="D66" s="1432">
        <v>4000</v>
      </c>
      <c r="E66" s="1434">
        <v>1.11</v>
      </c>
      <c r="F66" s="1434">
        <v>1.2</v>
      </c>
      <c r="G66" s="59"/>
      <c r="H66" s="59"/>
      <c r="I66" s="128"/>
      <c r="O66" s="127"/>
      <c r="P66" s="127"/>
      <c r="Q66" s="38"/>
      <c r="R66" s="38"/>
      <c r="S66" s="38"/>
      <c r="T66" s="38"/>
      <c r="U66" s="38"/>
      <c r="V66" s="38"/>
      <c r="W66" s="38"/>
      <c r="X66" s="38"/>
      <c r="Y66" s="38"/>
    </row>
    <row r="67" s="26" customFormat="1" hidden="1" customHeight="1" spans="1:25">
      <c r="A67" s="70"/>
      <c r="B67" s="1431" t="s">
        <v>166</v>
      </c>
      <c r="C67" s="53"/>
      <c r="D67" s="1432">
        <v>7000</v>
      </c>
      <c r="E67" s="1434">
        <v>1.11</v>
      </c>
      <c r="F67" s="1434">
        <v>1.2</v>
      </c>
      <c r="G67" s="59"/>
      <c r="H67" s="59"/>
      <c r="I67" s="128"/>
      <c r="O67" s="127"/>
      <c r="P67" s="127"/>
      <c r="Q67" s="38"/>
      <c r="R67" s="38"/>
      <c r="S67" s="38"/>
      <c r="T67" s="38"/>
      <c r="U67" s="38"/>
      <c r="V67" s="38"/>
      <c r="W67" s="38"/>
      <c r="X67" s="38"/>
      <c r="Y67" s="38"/>
    </row>
    <row r="68" s="26" customFormat="1" hidden="1" customHeight="1" spans="1:25">
      <c r="A68" s="70"/>
      <c r="B68" s="1431" t="s">
        <v>167</v>
      </c>
      <c r="C68" s="53"/>
      <c r="D68" s="1432">
        <v>7000</v>
      </c>
      <c r="E68" s="1434">
        <v>1.11</v>
      </c>
      <c r="F68" s="1434">
        <v>1.2</v>
      </c>
      <c r="G68" s="59"/>
      <c r="H68" s="59"/>
      <c r="I68" s="181"/>
      <c r="L68" s="38"/>
      <c r="M68" s="38"/>
      <c r="N68" s="38"/>
      <c r="O68" s="38"/>
      <c r="P68" s="127"/>
      <c r="Q68" s="38"/>
      <c r="R68" s="38"/>
      <c r="S68" s="38"/>
      <c r="T68" s="38"/>
      <c r="U68" s="38"/>
      <c r="V68" s="38"/>
      <c r="W68" s="38"/>
      <c r="X68" s="38"/>
      <c r="Y68" s="38"/>
    </row>
    <row r="69" s="26" customFormat="1" hidden="1" customHeight="1" spans="1:25">
      <c r="A69" s="70"/>
      <c r="B69" s="126" t="s">
        <v>168</v>
      </c>
      <c r="C69" s="38"/>
      <c r="D69" s="161">
        <f>D103*D36</f>
        <v>7500</v>
      </c>
      <c r="E69" s="128">
        <f>E103/D103</f>
        <v>1.9</v>
      </c>
      <c r="F69" s="128">
        <f>F103/E103</f>
        <v>0.9</v>
      </c>
      <c r="G69" s="59"/>
      <c r="H69" s="59"/>
      <c r="I69" s="181"/>
      <c r="J69" s="127"/>
      <c r="K69" s="127"/>
      <c r="L69" s="38"/>
      <c r="M69" s="38"/>
      <c r="N69" s="38"/>
      <c r="O69" s="38"/>
      <c r="P69" s="127"/>
      <c r="Q69" s="38"/>
      <c r="R69" s="38"/>
      <c r="S69" s="38"/>
      <c r="T69" s="38"/>
      <c r="U69" s="38"/>
      <c r="V69" s="38"/>
      <c r="W69" s="38"/>
      <c r="X69" s="38"/>
      <c r="Y69" s="38"/>
    </row>
    <row r="70" s="26" customFormat="1" hidden="1" customHeight="1" spans="1:25">
      <c r="A70" s="70"/>
      <c r="G70" s="59"/>
      <c r="H70" s="59"/>
      <c r="I70" s="181"/>
      <c r="J70" s="127"/>
      <c r="K70" s="127"/>
      <c r="L70" s="38"/>
      <c r="M70" s="38"/>
      <c r="N70" s="38"/>
      <c r="O70" s="38"/>
      <c r="P70" s="127"/>
      <c r="Q70" s="38"/>
      <c r="R70" s="38"/>
      <c r="S70" s="38"/>
      <c r="T70" s="38"/>
      <c r="U70" s="38"/>
      <c r="V70" s="38"/>
      <c r="W70" s="38"/>
      <c r="X70" s="38"/>
      <c r="Y70" s="38"/>
    </row>
    <row r="71" s="26" customFormat="1" hidden="1" customHeight="1" spans="1:25">
      <c r="A71" s="70"/>
      <c r="D71" s="60" t="s">
        <v>103</v>
      </c>
      <c r="E71" s="60" t="s">
        <v>104</v>
      </c>
      <c r="F71" s="60" t="s">
        <v>105</v>
      </c>
      <c r="G71" s="59"/>
      <c r="H71" s="59"/>
      <c r="I71" s="181"/>
      <c r="J71" s="127"/>
      <c r="K71" s="127"/>
      <c r="L71" s="38"/>
      <c r="M71" s="38"/>
      <c r="N71" s="38"/>
      <c r="O71" s="38"/>
      <c r="P71" s="127"/>
      <c r="Q71" s="38"/>
      <c r="R71" s="38"/>
      <c r="S71" s="38"/>
      <c r="T71" s="38"/>
      <c r="U71" s="38"/>
      <c r="V71" s="38"/>
      <c r="W71" s="38"/>
      <c r="X71" s="38"/>
      <c r="Y71" s="38"/>
    </row>
    <row r="72" s="26" customFormat="1" hidden="1" customHeight="1" spans="1:25">
      <c r="A72" s="70"/>
      <c r="B72" s="71" t="s">
        <v>142</v>
      </c>
      <c r="C72" s="77"/>
      <c r="D72" s="78">
        <f>SUM(D65:D70)</f>
        <v>33500</v>
      </c>
      <c r="E72" s="78">
        <f>SUMPRODUCT(D65:D70,E65:E70)</f>
        <v>43110</v>
      </c>
      <c r="F72" s="78">
        <f>SUMPRODUCT(E65:E70,F65:F70,D65:D70)</f>
        <v>47457</v>
      </c>
      <c r="G72" s="59"/>
      <c r="H72" s="59"/>
      <c r="I72" s="181"/>
      <c r="J72" s="127"/>
      <c r="K72" s="127"/>
      <c r="L72" s="38"/>
      <c r="M72" s="38"/>
      <c r="N72" s="38"/>
      <c r="O72" s="38"/>
      <c r="P72" s="127"/>
      <c r="Q72" s="38"/>
      <c r="R72" s="38"/>
      <c r="S72" s="38"/>
      <c r="T72" s="38"/>
      <c r="U72" s="38"/>
      <c r="V72" s="38"/>
      <c r="W72" s="38"/>
      <c r="X72" s="38"/>
      <c r="Y72" s="38"/>
    </row>
    <row r="73" s="26" customFormat="1" hidden="1" customHeight="1" spans="1:25">
      <c r="A73" s="70"/>
      <c r="D73" s="162"/>
      <c r="G73" s="59"/>
      <c r="H73" s="59"/>
      <c r="I73" s="181"/>
      <c r="J73" s="127"/>
      <c r="K73" s="127"/>
      <c r="L73" s="38"/>
      <c r="M73" s="38"/>
      <c r="N73" s="38"/>
      <c r="O73" s="38"/>
      <c r="P73" s="127"/>
      <c r="Q73" s="38"/>
      <c r="R73" s="38"/>
      <c r="S73" s="38"/>
      <c r="T73" s="38"/>
      <c r="U73" s="38"/>
      <c r="V73" s="38"/>
      <c r="W73" s="38"/>
      <c r="X73" s="38"/>
      <c r="Y73" s="38"/>
    </row>
    <row r="74" s="26" customFormat="1" hidden="1" customHeight="1" spans="1:25">
      <c r="A74" s="70"/>
      <c r="G74" s="59"/>
      <c r="H74" s="59"/>
      <c r="I74" s="181"/>
      <c r="J74" s="127"/>
      <c r="K74" s="127"/>
      <c r="L74" s="38"/>
      <c r="M74" s="38"/>
      <c r="N74" s="38"/>
      <c r="O74" s="38"/>
      <c r="P74" s="127"/>
      <c r="Q74" s="38"/>
      <c r="R74" s="38"/>
      <c r="S74" s="38"/>
      <c r="T74" s="38"/>
      <c r="U74" s="38"/>
      <c r="V74" s="38"/>
      <c r="W74" s="38"/>
      <c r="X74" s="38"/>
      <c r="Y74" s="38"/>
    </row>
    <row r="75" s="26" customFormat="1" hidden="1" customHeight="1" spans="1:25">
      <c r="A75" s="70">
        <v>2.4</v>
      </c>
      <c r="B75" s="423" t="s">
        <v>169</v>
      </c>
      <c r="C75" s="41"/>
      <c r="D75" s="161"/>
      <c r="E75" s="128"/>
      <c r="F75" s="128"/>
      <c r="G75" s="59"/>
      <c r="H75" s="59"/>
      <c r="I75" s="181"/>
      <c r="J75" s="127"/>
      <c r="K75" s="127"/>
      <c r="L75" s="38"/>
      <c r="M75" s="38"/>
      <c r="N75" s="38"/>
      <c r="O75" s="38"/>
      <c r="P75" s="127"/>
      <c r="Q75" s="38"/>
      <c r="R75" s="38"/>
      <c r="S75" s="38"/>
      <c r="T75" s="38"/>
      <c r="U75" s="38"/>
      <c r="V75" s="38"/>
      <c r="W75" s="38"/>
      <c r="X75" s="38"/>
      <c r="Y75" s="38"/>
    </row>
    <row r="76" s="26" customFormat="1" ht="11.25" hidden="1" spans="4:25">
      <c r="D76" s="72" t="s">
        <v>162</v>
      </c>
      <c r="E76" s="44" t="s">
        <v>163</v>
      </c>
      <c r="F76" s="44"/>
      <c r="G76" s="59"/>
      <c r="H76" s="59"/>
      <c r="I76" s="181"/>
      <c r="J76" s="127"/>
      <c r="K76" s="127"/>
      <c r="L76" s="38"/>
      <c r="M76" s="38"/>
      <c r="N76" s="38"/>
      <c r="O76" s="38"/>
      <c r="P76" s="127"/>
      <c r="Q76" s="38"/>
      <c r="R76" s="38"/>
      <c r="S76" s="38"/>
      <c r="T76" s="38"/>
      <c r="U76" s="38"/>
      <c r="V76" s="38"/>
      <c r="W76" s="38"/>
      <c r="X76" s="38"/>
      <c r="Y76" s="38"/>
    </row>
    <row r="77" s="26" customFormat="1" hidden="1" customHeight="1" spans="1:25">
      <c r="A77" s="70"/>
      <c r="D77" s="72" t="s">
        <v>103</v>
      </c>
      <c r="E77" s="72" t="s">
        <v>104</v>
      </c>
      <c r="F77" s="72" t="s">
        <v>105</v>
      </c>
      <c r="G77" s="59"/>
      <c r="H77" s="59"/>
      <c r="I77" s="181"/>
      <c r="J77" s="127"/>
      <c r="K77" s="127"/>
      <c r="L77" s="38"/>
      <c r="M77" s="38"/>
      <c r="N77" s="38"/>
      <c r="O77" s="38"/>
      <c r="P77" s="127"/>
      <c r="Q77" s="38"/>
      <c r="R77" s="38"/>
      <c r="S77" s="38"/>
      <c r="T77" s="38"/>
      <c r="U77" s="38"/>
      <c r="V77" s="38"/>
      <c r="W77" s="38"/>
      <c r="X77" s="38"/>
      <c r="Y77" s="38"/>
    </row>
    <row r="78" s="26" customFormat="1" hidden="1" customHeight="1" spans="1:25">
      <c r="A78" s="70"/>
      <c r="B78" s="1431" t="s">
        <v>170</v>
      </c>
      <c r="C78" s="53"/>
      <c r="D78" s="1432">
        <v>35000</v>
      </c>
      <c r="E78" s="1434">
        <v>1.11</v>
      </c>
      <c r="F78" s="1434">
        <v>1.2</v>
      </c>
      <c r="J78" s="38"/>
      <c r="K78" s="38"/>
      <c r="L78" s="38"/>
      <c r="M78" s="38"/>
      <c r="N78" s="38"/>
      <c r="O78" s="38"/>
      <c r="P78" s="127"/>
      <c r="Q78" s="38"/>
      <c r="R78" s="38"/>
      <c r="S78" s="38"/>
      <c r="T78" s="38"/>
      <c r="U78" s="38"/>
      <c r="V78" s="38"/>
      <c r="W78" s="38"/>
      <c r="X78" s="38"/>
      <c r="Y78" s="38"/>
    </row>
    <row r="79" s="26" customFormat="1" hidden="1" customHeight="1" spans="1:25">
      <c r="A79" s="70"/>
      <c r="B79" s="1431" t="s">
        <v>171</v>
      </c>
      <c r="C79" s="53"/>
      <c r="D79" s="1432">
        <v>3000</v>
      </c>
      <c r="E79" s="1434">
        <v>1.11</v>
      </c>
      <c r="F79" s="1434">
        <v>1.2</v>
      </c>
      <c r="J79" s="38"/>
      <c r="K79" s="38"/>
      <c r="L79" s="38"/>
      <c r="M79" s="38"/>
      <c r="N79" s="38"/>
      <c r="O79" s="38"/>
      <c r="P79" s="127"/>
      <c r="Q79" s="38"/>
      <c r="R79" s="38"/>
      <c r="S79" s="38"/>
      <c r="T79" s="38"/>
      <c r="U79" s="38"/>
      <c r="V79" s="38"/>
      <c r="W79" s="38"/>
      <c r="X79" s="38"/>
      <c r="Y79" s="38"/>
    </row>
    <row r="80" s="26" customFormat="1" hidden="1" customHeight="1" spans="1:25">
      <c r="A80" s="70"/>
      <c r="B80" s="126"/>
      <c r="C80" s="38"/>
      <c r="D80" s="161"/>
      <c r="E80" s="128"/>
      <c r="F80" s="128"/>
      <c r="J80" s="38"/>
      <c r="K80" s="38"/>
      <c r="L80" s="38"/>
      <c r="M80" s="38"/>
      <c r="N80" s="38"/>
      <c r="O80" s="38"/>
      <c r="P80" s="127"/>
      <c r="Q80" s="38"/>
      <c r="R80" s="38"/>
      <c r="S80" s="38"/>
      <c r="T80" s="38"/>
      <c r="U80" s="38"/>
      <c r="V80" s="38"/>
      <c r="W80" s="38"/>
      <c r="X80" s="38"/>
      <c r="Y80" s="38"/>
    </row>
    <row r="81" s="26" customFormat="1" hidden="1" customHeight="1" spans="1:25">
      <c r="A81" s="70"/>
      <c r="B81" s="71" t="s">
        <v>142</v>
      </c>
      <c r="C81" s="77"/>
      <c r="D81" s="78">
        <f>SUM(D78:D80)</f>
        <v>38000</v>
      </c>
      <c r="E81" s="78">
        <f>SUMPRODUCT(D78:D80,E78:E80)</f>
        <v>42180</v>
      </c>
      <c r="F81" s="78">
        <f>SUMPRODUCT(D78:D80,E78:E80,F78:F80)</f>
        <v>50616</v>
      </c>
      <c r="J81" s="38"/>
      <c r="K81" s="38"/>
      <c r="L81" s="38"/>
      <c r="M81" s="38"/>
      <c r="N81" s="38"/>
      <c r="O81" s="38"/>
      <c r="P81" s="127"/>
      <c r="Q81" s="38"/>
      <c r="R81" s="38"/>
      <c r="S81" s="38"/>
      <c r="T81" s="38"/>
      <c r="U81" s="38"/>
      <c r="V81" s="38"/>
      <c r="W81" s="38"/>
      <c r="X81" s="38"/>
      <c r="Y81" s="38"/>
    </row>
    <row r="82" s="26" customFormat="1" hidden="1" customHeight="1" spans="1:25">
      <c r="A82" s="70"/>
      <c r="B82" s="126"/>
      <c r="C82" s="38"/>
      <c r="D82" s="161"/>
      <c r="E82" s="128"/>
      <c r="F82" s="128"/>
      <c r="J82" s="38"/>
      <c r="K82" s="38"/>
      <c r="L82" s="38"/>
      <c r="M82" s="38"/>
      <c r="N82" s="38"/>
      <c r="O82" s="38"/>
      <c r="P82" s="127"/>
      <c r="Q82" s="38"/>
      <c r="R82" s="38"/>
      <c r="S82" s="38"/>
      <c r="T82" s="38"/>
      <c r="U82" s="38"/>
      <c r="V82" s="38"/>
      <c r="W82" s="38"/>
      <c r="X82" s="38"/>
      <c r="Y82" s="38"/>
    </row>
    <row r="83" s="26" customFormat="1" hidden="1" customHeight="1" spans="1:25">
      <c r="A83" s="70"/>
      <c r="B83" s="126"/>
      <c r="C83" s="38"/>
      <c r="D83" s="161"/>
      <c r="E83" s="128"/>
      <c r="F83" s="128"/>
      <c r="J83" s="38"/>
      <c r="K83" s="38"/>
      <c r="L83" s="38"/>
      <c r="M83" s="38"/>
      <c r="N83" s="38"/>
      <c r="O83" s="38"/>
      <c r="P83" s="127"/>
      <c r="Q83" s="38"/>
      <c r="R83" s="38"/>
      <c r="S83" s="38"/>
      <c r="T83" s="38"/>
      <c r="U83" s="38"/>
      <c r="V83" s="38"/>
      <c r="W83" s="38"/>
      <c r="X83" s="38"/>
      <c r="Y83" s="38"/>
    </row>
    <row r="84" s="26" customFormat="1" hidden="1" customHeight="1" spans="1:25">
      <c r="A84" s="70">
        <v>2.5</v>
      </c>
      <c r="B84" s="71" t="s">
        <v>172</v>
      </c>
      <c r="J84" s="38"/>
      <c r="K84" s="182"/>
      <c r="L84" s="38"/>
      <c r="M84" s="38"/>
      <c r="N84" s="38"/>
      <c r="O84" s="38"/>
      <c r="P84" s="127"/>
      <c r="Q84" s="38"/>
      <c r="R84" s="38"/>
      <c r="S84" s="38"/>
      <c r="T84" s="38"/>
      <c r="U84" s="38"/>
      <c r="V84" s="38"/>
      <c r="W84" s="38"/>
      <c r="X84" s="38"/>
      <c r="Y84" s="38"/>
    </row>
    <row r="85" s="26" customFormat="1" hidden="1" customHeight="1" spans="1:25">
      <c r="A85" s="70"/>
      <c r="F85" s="44" t="s">
        <v>163</v>
      </c>
      <c r="G85" s="44"/>
      <c r="L85" s="38"/>
      <c r="M85" s="38"/>
      <c r="N85" s="38"/>
      <c r="O85" s="38"/>
      <c r="P85" s="127"/>
      <c r="Q85" s="38"/>
      <c r="R85" s="38"/>
      <c r="S85" s="38"/>
      <c r="T85" s="38"/>
      <c r="U85" s="38"/>
      <c r="V85" s="38"/>
      <c r="W85" s="38"/>
      <c r="X85" s="38"/>
      <c r="Y85" s="38"/>
    </row>
    <row r="86" s="26" customFormat="1" hidden="1" customHeight="1" spans="1:25">
      <c r="A86" s="70"/>
      <c r="D86" s="50" t="s">
        <v>162</v>
      </c>
      <c r="E86" s="46" t="s">
        <v>173</v>
      </c>
      <c r="F86" s="50" t="s">
        <v>104</v>
      </c>
      <c r="G86" s="50" t="s">
        <v>105</v>
      </c>
      <c r="H86" s="41"/>
      <c r="I86" s="41"/>
      <c r="L86" s="127"/>
      <c r="O86" s="127"/>
      <c r="P86" s="127"/>
      <c r="Q86" s="38"/>
      <c r="R86" s="38"/>
      <c r="S86" s="38"/>
      <c r="T86" s="38"/>
      <c r="U86" s="38"/>
      <c r="V86" s="38"/>
      <c r="W86" s="38"/>
      <c r="X86" s="38"/>
      <c r="Y86" s="38"/>
    </row>
    <row r="87" s="26" customFormat="1" ht="11.25" hidden="1" spans="2:25">
      <c r="B87" s="1431" t="s">
        <v>174</v>
      </c>
      <c r="C87" s="53"/>
      <c r="D87" s="1432">
        <v>5000</v>
      </c>
      <c r="E87" s="249">
        <v>200</v>
      </c>
      <c r="F87" s="1434">
        <v>1.11</v>
      </c>
      <c r="G87" s="1434">
        <v>1.2</v>
      </c>
      <c r="H87" s="59"/>
      <c r="I87" s="181"/>
      <c r="L87" s="127"/>
      <c r="O87" s="127"/>
      <c r="P87" s="127"/>
      <c r="Q87" s="38"/>
      <c r="R87" s="38"/>
      <c r="S87" s="38"/>
      <c r="T87" s="38"/>
      <c r="U87" s="38"/>
      <c r="V87" s="38"/>
      <c r="W87" s="38"/>
      <c r="X87" s="38"/>
      <c r="Y87" s="38"/>
    </row>
    <row r="88" s="26" customFormat="1" ht="11.25" hidden="1" spans="2:25">
      <c r="B88" s="1435" t="s">
        <v>175</v>
      </c>
      <c r="C88" s="53"/>
      <c r="D88" s="1435"/>
      <c r="E88" s="1435"/>
      <c r="F88" s="1435"/>
      <c r="G88" s="1435"/>
      <c r="J88" s="38"/>
      <c r="K88" s="38"/>
      <c r="L88" s="127"/>
      <c r="O88" s="127"/>
      <c r="P88" s="127"/>
      <c r="Q88" s="38"/>
      <c r="R88" s="38"/>
      <c r="S88" s="38"/>
      <c r="T88" s="38"/>
      <c r="U88" s="38"/>
      <c r="V88" s="38"/>
      <c r="W88" s="38"/>
      <c r="X88" s="38"/>
      <c r="Y88" s="38"/>
    </row>
    <row r="89" s="26" customFormat="1" ht="11.25" hidden="1" spans="2:25">
      <c r="B89" s="38"/>
      <c r="C89" s="38"/>
      <c r="D89" s="38"/>
      <c r="E89" s="38"/>
      <c r="F89" s="38"/>
      <c r="G89" s="38"/>
      <c r="J89" s="38"/>
      <c r="K89" s="38"/>
      <c r="L89" s="127"/>
      <c r="O89" s="127"/>
      <c r="P89" s="127"/>
      <c r="Q89" s="38"/>
      <c r="R89" s="38"/>
      <c r="S89" s="38"/>
      <c r="T89" s="38"/>
      <c r="U89" s="38"/>
      <c r="V89" s="38"/>
      <c r="W89" s="38"/>
      <c r="X89" s="38"/>
      <c r="Y89" s="38"/>
    </row>
    <row r="90" s="26" customFormat="1" hidden="1" customHeight="1" spans="1:25">
      <c r="A90" s="70"/>
      <c r="B90" s="41"/>
      <c r="C90" s="80"/>
      <c r="D90" s="60" t="s">
        <v>103</v>
      </c>
      <c r="E90" s="60" t="s">
        <v>104</v>
      </c>
      <c r="F90" s="60" t="s">
        <v>105</v>
      </c>
      <c r="O90" s="127"/>
      <c r="P90" s="127"/>
      <c r="Q90" s="38"/>
      <c r="R90" s="38"/>
      <c r="S90" s="38"/>
      <c r="T90" s="38"/>
      <c r="U90" s="38"/>
      <c r="V90" s="38"/>
      <c r="W90" s="38"/>
      <c r="X90" s="38"/>
      <c r="Y90" s="38"/>
    </row>
    <row r="91" s="26" customFormat="1" hidden="1" spans="2:25">
      <c r="B91" s="71" t="s">
        <v>142</v>
      </c>
      <c r="C91" s="77"/>
      <c r="D91" s="62">
        <f>SUM(D87:D89)</f>
        <v>5000</v>
      </c>
      <c r="E91" s="62">
        <f>SUMPRODUCT(D87:D89,F87:F89)</f>
        <v>5550</v>
      </c>
      <c r="F91" s="62">
        <f>SUMPRODUCT(D87:D89,G87:G89,F87:F89)</f>
        <v>6660</v>
      </c>
      <c r="I91" s="41"/>
      <c r="J91" s="38"/>
      <c r="K91" s="38"/>
      <c r="L91" s="127"/>
      <c r="O91" s="127"/>
      <c r="P91" s="127"/>
      <c r="Q91" s="38"/>
      <c r="R91" s="38"/>
      <c r="S91" s="38"/>
      <c r="T91" s="38"/>
      <c r="U91" s="38"/>
      <c r="V91" s="38"/>
      <c r="W91" s="38"/>
      <c r="X91" s="38"/>
      <c r="Y91" s="38"/>
    </row>
    <row r="92" s="26" customFormat="1" ht="11.25" hidden="1" spans="9:25">
      <c r="I92" s="41"/>
      <c r="J92" s="38"/>
      <c r="K92" s="38"/>
      <c r="L92" s="127"/>
      <c r="O92" s="127"/>
      <c r="P92" s="127"/>
      <c r="Q92" s="38"/>
      <c r="R92" s="38"/>
      <c r="S92" s="38"/>
      <c r="T92" s="38"/>
      <c r="U92" s="38"/>
      <c r="V92" s="38"/>
      <c r="W92" s="38"/>
      <c r="X92" s="38"/>
      <c r="Y92" s="38"/>
    </row>
    <row r="93" s="26" customFormat="1" ht="11.25" hidden="1" spans="5:25">
      <c r="E93" s="41"/>
      <c r="J93" s="38"/>
      <c r="K93" s="38"/>
      <c r="L93" s="127"/>
      <c r="O93" s="127"/>
      <c r="P93" s="127"/>
      <c r="Q93" s="38"/>
      <c r="R93" s="38"/>
      <c r="S93" s="38"/>
      <c r="T93" s="38"/>
      <c r="U93" s="38"/>
      <c r="V93" s="38"/>
      <c r="W93" s="38"/>
      <c r="X93" s="38"/>
      <c r="Y93" s="38"/>
    </row>
    <row r="94" s="26" customFormat="1" hidden="1" customHeight="1" spans="1:25">
      <c r="A94" s="70">
        <v>2.6</v>
      </c>
      <c r="B94" s="71" t="s">
        <v>77</v>
      </c>
      <c r="J94" s="38"/>
      <c r="K94" s="183"/>
      <c r="L94" s="127"/>
      <c r="O94" s="127"/>
      <c r="P94" s="127"/>
      <c r="Q94" s="38"/>
      <c r="R94" s="38"/>
      <c r="S94" s="38"/>
      <c r="T94" s="38"/>
      <c r="U94" s="38"/>
      <c r="V94" s="38"/>
      <c r="W94" s="38"/>
      <c r="X94" s="38"/>
      <c r="Y94" s="38"/>
    </row>
    <row r="95" s="26" customFormat="1" ht="11.25" hidden="1" spans="2:25">
      <c r="B95" s="168" t="s">
        <v>176</v>
      </c>
      <c r="C95" s="169"/>
      <c r="D95" s="50" t="s">
        <v>177</v>
      </c>
      <c r="E95" s="50" t="s">
        <v>178</v>
      </c>
      <c r="F95" s="50" t="s">
        <v>179</v>
      </c>
      <c r="G95" s="50" t="s">
        <v>180</v>
      </c>
      <c r="H95" s="50" t="s">
        <v>181</v>
      </c>
      <c r="J95" s="127"/>
      <c r="K95" s="127"/>
      <c r="L95" s="127"/>
      <c r="O95" s="127"/>
      <c r="P95" s="127"/>
      <c r="Q95" s="38"/>
      <c r="R95" s="38"/>
      <c r="S95" s="38"/>
      <c r="T95" s="38"/>
      <c r="U95" s="38"/>
      <c r="V95" s="38"/>
      <c r="W95" s="38"/>
      <c r="X95" s="38"/>
      <c r="Y95" s="38"/>
    </row>
    <row r="96" s="26" customFormat="1" ht="11.25" hidden="1" spans="2:25">
      <c r="B96" s="1435" t="s">
        <v>182</v>
      </c>
      <c r="C96" s="53"/>
      <c r="D96" s="1444">
        <v>40000</v>
      </c>
      <c r="E96" s="1445">
        <v>0.1</v>
      </c>
      <c r="F96" s="1435">
        <v>36</v>
      </c>
      <c r="G96" s="1435">
        <v>12</v>
      </c>
      <c r="H96" s="1435" t="s">
        <v>183</v>
      </c>
      <c r="I96" s="59"/>
      <c r="J96" s="127"/>
      <c r="K96" s="127"/>
      <c r="L96" s="127"/>
      <c r="O96" s="127"/>
      <c r="P96" s="127"/>
      <c r="Q96" s="38"/>
      <c r="R96" s="38"/>
      <c r="S96" s="38"/>
      <c r="T96" s="38"/>
      <c r="U96" s="38"/>
      <c r="V96" s="38"/>
      <c r="W96" s="38"/>
      <c r="X96" s="38"/>
      <c r="Y96" s="38"/>
    </row>
    <row r="97" s="26" customFormat="1" ht="11.25" hidden="1" spans="15:25">
      <c r="O97" s="127"/>
      <c r="P97" s="127"/>
      <c r="Q97" s="38"/>
      <c r="R97" s="38"/>
      <c r="S97" s="38"/>
      <c r="T97" s="38"/>
      <c r="U97" s="38"/>
      <c r="V97" s="38"/>
      <c r="W97" s="38"/>
      <c r="X97" s="38"/>
      <c r="Y97" s="38"/>
    </row>
    <row r="98" s="26" customFormat="1" ht="11.25" hidden="1" spans="2:25">
      <c r="B98" s="41"/>
      <c r="C98" s="80"/>
      <c r="D98" s="60" t="s">
        <v>103</v>
      </c>
      <c r="E98" s="60" t="s">
        <v>104</v>
      </c>
      <c r="F98" s="60" t="s">
        <v>105</v>
      </c>
      <c r="G98" s="60" t="s">
        <v>184</v>
      </c>
      <c r="O98" s="127"/>
      <c r="P98" s="127"/>
      <c r="Q98" s="38"/>
      <c r="R98" s="38"/>
      <c r="S98" s="38"/>
      <c r="T98" s="38"/>
      <c r="U98" s="38"/>
      <c r="V98" s="38"/>
      <c r="W98" s="38"/>
      <c r="X98" s="38"/>
      <c r="Y98" s="38"/>
    </row>
    <row r="99" s="26" customFormat="1" hidden="1" spans="2:25">
      <c r="B99" s="71" t="s">
        <v>142</v>
      </c>
      <c r="C99" s="77"/>
      <c r="D99" s="62">
        <f>debtAnnualPaymentsFY1(DebtRange)</f>
        <v>15391.2955807191</v>
      </c>
      <c r="E99" s="62">
        <f>debtAnnualPaymentsFY2(DebtRange)</f>
        <v>15391.2955807191</v>
      </c>
      <c r="F99" s="62">
        <f>debtAnnualPaymentsFY3(DebtRange)</f>
        <v>15391.2955807191</v>
      </c>
      <c r="G99" s="1446">
        <f>SUM(D96:D97)</f>
        <v>40000</v>
      </c>
      <c r="O99" s="127"/>
      <c r="P99" s="127"/>
      <c r="Q99" s="38"/>
      <c r="R99" s="38"/>
      <c r="S99" s="38"/>
      <c r="T99" s="38"/>
      <c r="U99" s="38"/>
      <c r="V99" s="38"/>
      <c r="W99" s="38"/>
      <c r="X99" s="38"/>
      <c r="Y99" s="38"/>
    </row>
    <row r="100" s="26" customFormat="1" ht="11.25" hidden="1" spans="15:25">
      <c r="O100" s="127"/>
      <c r="P100" s="127"/>
      <c r="Q100" s="38"/>
      <c r="R100" s="38"/>
      <c r="S100" s="38"/>
      <c r="T100" s="38"/>
      <c r="U100" s="38"/>
      <c r="V100" s="38"/>
      <c r="W100" s="38"/>
      <c r="X100" s="38"/>
      <c r="Y100" s="38"/>
    </row>
    <row r="101" s="26" customFormat="1" ht="11.25" hidden="1" spans="15:25">
      <c r="O101" s="127"/>
      <c r="P101" s="127"/>
      <c r="Q101" s="38"/>
      <c r="R101" s="38"/>
      <c r="S101" s="38"/>
      <c r="T101" s="38"/>
      <c r="U101" s="38"/>
      <c r="V101" s="38"/>
      <c r="W101" s="38"/>
      <c r="X101" s="38"/>
      <c r="Y101" s="38"/>
    </row>
    <row r="102" s="26" customFormat="1" hidden="1" spans="1:25">
      <c r="A102" s="70">
        <v>2.7</v>
      </c>
      <c r="B102" s="71" t="s">
        <v>168</v>
      </c>
      <c r="D102" s="50" t="s">
        <v>103</v>
      </c>
      <c r="E102" s="46" t="s">
        <v>104</v>
      </c>
      <c r="F102" s="50" t="s">
        <v>105</v>
      </c>
      <c r="I102" s="59"/>
      <c r="J102" s="127"/>
      <c r="K102" s="127"/>
      <c r="L102" s="127"/>
      <c r="O102" s="127"/>
      <c r="P102" s="127"/>
      <c r="Q102" s="38"/>
      <c r="R102" s="38"/>
      <c r="S102" s="38"/>
      <c r="T102" s="38"/>
      <c r="U102" s="38"/>
      <c r="V102" s="38"/>
      <c r="W102" s="38"/>
      <c r="X102" s="38"/>
      <c r="Y102" s="38"/>
    </row>
    <row r="103" s="26" customFormat="1" hidden="1" spans="1:25">
      <c r="A103" s="70"/>
      <c r="B103" s="74" t="s">
        <v>185</v>
      </c>
      <c r="C103" s="74"/>
      <c r="D103" s="1447">
        <v>0.05</v>
      </c>
      <c r="E103" s="1447">
        <v>0.095</v>
      </c>
      <c r="F103" s="1447">
        <v>0.0855</v>
      </c>
      <c r="I103" s="59"/>
      <c r="J103" s="127"/>
      <c r="K103" s="127"/>
      <c r="L103" s="127"/>
      <c r="O103" s="127"/>
      <c r="P103" s="127"/>
      <c r="Q103" s="38"/>
      <c r="R103" s="38"/>
      <c r="S103" s="38"/>
      <c r="T103" s="38"/>
      <c r="U103" s="38"/>
      <c r="V103" s="38"/>
      <c r="W103" s="38"/>
      <c r="X103" s="38"/>
      <c r="Y103" s="38"/>
    </row>
    <row r="104" s="26" customFormat="1" ht="11.25" hidden="1" spans="2:25">
      <c r="B104" s="291" t="s">
        <v>186</v>
      </c>
      <c r="C104" s="291"/>
      <c r="D104" s="39">
        <f>D113*D38*D103</f>
        <v>2625</v>
      </c>
      <c r="E104" s="1206">
        <f>D113*D38*E103</f>
        <v>4987.5</v>
      </c>
      <c r="F104" s="1206">
        <f>D113*D38*F103</f>
        <v>4488.75</v>
      </c>
      <c r="I104" s="59"/>
      <c r="J104" s="127"/>
      <c r="K104" s="127"/>
      <c r="L104" s="127"/>
      <c r="O104" s="127"/>
      <c r="P104" s="127"/>
      <c r="Q104" s="38"/>
      <c r="R104" s="38"/>
      <c r="S104" s="38"/>
      <c r="T104" s="38"/>
      <c r="U104" s="38"/>
      <c r="V104" s="38"/>
      <c r="W104" s="38"/>
      <c r="X104" s="38"/>
      <c r="Y104" s="38"/>
    </row>
    <row r="105" s="26" customFormat="1" ht="11.25" hidden="1" spans="2:25">
      <c r="B105" s="291"/>
      <c r="C105" s="291"/>
      <c r="D105" s="39"/>
      <c r="E105" s="1206"/>
      <c r="F105" s="1206"/>
      <c r="I105" s="59"/>
      <c r="J105" s="127"/>
      <c r="K105" s="127"/>
      <c r="L105" s="127"/>
      <c r="O105" s="127"/>
      <c r="P105" s="127"/>
      <c r="Q105" s="38"/>
      <c r="R105" s="38"/>
      <c r="S105" s="38"/>
      <c r="T105" s="38"/>
      <c r="U105" s="38"/>
      <c r="V105" s="38"/>
      <c r="W105" s="38"/>
      <c r="X105" s="38"/>
      <c r="Y105" s="38"/>
    </row>
    <row r="106" s="26" customFormat="1" hidden="1" spans="1:25">
      <c r="A106" s="70">
        <v>2.8</v>
      </c>
      <c r="B106" s="204" t="s">
        <v>187</v>
      </c>
      <c r="C106" s="291"/>
      <c r="D106" s="39"/>
      <c r="E106" s="1448" t="s">
        <v>188</v>
      </c>
      <c r="F106" s="1206"/>
      <c r="I106" s="59"/>
      <c r="J106" s="127"/>
      <c r="K106" s="127"/>
      <c r="L106" s="127"/>
      <c r="O106" s="127"/>
      <c r="P106" s="127"/>
      <c r="Q106" s="38"/>
      <c r="R106" s="38"/>
      <c r="S106" s="38"/>
      <c r="T106" s="38"/>
      <c r="U106" s="38"/>
      <c r="V106" s="38"/>
      <c r="W106" s="38"/>
      <c r="X106" s="38"/>
      <c r="Y106" s="38"/>
    </row>
    <row r="107" s="26" customFormat="1" ht="11.25" hidden="1" spans="2:25">
      <c r="B107" s="74" t="s">
        <v>189</v>
      </c>
      <c r="C107" s="1449"/>
      <c r="D107" s="1450"/>
      <c r="E107" s="1451">
        <v>0.05</v>
      </c>
      <c r="F107" s="1206"/>
      <c r="I107" s="59"/>
      <c r="J107" s="127"/>
      <c r="K107" s="127"/>
      <c r="L107" s="127"/>
      <c r="O107" s="127"/>
      <c r="P107" s="127"/>
      <c r="Q107" s="38"/>
      <c r="R107" s="38"/>
      <c r="S107" s="38"/>
      <c r="T107" s="38"/>
      <c r="U107" s="38"/>
      <c r="V107" s="38"/>
      <c r="W107" s="38"/>
      <c r="X107" s="38"/>
      <c r="Y107" s="38"/>
    </row>
    <row r="108" s="26" customFormat="1" ht="11.25" hidden="1" spans="2:25">
      <c r="B108" s="74" t="s">
        <v>190</v>
      </c>
      <c r="C108" s="1449"/>
      <c r="D108" s="1450"/>
      <c r="E108" s="1451">
        <v>0.01</v>
      </c>
      <c r="F108" s="1206"/>
      <c r="I108" s="59"/>
      <c r="J108" s="127"/>
      <c r="K108" s="127"/>
      <c r="L108" s="127"/>
      <c r="O108" s="127"/>
      <c r="P108" s="127"/>
      <c r="Q108" s="38"/>
      <c r="R108" s="38"/>
      <c r="S108" s="38"/>
      <c r="T108" s="38"/>
      <c r="U108" s="38"/>
      <c r="V108" s="38"/>
      <c r="W108" s="38"/>
      <c r="X108" s="38"/>
      <c r="Y108" s="38"/>
    </row>
    <row r="109" s="26" customFormat="1" ht="11.25" hidden="1" spans="15:25">
      <c r="O109" s="127"/>
      <c r="P109" s="127"/>
      <c r="Q109" s="38"/>
      <c r="R109" s="38"/>
      <c r="S109" s="38"/>
      <c r="T109" s="38"/>
      <c r="U109" s="38"/>
      <c r="V109" s="38"/>
      <c r="W109" s="38"/>
      <c r="X109" s="38"/>
      <c r="Y109" s="38"/>
    </row>
    <row r="110" s="26" customFormat="1" ht="15.75" hidden="1" spans="1:25">
      <c r="A110" s="1427">
        <v>3</v>
      </c>
      <c r="B110" s="1452" t="s">
        <v>191</v>
      </c>
      <c r="C110" s="1427"/>
      <c r="O110" s="127"/>
      <c r="P110" s="127"/>
      <c r="Q110" s="38"/>
      <c r="R110" s="38"/>
      <c r="S110" s="38"/>
      <c r="T110" s="38"/>
      <c r="U110" s="38"/>
      <c r="V110" s="38"/>
      <c r="W110" s="38"/>
      <c r="X110" s="38"/>
      <c r="Y110" s="38"/>
    </row>
    <row r="111" s="26" customFormat="1" hidden="1" spans="1:25">
      <c r="A111" s="70">
        <v>3.1</v>
      </c>
      <c r="B111" s="71" t="s">
        <v>192</v>
      </c>
      <c r="O111" s="127"/>
      <c r="P111" s="127"/>
      <c r="Q111" s="38"/>
      <c r="R111" s="38"/>
      <c r="S111" s="38"/>
      <c r="T111" s="38"/>
      <c r="U111" s="38"/>
      <c r="V111" s="38"/>
      <c r="W111" s="38"/>
      <c r="X111" s="38"/>
      <c r="Y111" s="38"/>
    </row>
    <row r="112" s="26" customFormat="1" ht="11.25" hidden="1" spans="2:25">
      <c r="B112" s="46" t="s">
        <v>193</v>
      </c>
      <c r="C112" s="180"/>
      <c r="D112" s="180" t="s">
        <v>188</v>
      </c>
      <c r="O112" s="127"/>
      <c r="P112" s="127"/>
      <c r="Q112" s="38"/>
      <c r="R112" s="38"/>
      <c r="S112" s="38"/>
      <c r="T112" s="38"/>
      <c r="U112" s="38"/>
      <c r="V112" s="38"/>
      <c r="W112" s="38"/>
      <c r="X112" s="38"/>
      <c r="Y112" s="38"/>
    </row>
    <row r="113" s="26" customFormat="1" ht="11.25" hidden="1" spans="2:25">
      <c r="B113" s="74" t="s">
        <v>194</v>
      </c>
      <c r="C113" s="74"/>
      <c r="D113" s="1453">
        <v>0.35</v>
      </c>
      <c r="O113" s="127"/>
      <c r="P113" s="127"/>
      <c r="Q113" s="38"/>
      <c r="R113" s="38"/>
      <c r="S113" s="38"/>
      <c r="T113" s="38"/>
      <c r="U113" s="38"/>
      <c r="V113" s="38"/>
      <c r="W113" s="38"/>
      <c r="X113" s="38"/>
      <c r="Y113" s="38"/>
    </row>
    <row r="114" s="26" customFormat="1" hidden="1" customHeight="1" spans="1:25">
      <c r="A114" s="70"/>
      <c r="B114" s="41"/>
      <c r="C114" s="80"/>
      <c r="O114" s="127"/>
      <c r="P114" s="127"/>
      <c r="Q114" s="38"/>
      <c r="R114" s="38"/>
      <c r="S114" s="38"/>
      <c r="T114" s="38"/>
      <c r="U114" s="38"/>
      <c r="V114" s="38"/>
      <c r="W114" s="38"/>
      <c r="X114" s="38"/>
      <c r="Y114" s="38"/>
    </row>
    <row r="115" s="26" customFormat="1" hidden="1" customHeight="1" spans="1:25">
      <c r="A115" s="70"/>
      <c r="B115" s="41"/>
      <c r="C115" s="80"/>
      <c r="O115" s="127"/>
      <c r="P115" s="127"/>
      <c r="Q115" s="38"/>
      <c r="R115" s="38"/>
      <c r="S115" s="38"/>
      <c r="T115" s="38"/>
      <c r="U115" s="38"/>
      <c r="V115" s="38"/>
      <c r="W115" s="38"/>
      <c r="X115" s="38"/>
      <c r="Y115" s="38"/>
    </row>
    <row r="116" s="26" customFormat="1" hidden="1" customHeight="1" spans="1:25">
      <c r="A116" s="70">
        <v>3.2</v>
      </c>
      <c r="B116" s="1454" t="s">
        <v>195</v>
      </c>
      <c r="C116" s="80"/>
      <c r="O116" s="127"/>
      <c r="P116" s="127"/>
      <c r="Q116" s="38"/>
      <c r="R116" s="38"/>
      <c r="S116" s="38"/>
      <c r="T116" s="38"/>
      <c r="U116" s="38"/>
      <c r="V116" s="38"/>
      <c r="W116" s="38"/>
      <c r="X116" s="38"/>
      <c r="Y116" s="38"/>
    </row>
    <row r="117" s="26" customFormat="1" ht="11.25" hidden="1" spans="2:25">
      <c r="B117" s="46" t="s">
        <v>196</v>
      </c>
      <c r="C117" s="180"/>
      <c r="D117" s="186" t="s">
        <v>197</v>
      </c>
      <c r="O117" s="127"/>
      <c r="P117" s="127"/>
      <c r="Q117" s="38"/>
      <c r="R117" s="38"/>
      <c r="S117" s="38"/>
      <c r="T117" s="38"/>
      <c r="U117" s="38"/>
      <c r="V117" s="38"/>
      <c r="W117" s="38"/>
      <c r="X117" s="38"/>
      <c r="Y117" s="38"/>
    </row>
    <row r="118" s="26" customFormat="1" ht="11.25" hidden="1" spans="2:25">
      <c r="B118" s="1435" t="s">
        <v>198</v>
      </c>
      <c r="C118" s="1455"/>
      <c r="D118" s="1435"/>
      <c r="O118" s="127"/>
      <c r="P118" s="127"/>
      <c r="Q118" s="38"/>
      <c r="R118" s="38"/>
      <c r="S118" s="38"/>
      <c r="T118" s="38"/>
      <c r="U118" s="38"/>
      <c r="V118" s="38"/>
      <c r="W118" s="38"/>
      <c r="X118" s="38"/>
      <c r="Y118" s="38"/>
    </row>
    <row r="119" s="26" customFormat="1" ht="11.25" hidden="1" spans="15:25">
      <c r="O119" s="127"/>
      <c r="P119" s="127"/>
      <c r="Q119" s="38"/>
      <c r="R119" s="38"/>
      <c r="S119" s="38"/>
      <c r="T119" s="38"/>
      <c r="U119" s="38"/>
      <c r="V119" s="38"/>
      <c r="W119" s="38"/>
      <c r="X119" s="38"/>
      <c r="Y119" s="38"/>
    </row>
    <row r="120" s="26" customFormat="1" hidden="1" spans="2:25">
      <c r="B120" s="71" t="s">
        <v>142</v>
      </c>
      <c r="D120" s="26" t="str">
        <f>IF(SUM(D118:D119)=0,"",SUM(D118:D119))</f>
        <v/>
      </c>
      <c r="O120" s="127"/>
      <c r="P120" s="127"/>
      <c r="Q120" s="38"/>
      <c r="R120" s="38"/>
      <c r="S120" s="38"/>
      <c r="T120" s="38"/>
      <c r="U120" s="38"/>
      <c r="V120" s="38"/>
      <c r="W120" s="38"/>
      <c r="X120" s="38"/>
      <c r="Y120" s="38"/>
    </row>
    <row r="121" s="26" customFormat="1" ht="11.25" hidden="1" spans="15:25">
      <c r="O121" s="127"/>
      <c r="P121" s="127"/>
      <c r="Q121" s="38"/>
      <c r="R121" s="38"/>
      <c r="S121" s="38"/>
      <c r="T121" s="38"/>
      <c r="U121" s="38"/>
      <c r="V121" s="38"/>
      <c r="W121" s="38"/>
      <c r="X121" s="38"/>
      <c r="Y121" s="38"/>
    </row>
    <row r="122" s="26" customFormat="1" ht="11.25" hidden="1" spans="15:25">
      <c r="O122" s="127"/>
      <c r="P122" s="127"/>
      <c r="Q122" s="38"/>
      <c r="R122" s="38"/>
      <c r="S122" s="38"/>
      <c r="T122" s="38"/>
      <c r="U122" s="38"/>
      <c r="V122" s="38"/>
      <c r="W122" s="38"/>
      <c r="X122" s="38"/>
      <c r="Y122" s="38"/>
    </row>
    <row r="123" ht="15.75" hidden="1" spans="1:69">
      <c r="A123" s="1427">
        <v>4</v>
      </c>
      <c r="B123" s="1407" t="s">
        <v>199</v>
      </c>
      <c r="C123" s="1456"/>
      <c r="D123" s="1409"/>
      <c r="K123" s="140"/>
      <c r="N123" s="25"/>
      <c r="O123" s="88"/>
      <c r="P123" s="88"/>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row>
    <row r="124" s="26" customFormat="1" ht="13.5" hidden="1" spans="1:25">
      <c r="A124" s="70" t="s">
        <v>200</v>
      </c>
      <c r="B124" s="71" t="s">
        <v>201</v>
      </c>
      <c r="C124" s="208"/>
      <c r="D124" s="71"/>
      <c r="K124" s="38"/>
      <c r="L124" s="38"/>
      <c r="M124" s="38"/>
      <c r="O124" s="127"/>
      <c r="P124" s="127"/>
      <c r="Q124" s="38"/>
      <c r="R124" s="38"/>
      <c r="S124" s="38"/>
      <c r="T124" s="38"/>
      <c r="U124" s="38"/>
      <c r="V124" s="38"/>
      <c r="W124" s="38"/>
      <c r="X124" s="38"/>
      <c r="Y124" s="38"/>
    </row>
    <row r="125" s="26" customFormat="1" hidden="1" spans="1:25">
      <c r="A125" s="70"/>
      <c r="B125" s="71"/>
      <c r="C125" s="208"/>
      <c r="D125" s="209"/>
      <c r="E125" s="168" t="s">
        <v>202</v>
      </c>
      <c r="F125" s="210"/>
      <c r="G125" s="169"/>
      <c r="H125" s="50"/>
      <c r="M125" s="270"/>
      <c r="N125" s="270"/>
      <c r="O125" s="270"/>
      <c r="P125" s="127"/>
      <c r="Q125" s="38"/>
      <c r="R125" s="38"/>
      <c r="S125" s="38"/>
      <c r="T125" s="38"/>
      <c r="U125" s="38"/>
      <c r="V125" s="38"/>
      <c r="W125" s="38"/>
      <c r="X125" s="38"/>
      <c r="Y125" s="38"/>
    </row>
    <row r="126" s="127" customFormat="1" hidden="1" spans="1:70">
      <c r="A126" s="154"/>
      <c r="B126" s="229"/>
      <c r="C126" s="229"/>
      <c r="D126" s="429"/>
      <c r="E126" s="213" t="s">
        <v>203</v>
      </c>
      <c r="F126" s="214" t="s">
        <v>204</v>
      </c>
      <c r="G126" s="215" t="s">
        <v>205</v>
      </c>
      <c r="H126" s="430" t="s">
        <v>206</v>
      </c>
      <c r="I126" s="214" t="s">
        <v>207</v>
      </c>
      <c r="J126" s="214" t="s">
        <v>208</v>
      </c>
      <c r="K126" s="214" t="s">
        <v>209</v>
      </c>
      <c r="L126" s="214" t="s">
        <v>210</v>
      </c>
      <c r="M126" s="214" t="s">
        <v>211</v>
      </c>
      <c r="N126" s="214" t="s">
        <v>212</v>
      </c>
      <c r="O126" s="83"/>
      <c r="P126" s="83"/>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row>
    <row r="127" s="127" customFormat="1" hidden="1" spans="1:70">
      <c r="A127" s="154"/>
      <c r="B127" s="74" t="s">
        <v>213</v>
      </c>
      <c r="C127" s="217" t="s">
        <v>214</v>
      </c>
      <c r="D127" s="218" t="s">
        <v>215</v>
      </c>
      <c r="E127" s="219" t="s">
        <v>216</v>
      </c>
      <c r="F127" s="160" t="s">
        <v>216</v>
      </c>
      <c r="G127" s="220" t="s">
        <v>216</v>
      </c>
      <c r="H127" s="221" t="s">
        <v>216</v>
      </c>
      <c r="I127" s="160" t="s">
        <v>217</v>
      </c>
      <c r="J127" s="160"/>
      <c r="K127" s="160" t="s">
        <v>218</v>
      </c>
      <c r="L127" s="160" t="s">
        <v>218</v>
      </c>
      <c r="M127" s="160" t="s">
        <v>219</v>
      </c>
      <c r="N127" s="160" t="s">
        <v>219</v>
      </c>
      <c r="O127" s="83"/>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row>
    <row r="128" s="127" customFormat="1" hidden="1" spans="1:70">
      <c r="A128" s="154"/>
      <c r="B128" s="1431" t="s">
        <v>220</v>
      </c>
      <c r="C128" s="83" t="s">
        <v>221</v>
      </c>
      <c r="D128" s="1457" t="s">
        <v>222</v>
      </c>
      <c r="E128" s="1458">
        <v>0.56</v>
      </c>
      <c r="F128" s="1458">
        <v>0.3</v>
      </c>
      <c r="G128" s="1458">
        <v>0.3</v>
      </c>
      <c r="H128" s="1459">
        <v>4</v>
      </c>
      <c r="I128" s="249">
        <v>1</v>
      </c>
      <c r="J128" s="249">
        <v>0.8</v>
      </c>
      <c r="K128" s="249">
        <v>1.05</v>
      </c>
      <c r="L128" s="249">
        <v>1.3</v>
      </c>
      <c r="M128" s="249">
        <v>0</v>
      </c>
      <c r="N128" s="249">
        <v>0</v>
      </c>
      <c r="O128" s="83"/>
      <c r="P128" s="272"/>
      <c r="Q128" s="288" t="s">
        <v>223</v>
      </c>
      <c r="R128" s="272"/>
      <c r="S128" s="272"/>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row>
    <row r="129" s="127" customFormat="1" hidden="1" spans="1:70">
      <c r="A129" s="154"/>
      <c r="B129" s="1431" t="s">
        <v>224</v>
      </c>
      <c r="C129" s="83" t="s">
        <v>221</v>
      </c>
      <c r="D129" s="1457" t="s">
        <v>225</v>
      </c>
      <c r="E129" s="1458">
        <v>0.5</v>
      </c>
      <c r="F129" s="1458">
        <v>0.3</v>
      </c>
      <c r="G129" s="1458">
        <v>0.3</v>
      </c>
      <c r="H129" s="1459">
        <v>4</v>
      </c>
      <c r="I129" s="249">
        <v>1</v>
      </c>
      <c r="J129" s="249">
        <f t="shared" ref="J129:J135" si="0">cutoff</f>
        <v>0.8</v>
      </c>
      <c r="K129" s="249">
        <v>1.05</v>
      </c>
      <c r="L129" s="249">
        <v>1.3</v>
      </c>
      <c r="M129" s="249">
        <v>0</v>
      </c>
      <c r="N129" s="249">
        <v>0</v>
      </c>
      <c r="O129" s="83"/>
      <c r="P129" s="273" t="s">
        <v>226</v>
      </c>
      <c r="Q129" s="272" t="s">
        <v>227</v>
      </c>
      <c r="R129" s="272"/>
      <c r="S129" s="272"/>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row>
    <row r="130" s="127" customFormat="1" hidden="1" spans="1:70">
      <c r="A130" s="154"/>
      <c r="B130" s="1431" t="s">
        <v>228</v>
      </c>
      <c r="C130" s="83" t="s">
        <v>221</v>
      </c>
      <c r="D130" s="1457" t="s">
        <v>229</v>
      </c>
      <c r="E130" s="1458">
        <v>0.5</v>
      </c>
      <c r="F130" s="1458">
        <v>0.3</v>
      </c>
      <c r="G130" s="1458">
        <v>0.3</v>
      </c>
      <c r="H130" s="1459">
        <v>3.5</v>
      </c>
      <c r="I130" s="249">
        <v>1</v>
      </c>
      <c r="J130" s="249">
        <f t="shared" si="0"/>
        <v>0.8</v>
      </c>
      <c r="K130" s="249">
        <v>1.05</v>
      </c>
      <c r="L130" s="249">
        <v>1.3</v>
      </c>
      <c r="M130" s="249">
        <v>0</v>
      </c>
      <c r="N130" s="249">
        <v>0</v>
      </c>
      <c r="O130" s="38"/>
      <c r="P130" s="274" t="s">
        <v>230</v>
      </c>
      <c r="Q130" s="289" t="s">
        <v>231</v>
      </c>
      <c r="R130" s="289"/>
      <c r="S130" s="272"/>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row>
    <row r="131" s="127" customFormat="1" hidden="1" spans="1:70">
      <c r="A131" s="154"/>
      <c r="B131" s="1431" t="s">
        <v>232</v>
      </c>
      <c r="C131" s="83" t="s">
        <v>221</v>
      </c>
      <c r="D131" s="1457" t="s">
        <v>233</v>
      </c>
      <c r="E131" s="1458">
        <v>0.5</v>
      </c>
      <c r="F131" s="1458">
        <v>0.3</v>
      </c>
      <c r="G131" s="1458">
        <v>0.3</v>
      </c>
      <c r="H131" s="1459">
        <v>3.5</v>
      </c>
      <c r="I131" s="249">
        <v>1</v>
      </c>
      <c r="J131" s="249">
        <f t="shared" si="0"/>
        <v>0.8</v>
      </c>
      <c r="K131" s="249">
        <v>1.05</v>
      </c>
      <c r="L131" s="249">
        <v>1.3</v>
      </c>
      <c r="M131" s="249">
        <v>0</v>
      </c>
      <c r="N131" s="249">
        <v>0</v>
      </c>
      <c r="O131" s="38"/>
      <c r="P131" s="274" t="s">
        <v>234</v>
      </c>
      <c r="Q131" s="290" t="s">
        <v>235</v>
      </c>
      <c r="R131" s="290"/>
      <c r="S131" s="272"/>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row>
    <row r="132" s="127" customFormat="1" hidden="1" spans="1:70">
      <c r="A132" s="154"/>
      <c r="B132" s="1431" t="s">
        <v>236</v>
      </c>
      <c r="C132" s="83" t="s">
        <v>221</v>
      </c>
      <c r="D132" s="1457" t="s">
        <v>237</v>
      </c>
      <c r="E132" s="1458">
        <v>0.5</v>
      </c>
      <c r="F132" s="1458">
        <v>0.3</v>
      </c>
      <c r="G132" s="1458">
        <v>0.3</v>
      </c>
      <c r="H132" s="1459">
        <v>3.5</v>
      </c>
      <c r="I132" s="249">
        <v>1</v>
      </c>
      <c r="J132" s="249">
        <f t="shared" si="0"/>
        <v>0.8</v>
      </c>
      <c r="K132" s="249">
        <v>1.05</v>
      </c>
      <c r="L132" s="249">
        <v>1.3</v>
      </c>
      <c r="M132" s="249">
        <v>0</v>
      </c>
      <c r="N132" s="249">
        <v>0</v>
      </c>
      <c r="O132" s="38"/>
      <c r="P132" s="274"/>
      <c r="Q132" s="290"/>
      <c r="R132" s="290"/>
      <c r="S132" s="272"/>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row>
    <row r="133" s="127" customFormat="1" hidden="1" spans="1:70">
      <c r="A133" s="154"/>
      <c r="B133" s="1431" t="s">
        <v>238</v>
      </c>
      <c r="C133" s="83" t="s">
        <v>221</v>
      </c>
      <c r="D133" s="1457" t="s">
        <v>239</v>
      </c>
      <c r="E133" s="1458">
        <v>0.5</v>
      </c>
      <c r="F133" s="1458">
        <v>0.3</v>
      </c>
      <c r="G133" s="1458">
        <v>0.3</v>
      </c>
      <c r="H133" s="1459">
        <v>3.5</v>
      </c>
      <c r="I133" s="249">
        <v>1</v>
      </c>
      <c r="J133" s="249">
        <f t="shared" si="0"/>
        <v>0.8</v>
      </c>
      <c r="K133" s="249">
        <v>1.05</v>
      </c>
      <c r="L133" s="249">
        <v>1.3</v>
      </c>
      <c r="M133" s="249">
        <v>0</v>
      </c>
      <c r="N133" s="249">
        <v>0</v>
      </c>
      <c r="O133" s="38"/>
      <c r="P133" s="274"/>
      <c r="Q133" s="290"/>
      <c r="R133" s="290"/>
      <c r="S133" s="272"/>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row>
    <row r="134" s="127" customFormat="1" hidden="1" spans="1:70">
      <c r="A134" s="154"/>
      <c r="B134" s="1431" t="s">
        <v>240</v>
      </c>
      <c r="C134" s="83" t="s">
        <v>241</v>
      </c>
      <c r="D134" s="1457" t="s">
        <v>222</v>
      </c>
      <c r="E134" s="1458">
        <v>0.56</v>
      </c>
      <c r="F134" s="1458">
        <v>0.24</v>
      </c>
      <c r="G134" s="1458">
        <v>0.26</v>
      </c>
      <c r="H134" s="1459">
        <v>1.25</v>
      </c>
      <c r="I134" s="249">
        <v>124</v>
      </c>
      <c r="J134" s="249">
        <f t="shared" si="0"/>
        <v>0.8</v>
      </c>
      <c r="K134" s="249">
        <v>130.8</v>
      </c>
      <c r="L134" s="249">
        <v>160.5</v>
      </c>
      <c r="M134" s="249" t="s">
        <v>242</v>
      </c>
      <c r="N134" s="249">
        <v>16</v>
      </c>
      <c r="O134" s="224"/>
      <c r="P134" s="274"/>
      <c r="Q134" s="290"/>
      <c r="R134" s="290"/>
      <c r="S134" s="272"/>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row>
    <row r="135" s="127" customFormat="1" hidden="1" spans="1:70">
      <c r="A135" s="154"/>
      <c r="B135" s="1431" t="s">
        <v>243</v>
      </c>
      <c r="C135" s="83" t="s">
        <v>241</v>
      </c>
      <c r="D135" s="1457" t="s">
        <v>225</v>
      </c>
      <c r="E135" s="1458">
        <v>0.56</v>
      </c>
      <c r="F135" s="1458">
        <v>0.24</v>
      </c>
      <c r="G135" s="1458">
        <v>0.26</v>
      </c>
      <c r="H135" s="1459">
        <v>1.28</v>
      </c>
      <c r="I135" s="249">
        <v>124</v>
      </c>
      <c r="J135" s="249">
        <f t="shared" si="0"/>
        <v>0.8</v>
      </c>
      <c r="K135" s="249">
        <v>130.8</v>
      </c>
      <c r="L135" s="249">
        <v>160.5</v>
      </c>
      <c r="M135" s="249">
        <v>23.3</v>
      </c>
      <c r="N135" s="249">
        <v>16</v>
      </c>
      <c r="O135" s="224"/>
      <c r="P135" s="274"/>
      <c r="Q135" s="290"/>
      <c r="R135" s="290"/>
      <c r="S135" s="272"/>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row>
    <row r="136" s="127" customFormat="1" hidden="1" spans="1:70">
      <c r="A136" s="154"/>
      <c r="B136" s="1431" t="s">
        <v>244</v>
      </c>
      <c r="C136" s="83" t="s">
        <v>221</v>
      </c>
      <c r="D136" s="1457" t="s">
        <v>245</v>
      </c>
      <c r="E136" s="1458">
        <f>AVERAGE(E128:E135)</f>
        <v>0.5225</v>
      </c>
      <c r="F136" s="1458">
        <f>AVERAGE(F128:F135)</f>
        <v>0.285</v>
      </c>
      <c r="G136" s="1458">
        <f>AVERAGE(G128:G135)</f>
        <v>0.29</v>
      </c>
      <c r="H136" s="1459">
        <f>MIN(H128:H135)</f>
        <v>1.25</v>
      </c>
      <c r="I136" s="249">
        <v>1</v>
      </c>
      <c r="J136" s="249">
        <v>1</v>
      </c>
      <c r="K136" s="249">
        <v>1.05</v>
      </c>
      <c r="L136" s="249">
        <v>1.3</v>
      </c>
      <c r="M136" s="249">
        <v>0</v>
      </c>
      <c r="N136" s="249">
        <v>0</v>
      </c>
      <c r="O136" s="224"/>
      <c r="P136" s="274"/>
      <c r="Q136" s="290"/>
      <c r="R136" s="290"/>
      <c r="S136" s="272"/>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row>
    <row r="137" s="127" customFormat="1" hidden="1" spans="1:70">
      <c r="A137" s="154"/>
      <c r="B137" s="38"/>
      <c r="C137" s="126"/>
      <c r="D137" s="83"/>
      <c r="E137" s="83"/>
      <c r="F137" s="83"/>
      <c r="G137" s="83"/>
      <c r="H137" s="83"/>
      <c r="I137" s="83"/>
      <c r="J137" s="83"/>
      <c r="K137" s="83"/>
      <c r="L137" s="83"/>
      <c r="M137" s="83"/>
      <c r="N137" s="83"/>
      <c r="O137" s="83"/>
      <c r="P137" s="274" t="s">
        <v>246</v>
      </c>
      <c r="Q137" s="289" t="s">
        <v>247</v>
      </c>
      <c r="R137" s="290"/>
      <c r="S137" s="272"/>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row>
    <row r="138" s="38" customFormat="1" ht="11.25" hidden="1" spans="1:12">
      <c r="A138" s="251"/>
      <c r="C138" s="83"/>
      <c r="E138" s="126"/>
      <c r="H138" s="128"/>
      <c r="I138" s="128"/>
      <c r="J138" s="159"/>
      <c r="K138" s="83"/>
      <c r="L138" s="83"/>
    </row>
    <row r="139" s="38" customFormat="1" ht="11.25" hidden="1" spans="1:11">
      <c r="A139" s="251"/>
      <c r="C139" s="83"/>
      <c r="E139" s="126"/>
      <c r="H139" s="128"/>
      <c r="I139" s="128"/>
      <c r="J139" s="159"/>
      <c r="K139" s="83"/>
    </row>
    <row r="140" s="38" customFormat="1" ht="15.75" hidden="1" spans="1:16">
      <c r="A140" s="1427">
        <v>5</v>
      </c>
      <c r="B140" s="1452" t="s">
        <v>248</v>
      </c>
      <c r="C140" s="1452"/>
      <c r="D140" s="1452"/>
      <c r="E140" s="1452"/>
      <c r="F140" s="1452"/>
      <c r="G140" s="1452"/>
      <c r="H140" s="128"/>
      <c r="I140" s="128"/>
      <c r="J140" s="159"/>
      <c r="K140" s="83"/>
      <c r="L140" s="83"/>
      <c r="N140" s="278"/>
      <c r="P140" s="278"/>
    </row>
    <row r="141" s="38" customFormat="1" ht="11.25" hidden="1" spans="1:16">
      <c r="A141" s="228"/>
      <c r="C141" s="83"/>
      <c r="D141" s="222"/>
      <c r="E141" s="126"/>
      <c r="H141" s="128"/>
      <c r="I141" s="128"/>
      <c r="J141" s="159"/>
      <c r="K141" s="83"/>
      <c r="L141" s="83"/>
      <c r="N141" s="278"/>
      <c r="P141" s="278"/>
    </row>
    <row r="142" s="38" customFormat="1" ht="11.25" hidden="1" spans="1:16">
      <c r="A142" s="228"/>
      <c r="B142" s="229"/>
      <c r="C142" s="214"/>
      <c r="D142" s="230"/>
      <c r="E142" s="231" t="s">
        <v>103</v>
      </c>
      <c r="F142" s="232"/>
      <c r="G142" s="233"/>
      <c r="H142" s="230"/>
      <c r="I142" s="231" t="s">
        <v>104</v>
      </c>
      <c r="J142" s="232"/>
      <c r="K142" s="233"/>
      <c r="L142" s="230"/>
      <c r="M142" s="231" t="s">
        <v>105</v>
      </c>
      <c r="N142" s="277"/>
      <c r="O142" s="233"/>
      <c r="P142" s="278"/>
    </row>
    <row r="143" s="38" customFormat="1" ht="11.25" hidden="1" spans="1:16">
      <c r="A143" s="228"/>
      <c r="B143" s="229"/>
      <c r="C143" s="234" t="s">
        <v>249</v>
      </c>
      <c r="D143" s="235">
        <f>SUM(D146:D156)</f>
        <v>1</v>
      </c>
      <c r="E143" s="236">
        <f>H24</f>
        <v>100514.7291456</v>
      </c>
      <c r="F143" s="237"/>
      <c r="G143" s="238"/>
      <c r="H143" s="235">
        <f>SUM(H146:H156)</f>
        <v>1</v>
      </c>
      <c r="I143" s="236">
        <f>I24</f>
        <v>106999.5503808</v>
      </c>
      <c r="J143" s="237"/>
      <c r="K143" s="238"/>
      <c r="L143" s="235">
        <f>SUM(L146:L156)</f>
        <v>1</v>
      </c>
      <c r="M143" s="236">
        <f>J24</f>
        <v>110583.2673792</v>
      </c>
      <c r="N143" s="279"/>
      <c r="O143" s="238"/>
      <c r="P143" s="278"/>
    </row>
    <row r="144" s="38" customFormat="1" ht="11.25" hidden="1" spans="1:16">
      <c r="A144" s="228"/>
      <c r="B144" s="229"/>
      <c r="C144" s="237" t="s">
        <v>250</v>
      </c>
      <c r="D144" s="239"/>
      <c r="E144" s="238"/>
      <c r="F144" s="240">
        <f>SUM(F146:F156)</f>
        <v>1</v>
      </c>
      <c r="G144" s="241">
        <f>H27</f>
        <v>163997.7159744</v>
      </c>
      <c r="H144" s="239"/>
      <c r="I144" s="238"/>
      <c r="J144" s="240">
        <f>SUM(J146:J156)</f>
        <v>1</v>
      </c>
      <c r="K144" s="241">
        <f>I27</f>
        <v>174578.2137792</v>
      </c>
      <c r="L144" s="239"/>
      <c r="M144" s="238"/>
      <c r="N144" s="240">
        <f>SUM(N146:N156)</f>
        <v>1</v>
      </c>
      <c r="O144" s="241">
        <f>J27</f>
        <v>196592.4753408</v>
      </c>
      <c r="P144" s="278"/>
    </row>
    <row r="145" s="38" customFormat="1" ht="11.25" hidden="1" spans="1:16">
      <c r="A145" s="228"/>
      <c r="B145" s="74" t="s">
        <v>213</v>
      </c>
      <c r="C145" s="217" t="s">
        <v>214</v>
      </c>
      <c r="D145" s="242"/>
      <c r="E145" s="220"/>
      <c r="F145" s="74"/>
      <c r="G145" s="243"/>
      <c r="H145" s="242"/>
      <c r="I145" s="220"/>
      <c r="J145" s="74"/>
      <c r="K145" s="243"/>
      <c r="L145" s="242"/>
      <c r="M145" s="220"/>
      <c r="N145" s="280"/>
      <c r="O145" s="243"/>
      <c r="P145" s="278"/>
    </row>
    <row r="146" s="38" customFormat="1" ht="11.25" hidden="1" spans="1:16">
      <c r="A146" s="228"/>
      <c r="B146" s="38" t="str">
        <f>B128</f>
        <v>BR01-01</v>
      </c>
      <c r="C146" s="83" t="s">
        <v>221</v>
      </c>
      <c r="D146" s="1460">
        <v>0.23</v>
      </c>
      <c r="E146" s="1461">
        <f>E143*D146</f>
        <v>23118.387703488</v>
      </c>
      <c r="F146" s="126"/>
      <c r="G146" s="1462"/>
      <c r="H146" s="1460">
        <v>0.24</v>
      </c>
      <c r="I146" s="1461">
        <f>$I$143*H146</f>
        <v>25679.892091392</v>
      </c>
      <c r="J146" s="126"/>
      <c r="K146" s="1462"/>
      <c r="L146" s="1460">
        <v>0.23</v>
      </c>
      <c r="M146" s="1461">
        <f>M143*L146</f>
        <v>25434.151497216</v>
      </c>
      <c r="N146" s="278"/>
      <c r="O146" s="1462"/>
      <c r="P146" s="278"/>
    </row>
    <row r="147" s="38" customFormat="1" ht="11.25" hidden="1" spans="1:16">
      <c r="A147" s="228"/>
      <c r="B147" s="38" t="str">
        <f t="shared" ref="B147:B154" si="1">B129</f>
        <v>BR01-02</v>
      </c>
      <c r="C147" s="83" t="s">
        <v>221</v>
      </c>
      <c r="D147" s="1460">
        <v>0.25</v>
      </c>
      <c r="E147" s="1461">
        <f>E143*D147</f>
        <v>25128.6822864</v>
      </c>
      <c r="F147" s="126"/>
      <c r="G147" s="1462"/>
      <c r="H147" s="1460">
        <v>0.23</v>
      </c>
      <c r="I147" s="1461">
        <f>I143*H147</f>
        <v>24609.896587584</v>
      </c>
      <c r="J147" s="126"/>
      <c r="K147" s="1462"/>
      <c r="L147" s="1460">
        <v>0.22</v>
      </c>
      <c r="M147" s="1461">
        <f>M143*L147</f>
        <v>24328.318823424</v>
      </c>
      <c r="N147" s="278"/>
      <c r="O147" s="1462"/>
      <c r="P147" s="278"/>
    </row>
    <row r="148" s="38" customFormat="1" ht="11.25" hidden="1" spans="1:16">
      <c r="A148" s="228"/>
      <c r="B148" s="38" t="str">
        <f t="shared" si="1"/>
        <v>BR01-03</v>
      </c>
      <c r="C148" s="83" t="s">
        <v>221</v>
      </c>
      <c r="D148" s="1460">
        <v>0.14</v>
      </c>
      <c r="E148" s="1461">
        <f>E143*D148</f>
        <v>14072.062080384</v>
      </c>
      <c r="F148" s="126"/>
      <c r="G148" s="1462"/>
      <c r="H148" s="1460">
        <v>0.14</v>
      </c>
      <c r="I148" s="1461">
        <f>I143*H148</f>
        <v>14979.937053312</v>
      </c>
      <c r="J148" s="126"/>
      <c r="K148" s="1462"/>
      <c r="L148" s="1460">
        <v>0.15</v>
      </c>
      <c r="M148" s="1461">
        <f>M143*L148</f>
        <v>16587.49010688</v>
      </c>
      <c r="N148" s="278"/>
      <c r="O148" s="1462"/>
      <c r="P148" s="278"/>
    </row>
    <row r="149" s="38" customFormat="1" ht="11.25" hidden="1" spans="1:16">
      <c r="A149" s="228"/>
      <c r="B149" s="38" t="str">
        <f t="shared" si="1"/>
        <v>BR01-04</v>
      </c>
      <c r="C149" s="83" t="s">
        <v>221</v>
      </c>
      <c r="D149" s="1460">
        <v>0.12</v>
      </c>
      <c r="E149" s="1461">
        <f>E143*D149</f>
        <v>12061.767497472</v>
      </c>
      <c r="F149" s="126"/>
      <c r="G149" s="1462"/>
      <c r="H149" s="1460">
        <v>0.13</v>
      </c>
      <c r="I149" s="1461">
        <f>I143*H149</f>
        <v>13909.941549504</v>
      </c>
      <c r="J149" s="126"/>
      <c r="K149" s="1462"/>
      <c r="L149" s="1460">
        <v>0.13</v>
      </c>
      <c r="M149" s="1461">
        <f>M143*L149</f>
        <v>14375.824759296</v>
      </c>
      <c r="N149" s="278"/>
      <c r="O149" s="1462"/>
      <c r="P149" s="278"/>
    </row>
    <row r="150" s="38" customFormat="1" ht="11.25" hidden="1" spans="1:16">
      <c r="A150" s="228"/>
      <c r="B150" s="38" t="str">
        <f t="shared" si="1"/>
        <v>BR01-05</v>
      </c>
      <c r="C150" s="83" t="s">
        <v>221</v>
      </c>
      <c r="D150" s="1460">
        <v>0.12</v>
      </c>
      <c r="E150" s="1461">
        <f>E143*D150</f>
        <v>12061.767497472</v>
      </c>
      <c r="G150" s="1462"/>
      <c r="H150" s="1460">
        <v>0.13</v>
      </c>
      <c r="I150" s="1461">
        <f>I143*H150</f>
        <v>13909.941549504</v>
      </c>
      <c r="K150" s="1462"/>
      <c r="L150" s="1460">
        <v>0.13</v>
      </c>
      <c r="M150" s="1461">
        <f>M143*L150</f>
        <v>14375.824759296</v>
      </c>
      <c r="N150" s="278"/>
      <c r="O150" s="1462"/>
      <c r="P150" s="278"/>
    </row>
    <row r="151" s="38" customFormat="1" ht="11.25" hidden="1" spans="1:16">
      <c r="A151" s="228"/>
      <c r="B151" s="38" t="str">
        <f t="shared" si="1"/>
        <v>BR01-06</v>
      </c>
      <c r="C151" s="83" t="s">
        <v>221</v>
      </c>
      <c r="D151" s="1463">
        <v>0.14</v>
      </c>
      <c r="E151" s="1461">
        <f>E143*D151</f>
        <v>14072.062080384</v>
      </c>
      <c r="G151" s="1464"/>
      <c r="H151" s="1463">
        <v>0.13</v>
      </c>
      <c r="I151" s="1461">
        <f>I143*H151</f>
        <v>13909.941549504</v>
      </c>
      <c r="K151" s="1464"/>
      <c r="L151" s="1463">
        <v>0.14</v>
      </c>
      <c r="M151" s="1461">
        <f>M143*L151</f>
        <v>15481.657433088</v>
      </c>
      <c r="N151" s="278"/>
      <c r="O151" s="1464"/>
      <c r="P151" s="278"/>
    </row>
    <row r="152" s="38" customFormat="1" ht="11.25" hidden="1" spans="1:16">
      <c r="A152" s="228"/>
      <c r="B152" s="38" t="str">
        <f t="shared" si="1"/>
        <v>BR01-07</v>
      </c>
      <c r="C152" s="83" t="s">
        <v>241</v>
      </c>
      <c r="D152" s="222"/>
      <c r="F152" s="1465">
        <v>0.45</v>
      </c>
      <c r="G152" s="1466">
        <f>G144*F152</f>
        <v>73798.97218848</v>
      </c>
      <c r="H152" s="222"/>
      <c r="J152" s="1465">
        <v>0.48</v>
      </c>
      <c r="K152" s="1480">
        <f>K144*J152</f>
        <v>83797.542614016</v>
      </c>
      <c r="L152" s="222"/>
      <c r="N152" s="282">
        <v>0.5</v>
      </c>
      <c r="O152" s="1466">
        <f>O144*N152</f>
        <v>98296.2376704</v>
      </c>
      <c r="P152" s="278"/>
    </row>
    <row r="153" s="38" customFormat="1" ht="11.25" hidden="1" spans="1:16">
      <c r="A153" s="228"/>
      <c r="B153" s="38" t="str">
        <f t="shared" si="1"/>
        <v>BR01-08</v>
      </c>
      <c r="C153" s="83" t="s">
        <v>241</v>
      </c>
      <c r="D153" s="222"/>
      <c r="F153" s="1467">
        <f>100%-F152</f>
        <v>0.55</v>
      </c>
      <c r="G153" s="1466">
        <f>G144*F153</f>
        <v>90198.74378592</v>
      </c>
      <c r="H153" s="222"/>
      <c r="J153" s="1467">
        <v>0.52</v>
      </c>
      <c r="K153" s="1466">
        <f>K144*J153</f>
        <v>90780.671165184</v>
      </c>
      <c r="L153" s="222"/>
      <c r="N153" s="283">
        <v>0.5</v>
      </c>
      <c r="O153" s="1466">
        <f>O144*N153</f>
        <v>98296.2376704</v>
      </c>
      <c r="P153" s="278"/>
    </row>
    <row r="154" s="38" customFormat="1" ht="11.25" hidden="1" spans="1:16">
      <c r="A154" s="228"/>
      <c r="B154" s="38" t="str">
        <f t="shared" si="1"/>
        <v>BR01-09</v>
      </c>
      <c r="C154" s="83" t="s">
        <v>221</v>
      </c>
      <c r="D154" s="1463">
        <v>0</v>
      </c>
      <c r="E154" s="1468">
        <f>E143*D154</f>
        <v>0</v>
      </c>
      <c r="F154" s="1469"/>
      <c r="G154" s="1466"/>
      <c r="H154" s="1463">
        <v>0</v>
      </c>
      <c r="I154" s="38">
        <f>I144*H136</f>
        <v>0</v>
      </c>
      <c r="J154" s="1469"/>
      <c r="K154" s="1466"/>
      <c r="L154" s="1463">
        <v>0</v>
      </c>
      <c r="M154" s="38">
        <f>M144*L136</f>
        <v>0</v>
      </c>
      <c r="N154" s="284"/>
      <c r="O154" s="1466"/>
      <c r="P154" s="278"/>
    </row>
    <row r="155" s="38" customFormat="1" ht="11.25" hidden="1" spans="1:11">
      <c r="A155" s="251"/>
      <c r="C155" s="83"/>
      <c r="E155" s="1470"/>
      <c r="H155" s="128"/>
      <c r="I155" s="128"/>
      <c r="J155" s="159"/>
      <c r="K155" s="83"/>
    </row>
    <row r="156" s="29" customFormat="1" ht="15.75" hidden="1" spans="1:25">
      <c r="A156" s="1471">
        <v>6</v>
      </c>
      <c r="B156" s="1428" t="s">
        <v>251</v>
      </c>
      <c r="C156" s="1428"/>
      <c r="D156" s="1471"/>
      <c r="E156" s="1471"/>
      <c r="F156" s="1471"/>
      <c r="G156" s="1471"/>
      <c r="H156" s="1438"/>
      <c r="I156" s="1438"/>
      <c r="J156" s="454"/>
      <c r="K156" s="140"/>
      <c r="O156" s="140"/>
      <c r="P156" s="140"/>
      <c r="Q156" s="140"/>
      <c r="R156" s="140"/>
      <c r="S156" s="140"/>
      <c r="T156" s="140"/>
      <c r="U156" s="140"/>
      <c r="V156" s="140"/>
      <c r="W156" s="140"/>
      <c r="X156" s="140"/>
      <c r="Y156" s="140"/>
    </row>
    <row r="157" s="140" customFormat="1" hidden="1" customHeight="1" spans="1:13">
      <c r="A157" s="1472"/>
      <c r="B157" s="190"/>
      <c r="C157" s="190"/>
      <c r="D157" s="1473"/>
      <c r="E157" s="1474"/>
      <c r="F157" s="1474"/>
      <c r="G157" s="1474"/>
      <c r="H157" s="453"/>
      <c r="I157" s="453"/>
      <c r="J157" s="454"/>
      <c r="L157" s="304"/>
      <c r="M157" s="304"/>
    </row>
    <row r="158" s="140" customFormat="1" ht="12" hidden="1" customHeight="1" spans="2:10">
      <c r="B158" s="1475" t="s">
        <v>252</v>
      </c>
      <c r="C158" s="1476" t="s">
        <v>117</v>
      </c>
      <c r="D158" s="1477">
        <v>124</v>
      </c>
      <c r="E158" s="1475" t="s">
        <v>253</v>
      </c>
      <c r="F158" s="1478">
        <v>0.8</v>
      </c>
      <c r="G158" s="1474"/>
      <c r="H158" s="453"/>
      <c r="I158" s="453"/>
      <c r="J158" s="454"/>
    </row>
    <row r="159" s="202" customFormat="1" hidden="1" spans="1:48">
      <c r="A159" s="258"/>
      <c r="B159" s="203"/>
      <c r="C159" s="203"/>
      <c r="D159" s="302"/>
      <c r="E159" s="203"/>
      <c r="F159" s="203"/>
      <c r="G159" s="203"/>
      <c r="H159" s="83"/>
      <c r="I159" s="83"/>
      <c r="J159" s="83"/>
      <c r="K159" s="83"/>
      <c r="L159" s="83"/>
      <c r="M159" s="83"/>
      <c r="N159" s="140"/>
      <c r="O159" s="140"/>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row>
    <row r="160" s="202" customFormat="1" hidden="1" spans="1:48">
      <c r="A160" s="258"/>
      <c r="B160" s="203" t="s">
        <v>254</v>
      </c>
      <c r="C160" s="203"/>
      <c r="D160" s="218" t="str">
        <f>B128</f>
        <v>BR01-01</v>
      </c>
      <c r="E160" s="160" t="str">
        <f>IF(B129="","",B129)</f>
        <v>BR01-02</v>
      </c>
      <c r="F160" s="160" t="str">
        <f>IF(B130="","",B130)</f>
        <v>BR01-03</v>
      </c>
      <c r="G160" s="160" t="str">
        <f>IF(B131="","",B131)</f>
        <v>BR01-04</v>
      </c>
      <c r="H160" s="74" t="str">
        <f>IF(B132="","",B132)</f>
        <v>BR01-05</v>
      </c>
      <c r="I160" s="74" t="str">
        <f>IF(B133="","",B133)</f>
        <v>BR01-06</v>
      </c>
      <c r="J160" s="74" t="str">
        <f>IF(B134="","",B134)</f>
        <v>BR01-07</v>
      </c>
      <c r="K160" s="74" t="str">
        <f>IF(B135="","",B135)</f>
        <v>BR01-08</v>
      </c>
      <c r="L160" s="74" t="str">
        <f>IF(B136="","",B136)</f>
        <v>BR01-09</v>
      </c>
      <c r="M160" s="140"/>
      <c r="N160" s="140"/>
      <c r="O160" s="140"/>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row>
    <row r="161" s="202" customFormat="1" hidden="1" spans="1:48">
      <c r="A161" s="258"/>
      <c r="B161" s="203"/>
      <c r="C161" s="203"/>
      <c r="D161" s="160" t="str">
        <f>C128</f>
        <v>[retail]</v>
      </c>
      <c r="E161" s="160" t="str">
        <f>C129</f>
        <v>[retail]</v>
      </c>
      <c r="F161" s="160" t="str">
        <f>C130</f>
        <v>[retail]</v>
      </c>
      <c r="G161" s="160" t="str">
        <f>C131</f>
        <v>[retail]</v>
      </c>
      <c r="H161" s="160" t="str">
        <f>C132</f>
        <v>[retail]</v>
      </c>
      <c r="I161" s="160" t="str">
        <f>C133</f>
        <v>[retail]</v>
      </c>
      <c r="J161" s="160" t="str">
        <f>C134</f>
        <v>[wholesale]</v>
      </c>
      <c r="K161" s="160" t="str">
        <f>C135</f>
        <v>[wholesale]</v>
      </c>
      <c r="L161" s="160" t="str">
        <f>C136</f>
        <v>[retail]</v>
      </c>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row>
    <row r="162" s="202" customFormat="1" hidden="1" spans="1:48">
      <c r="A162" s="258"/>
      <c r="B162" s="259" t="s">
        <v>103</v>
      </c>
      <c r="C162" s="259"/>
      <c r="D162" s="260" t="s">
        <v>255</v>
      </c>
      <c r="E162" s="259"/>
      <c r="F162" s="259"/>
      <c r="G162" s="259"/>
      <c r="H162" s="259"/>
      <c r="I162" s="259"/>
      <c r="J162" s="259"/>
      <c r="K162" s="259"/>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row>
    <row r="163" s="202" customFormat="1" hidden="1" spans="1:48">
      <c r="A163" s="261"/>
      <c r="B163" s="262" t="s">
        <v>256</v>
      </c>
      <c r="D163" s="1479">
        <v>0.07</v>
      </c>
      <c r="E163" s="1479">
        <v>0.06</v>
      </c>
      <c r="F163" s="1479">
        <v>0.05</v>
      </c>
      <c r="G163" s="1479">
        <v>0.05</v>
      </c>
      <c r="H163" s="1479">
        <v>0.05</v>
      </c>
      <c r="I163" s="1479">
        <v>0.05</v>
      </c>
      <c r="J163" s="1479">
        <v>0.05</v>
      </c>
      <c r="K163" s="1479">
        <v>0.05</v>
      </c>
      <c r="L163" s="1479"/>
      <c r="M163" s="140"/>
      <c r="N163" s="140"/>
      <c r="O163" s="14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row>
    <row r="164" s="202" customFormat="1" hidden="1" spans="1:48">
      <c r="A164" s="264"/>
      <c r="B164" s="262" t="s">
        <v>257</v>
      </c>
      <c r="D164" s="1479">
        <v>0.07</v>
      </c>
      <c r="E164" s="1479">
        <v>0.06</v>
      </c>
      <c r="F164" s="1479">
        <v>0.05</v>
      </c>
      <c r="G164" s="1479">
        <v>0.05</v>
      </c>
      <c r="H164" s="1479">
        <v>0.05</v>
      </c>
      <c r="I164" s="1479">
        <v>0.05</v>
      </c>
      <c r="J164" s="1479">
        <v>0.05</v>
      </c>
      <c r="K164" s="1479">
        <v>0.05</v>
      </c>
      <c r="L164" s="1479"/>
      <c r="M164" s="140"/>
      <c r="N164" s="140"/>
      <c r="O164" s="140"/>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row>
    <row r="165" s="202" customFormat="1" hidden="1" spans="1:48">
      <c r="A165" s="203"/>
      <c r="B165" s="96" t="s">
        <v>258</v>
      </c>
      <c r="D165" s="1479">
        <v>0.07</v>
      </c>
      <c r="E165" s="1479">
        <v>0.06</v>
      </c>
      <c r="F165" s="1479">
        <v>0.06</v>
      </c>
      <c r="G165" s="1479">
        <v>0.06</v>
      </c>
      <c r="H165" s="1479">
        <v>0.06</v>
      </c>
      <c r="I165" s="1479">
        <v>0.06</v>
      </c>
      <c r="J165" s="1479">
        <v>0.06</v>
      </c>
      <c r="K165" s="1479">
        <v>0.06</v>
      </c>
      <c r="L165" s="1479"/>
      <c r="M165" s="140"/>
      <c r="N165" s="140"/>
      <c r="O165" s="140"/>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row>
    <row r="166" s="203" customFormat="1" hidden="1" spans="2:48">
      <c r="B166" s="96" t="s">
        <v>259</v>
      </c>
      <c r="D166" s="1479">
        <v>0.07</v>
      </c>
      <c r="E166" s="1479">
        <v>0.07</v>
      </c>
      <c r="F166" s="1479">
        <v>0.07</v>
      </c>
      <c r="G166" s="1479">
        <v>0.07</v>
      </c>
      <c r="H166" s="1479">
        <v>0.07</v>
      </c>
      <c r="I166" s="1479">
        <v>0.07</v>
      </c>
      <c r="J166" s="1479">
        <v>0.07</v>
      </c>
      <c r="K166" s="1479">
        <v>0.07</v>
      </c>
      <c r="L166" s="1479"/>
      <c r="M166" s="140"/>
      <c r="N166" s="140"/>
      <c r="O166" s="140"/>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row>
    <row r="167" s="203" customFormat="1" hidden="1" spans="2:48">
      <c r="B167" s="96" t="s">
        <v>260</v>
      </c>
      <c r="D167" s="1479">
        <v>0.08</v>
      </c>
      <c r="E167" s="1479">
        <v>0.08</v>
      </c>
      <c r="F167" s="1479">
        <v>0.08</v>
      </c>
      <c r="G167" s="1479">
        <v>0.08</v>
      </c>
      <c r="H167" s="1479">
        <v>0.08</v>
      </c>
      <c r="I167" s="1479">
        <v>0.08</v>
      </c>
      <c r="J167" s="1479">
        <v>0.08</v>
      </c>
      <c r="K167" s="1479">
        <v>0.08</v>
      </c>
      <c r="L167" s="1479"/>
      <c r="M167" s="140"/>
      <c r="N167" s="140"/>
      <c r="O167" s="140"/>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row>
    <row r="168" s="203" customFormat="1" hidden="1" spans="1:48">
      <c r="A168" s="140"/>
      <c r="B168" s="96" t="s">
        <v>261</v>
      </c>
      <c r="D168" s="1479">
        <v>0.1</v>
      </c>
      <c r="E168" s="1479">
        <v>0.1</v>
      </c>
      <c r="F168" s="1479">
        <v>0.1</v>
      </c>
      <c r="G168" s="1479">
        <v>0.1</v>
      </c>
      <c r="H168" s="1479">
        <v>0.1</v>
      </c>
      <c r="I168" s="1479">
        <v>0.1</v>
      </c>
      <c r="J168" s="1479">
        <v>0.1</v>
      </c>
      <c r="K168" s="1479">
        <v>0.1</v>
      </c>
      <c r="L168" s="1479"/>
      <c r="M168" s="140"/>
      <c r="N168" s="140"/>
      <c r="O168" s="140"/>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row>
    <row r="169" s="203" customFormat="1" hidden="1" spans="1:48">
      <c r="A169" s="140"/>
      <c r="B169" s="96" t="s">
        <v>262</v>
      </c>
      <c r="D169" s="1479">
        <v>0.1</v>
      </c>
      <c r="E169" s="1479">
        <v>0.1</v>
      </c>
      <c r="F169" s="1479">
        <v>0.1</v>
      </c>
      <c r="G169" s="1479">
        <v>0.1</v>
      </c>
      <c r="H169" s="1479">
        <v>0.1</v>
      </c>
      <c r="I169" s="1479">
        <v>0.1</v>
      </c>
      <c r="J169" s="1479">
        <v>0.1</v>
      </c>
      <c r="K169" s="1479">
        <v>0.1</v>
      </c>
      <c r="L169" s="1479"/>
      <c r="M169" s="140"/>
      <c r="N169" s="140"/>
      <c r="O169" s="140"/>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row>
    <row r="170" s="203" customFormat="1" hidden="1" spans="1:48">
      <c r="A170" s="140"/>
      <c r="B170" s="96" t="s">
        <v>263</v>
      </c>
      <c r="D170" s="1479">
        <v>0.1</v>
      </c>
      <c r="E170" s="1479">
        <v>0.11</v>
      </c>
      <c r="F170" s="1479">
        <v>0.12</v>
      </c>
      <c r="G170" s="1479">
        <v>0.12</v>
      </c>
      <c r="H170" s="1479">
        <v>0.12</v>
      </c>
      <c r="I170" s="1479">
        <v>0.12</v>
      </c>
      <c r="J170" s="1479">
        <v>0.12</v>
      </c>
      <c r="K170" s="1479">
        <v>0.12</v>
      </c>
      <c r="L170" s="1479"/>
      <c r="M170" s="140"/>
      <c r="N170" s="140"/>
      <c r="O170" s="140"/>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row>
    <row r="171" s="203" customFormat="1" hidden="1" spans="1:48">
      <c r="A171" s="140"/>
      <c r="B171" s="96" t="s">
        <v>264</v>
      </c>
      <c r="D171" s="1479">
        <v>0.1</v>
      </c>
      <c r="E171" s="1479">
        <v>0.11</v>
      </c>
      <c r="F171" s="1479">
        <v>0.12</v>
      </c>
      <c r="G171" s="1479">
        <v>0.12</v>
      </c>
      <c r="H171" s="1479">
        <v>0.12</v>
      </c>
      <c r="I171" s="1479">
        <v>0.12</v>
      </c>
      <c r="J171" s="1479">
        <v>0.12</v>
      </c>
      <c r="K171" s="1479">
        <v>0.12</v>
      </c>
      <c r="L171" s="1479"/>
      <c r="M171" s="140"/>
      <c r="N171" s="140"/>
      <c r="O171" s="140"/>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row>
    <row r="172" s="203" customFormat="1" hidden="1" spans="1:48">
      <c r="A172" s="140"/>
      <c r="B172" s="96" t="s">
        <v>265</v>
      </c>
      <c r="D172" s="1479">
        <v>0.1</v>
      </c>
      <c r="E172" s="1479">
        <v>0.11</v>
      </c>
      <c r="F172" s="1479">
        <v>0.11</v>
      </c>
      <c r="G172" s="1479">
        <v>0.11</v>
      </c>
      <c r="H172" s="1479">
        <v>0.11</v>
      </c>
      <c r="I172" s="1479">
        <v>0.11</v>
      </c>
      <c r="J172" s="1479">
        <v>0.11</v>
      </c>
      <c r="K172" s="1479">
        <v>0.11</v>
      </c>
      <c r="L172" s="1479"/>
      <c r="M172" s="140"/>
      <c r="N172" s="140"/>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row>
    <row r="173" s="203" customFormat="1" hidden="1" spans="1:48">
      <c r="A173" s="140"/>
      <c r="B173" s="96" t="s">
        <v>266</v>
      </c>
      <c r="D173" s="1479">
        <v>0.07</v>
      </c>
      <c r="E173" s="1479">
        <v>0.07</v>
      </c>
      <c r="F173" s="1479">
        <v>0.07</v>
      </c>
      <c r="G173" s="1479">
        <v>0.07</v>
      </c>
      <c r="H173" s="1479">
        <v>0.07</v>
      </c>
      <c r="I173" s="1479">
        <v>0.07</v>
      </c>
      <c r="J173" s="1479">
        <v>0.07</v>
      </c>
      <c r="K173" s="1479">
        <v>0.07</v>
      </c>
      <c r="L173" s="1479"/>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row>
    <row r="174" s="203" customFormat="1" hidden="1" spans="1:48">
      <c r="A174" s="140"/>
      <c r="B174" s="96" t="s">
        <v>267</v>
      </c>
      <c r="D174" s="1479">
        <v>0.07</v>
      </c>
      <c r="E174" s="1479">
        <v>0.07</v>
      </c>
      <c r="F174" s="1479">
        <v>0.07</v>
      </c>
      <c r="G174" s="1479">
        <v>0.07</v>
      </c>
      <c r="H174" s="1479">
        <v>0.07</v>
      </c>
      <c r="I174" s="1479">
        <v>0.07</v>
      </c>
      <c r="J174" s="1479">
        <v>0.07</v>
      </c>
      <c r="K174" s="1479">
        <v>0.06</v>
      </c>
      <c r="L174" s="1479"/>
      <c r="M174" s="140"/>
      <c r="N174" s="140"/>
      <c r="O174" s="140"/>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row>
    <row r="175" s="203" customFormat="1" hidden="1" spans="1:48">
      <c r="A175" s="140"/>
      <c r="B175" s="96" t="s">
        <v>268</v>
      </c>
      <c r="D175" s="265">
        <f>SUM(D163:D174)</f>
        <v>1</v>
      </c>
      <c r="E175" s="265">
        <f t="shared" ref="E175:L175" si="2">SUM(E163:E174)</f>
        <v>1</v>
      </c>
      <c r="F175" s="265">
        <f t="shared" si="2"/>
        <v>1</v>
      </c>
      <c r="G175" s="265">
        <f t="shared" si="2"/>
        <v>1</v>
      </c>
      <c r="H175" s="265">
        <f t="shared" si="2"/>
        <v>1</v>
      </c>
      <c r="I175" s="265">
        <f t="shared" si="2"/>
        <v>1</v>
      </c>
      <c r="J175" s="265">
        <f t="shared" si="2"/>
        <v>1</v>
      </c>
      <c r="K175" s="265">
        <f t="shared" si="2"/>
        <v>0.99</v>
      </c>
      <c r="L175" s="265">
        <f t="shared" si="2"/>
        <v>0</v>
      </c>
      <c r="M175" s="140"/>
      <c r="N175" s="140"/>
      <c r="O175" s="140"/>
      <c r="P175" s="140"/>
      <c r="Q175" s="140"/>
      <c r="R175" s="140"/>
      <c r="S175" s="140"/>
      <c r="T175" s="140"/>
      <c r="U175" s="140"/>
      <c r="V175" s="140"/>
      <c r="W175" s="140"/>
      <c r="AG175" s="140"/>
      <c r="AH175" s="140"/>
      <c r="AI175" s="140"/>
      <c r="AJ175" s="140"/>
      <c r="AK175" s="140"/>
      <c r="AL175" s="140"/>
      <c r="AM175" s="140"/>
      <c r="AN175" s="140"/>
      <c r="AO175" s="140"/>
      <c r="AP175" s="140"/>
      <c r="AQ175" s="140"/>
      <c r="AR175" s="140"/>
      <c r="AS175" s="140"/>
      <c r="AT175" s="140"/>
      <c r="AU175" s="140"/>
      <c r="AV175" s="140"/>
    </row>
    <row r="176" s="203" customFormat="1" hidden="1" spans="1:48">
      <c r="A176" s="140"/>
      <c r="B176" s="96"/>
      <c r="D176" s="266" t="s">
        <v>269</v>
      </c>
      <c r="E176" s="267"/>
      <c r="F176" s="267"/>
      <c r="G176" s="267"/>
      <c r="H176" s="267"/>
      <c r="I176" s="267"/>
      <c r="J176" s="267"/>
      <c r="K176" s="267"/>
      <c r="L176" s="267"/>
      <c r="M176" s="140"/>
      <c r="N176" s="140"/>
      <c r="O176" s="140"/>
      <c r="P176" s="140"/>
      <c r="Q176" s="140"/>
      <c r="R176" s="140"/>
      <c r="S176" s="140"/>
      <c r="T176" s="140"/>
      <c r="U176" s="140"/>
      <c r="V176" s="140"/>
      <c r="W176" s="140"/>
      <c r="AG176" s="140"/>
      <c r="AH176" s="140"/>
      <c r="AI176" s="140"/>
      <c r="AJ176" s="140"/>
      <c r="AK176" s="140"/>
      <c r="AL176" s="140"/>
      <c r="AM176" s="140"/>
      <c r="AN176" s="140"/>
      <c r="AO176" s="140"/>
      <c r="AP176" s="140"/>
      <c r="AQ176" s="140"/>
      <c r="AR176" s="140"/>
      <c r="AS176" s="140"/>
      <c r="AT176" s="140"/>
      <c r="AU176" s="140"/>
      <c r="AV176" s="140"/>
    </row>
    <row r="177" s="203" customFormat="1" hidden="1" spans="1:48">
      <c r="A177" s="258"/>
      <c r="B177" s="262" t="s">
        <v>256</v>
      </c>
      <c r="D177" s="268">
        <f>D189*D163</f>
        <v>1618.28713924416</v>
      </c>
      <c r="E177" s="268">
        <f t="shared" ref="E177:L177" si="3">E189*E163</f>
        <v>1507.720937184</v>
      </c>
      <c r="F177" s="268">
        <f t="shared" si="3"/>
        <v>703.6031040192</v>
      </c>
      <c r="G177" s="268">
        <f t="shared" si="3"/>
        <v>603.0883748736</v>
      </c>
      <c r="H177" s="268">
        <f t="shared" si="3"/>
        <v>603.0883748736</v>
      </c>
      <c r="I177" s="268">
        <f t="shared" si="3"/>
        <v>703.6031040192</v>
      </c>
      <c r="J177" s="268">
        <f t="shared" si="3"/>
        <v>3689.948609424</v>
      </c>
      <c r="K177" s="268">
        <f t="shared" si="3"/>
        <v>4509.937189296</v>
      </c>
      <c r="L177" s="268">
        <f t="shared" si="3"/>
        <v>0</v>
      </c>
      <c r="M177" s="140"/>
      <c r="N177" s="140"/>
      <c r="O177" s="140"/>
      <c r="P177" s="140"/>
      <c r="Q177" s="140"/>
      <c r="R177" s="140"/>
      <c r="S177" s="140"/>
      <c r="T177" s="140"/>
      <c r="U177" s="140"/>
      <c r="V177" s="140"/>
      <c r="W177" s="140"/>
      <c r="AG177" s="140"/>
      <c r="AH177" s="140"/>
      <c r="AI177" s="140"/>
      <c r="AJ177" s="140"/>
      <c r="AK177" s="140"/>
      <c r="AL177" s="140"/>
      <c r="AM177" s="140"/>
      <c r="AN177" s="140"/>
      <c r="AO177" s="140"/>
      <c r="AP177" s="140"/>
      <c r="AQ177" s="140"/>
      <c r="AR177" s="140"/>
      <c r="AS177" s="140"/>
      <c r="AT177" s="140"/>
      <c r="AU177" s="140"/>
      <c r="AV177" s="140"/>
    </row>
    <row r="178" s="203" customFormat="1" hidden="1" spans="1:48">
      <c r="A178" s="258"/>
      <c r="B178" s="262" t="s">
        <v>257</v>
      </c>
      <c r="D178" s="268">
        <f>D189*D164</f>
        <v>1618.28713924416</v>
      </c>
      <c r="E178" s="268">
        <f t="shared" ref="E178:L178" si="4">E189*E164</f>
        <v>1507.720937184</v>
      </c>
      <c r="F178" s="268">
        <f t="shared" si="4"/>
        <v>703.6031040192</v>
      </c>
      <c r="G178" s="268">
        <f t="shared" si="4"/>
        <v>603.0883748736</v>
      </c>
      <c r="H178" s="268">
        <f t="shared" si="4"/>
        <v>603.0883748736</v>
      </c>
      <c r="I178" s="268">
        <f t="shared" si="4"/>
        <v>703.6031040192</v>
      </c>
      <c r="J178" s="268">
        <f t="shared" si="4"/>
        <v>3689.948609424</v>
      </c>
      <c r="K178" s="268">
        <f t="shared" si="4"/>
        <v>4509.937189296</v>
      </c>
      <c r="L178" s="268">
        <f t="shared" si="4"/>
        <v>0</v>
      </c>
      <c r="M178" s="140"/>
      <c r="N178" s="140"/>
      <c r="O178" s="140"/>
      <c r="P178" s="140"/>
      <c r="Q178" s="140"/>
      <c r="R178" s="140"/>
      <c r="S178" s="140"/>
      <c r="T178" s="140"/>
      <c r="U178" s="140"/>
      <c r="V178" s="140"/>
      <c r="W178" s="140"/>
      <c r="AG178" s="140"/>
      <c r="AH178" s="140"/>
      <c r="AI178" s="140"/>
      <c r="AJ178" s="140"/>
      <c r="AK178" s="140"/>
      <c r="AL178" s="140"/>
      <c r="AM178" s="140"/>
      <c r="AN178" s="140"/>
      <c r="AO178" s="140"/>
      <c r="AP178" s="140"/>
      <c r="AQ178" s="140"/>
      <c r="AR178" s="140"/>
      <c r="AS178" s="140"/>
      <c r="AT178" s="140"/>
      <c r="AU178" s="140"/>
      <c r="AV178" s="140"/>
    </row>
    <row r="179" s="203" customFormat="1" hidden="1" spans="1:48">
      <c r="A179" s="258"/>
      <c r="B179" s="96" t="s">
        <v>258</v>
      </c>
      <c r="D179" s="268">
        <f>D189*D165</f>
        <v>1618.28713924416</v>
      </c>
      <c r="E179" s="268">
        <f t="shared" ref="E179:L179" si="5">E189*E165</f>
        <v>1507.720937184</v>
      </c>
      <c r="F179" s="268">
        <f t="shared" si="5"/>
        <v>844.32372482304</v>
      </c>
      <c r="G179" s="268">
        <f t="shared" si="5"/>
        <v>723.70604984832</v>
      </c>
      <c r="H179" s="268">
        <f t="shared" si="5"/>
        <v>723.70604984832</v>
      </c>
      <c r="I179" s="268">
        <f t="shared" si="5"/>
        <v>844.32372482304</v>
      </c>
      <c r="J179" s="268">
        <f t="shared" si="5"/>
        <v>4427.9383313088</v>
      </c>
      <c r="K179" s="268">
        <f t="shared" si="5"/>
        <v>5411.9246271552</v>
      </c>
      <c r="L179" s="268">
        <f t="shared" si="5"/>
        <v>0</v>
      </c>
      <c r="M179" s="140"/>
      <c r="N179" s="140"/>
      <c r="O179" s="140"/>
      <c r="P179" s="140"/>
      <c r="Q179" s="140"/>
      <c r="R179" s="140"/>
      <c r="S179" s="140"/>
      <c r="T179" s="140"/>
      <c r="U179" s="140"/>
      <c r="V179" s="140"/>
      <c r="W179" s="140"/>
      <c r="AG179" s="140"/>
      <c r="AH179" s="140"/>
      <c r="AI179" s="140"/>
      <c r="AJ179" s="140"/>
      <c r="AK179" s="140"/>
      <c r="AL179" s="140"/>
      <c r="AM179" s="140"/>
      <c r="AN179" s="140"/>
      <c r="AO179" s="140"/>
      <c r="AP179" s="140"/>
      <c r="AQ179" s="140"/>
      <c r="AR179" s="140"/>
      <c r="AS179" s="140"/>
      <c r="AT179" s="140"/>
      <c r="AU179" s="140"/>
      <c r="AV179" s="140"/>
    </row>
    <row r="180" s="203" customFormat="1" hidden="1" spans="1:21">
      <c r="A180" s="269"/>
      <c r="B180" s="96" t="s">
        <v>259</v>
      </c>
      <c r="D180" s="268">
        <f>D189*D166</f>
        <v>1618.28713924416</v>
      </c>
      <c r="E180" s="268">
        <f t="shared" ref="E180:L180" si="6">E189*E166</f>
        <v>1759.007760048</v>
      </c>
      <c r="F180" s="268">
        <f t="shared" si="6"/>
        <v>985.04434562688</v>
      </c>
      <c r="G180" s="268">
        <f t="shared" si="6"/>
        <v>844.32372482304</v>
      </c>
      <c r="H180" s="268">
        <f t="shared" si="6"/>
        <v>844.32372482304</v>
      </c>
      <c r="I180" s="268">
        <f t="shared" si="6"/>
        <v>985.04434562688</v>
      </c>
      <c r="J180" s="268">
        <f t="shared" si="6"/>
        <v>5165.9280531936</v>
      </c>
      <c r="K180" s="268">
        <f t="shared" si="6"/>
        <v>6313.9120650144</v>
      </c>
      <c r="L180" s="268">
        <f t="shared" si="6"/>
        <v>0</v>
      </c>
      <c r="M180" s="140"/>
      <c r="N180" s="140"/>
      <c r="O180" s="140"/>
      <c r="P180" s="140"/>
      <c r="Q180" s="140"/>
      <c r="R180" s="140"/>
      <c r="S180" s="140"/>
      <c r="T180" s="140"/>
      <c r="U180" s="140"/>
    </row>
    <row r="181" s="203" customFormat="1" hidden="1" spans="1:21">
      <c r="A181" s="258"/>
      <c r="B181" s="96" t="s">
        <v>260</v>
      </c>
      <c r="D181" s="268">
        <f>D189*D167</f>
        <v>1849.47101627904</v>
      </c>
      <c r="E181" s="268">
        <f t="shared" ref="E181:L181" si="7">E189*E167</f>
        <v>2010.294582912</v>
      </c>
      <c r="F181" s="268">
        <f t="shared" si="7"/>
        <v>1125.76496643072</v>
      </c>
      <c r="G181" s="268">
        <f t="shared" si="7"/>
        <v>964.94139979776</v>
      </c>
      <c r="H181" s="268">
        <f t="shared" si="7"/>
        <v>964.94139979776</v>
      </c>
      <c r="I181" s="268">
        <f t="shared" si="7"/>
        <v>1125.76496643072</v>
      </c>
      <c r="J181" s="268">
        <f t="shared" si="7"/>
        <v>5903.9177750784</v>
      </c>
      <c r="K181" s="268">
        <f t="shared" si="7"/>
        <v>7215.8995028736</v>
      </c>
      <c r="L181" s="268">
        <f t="shared" si="7"/>
        <v>0</v>
      </c>
      <c r="M181" s="140"/>
      <c r="N181" s="140"/>
      <c r="O181" s="140"/>
      <c r="P181" s="140"/>
      <c r="Q181" s="140"/>
      <c r="R181" s="140"/>
      <c r="S181" s="140"/>
      <c r="T181" s="140"/>
      <c r="U181" s="140"/>
    </row>
    <row r="182" s="203" customFormat="1" hidden="1" spans="1:21">
      <c r="A182" s="258"/>
      <c r="B182" s="96" t="s">
        <v>261</v>
      </c>
      <c r="D182" s="268">
        <f>D189*D168</f>
        <v>2311.8387703488</v>
      </c>
      <c r="E182" s="268">
        <f t="shared" ref="E182:L182" si="8">E189*E168</f>
        <v>2512.86822864</v>
      </c>
      <c r="F182" s="268">
        <f t="shared" si="8"/>
        <v>1407.2062080384</v>
      </c>
      <c r="G182" s="268">
        <f t="shared" si="8"/>
        <v>1206.1767497472</v>
      </c>
      <c r="H182" s="268">
        <f t="shared" si="8"/>
        <v>1206.1767497472</v>
      </c>
      <c r="I182" s="268">
        <f t="shared" si="8"/>
        <v>1407.2062080384</v>
      </c>
      <c r="J182" s="268">
        <f t="shared" si="8"/>
        <v>7379.897218848</v>
      </c>
      <c r="K182" s="268">
        <f t="shared" si="8"/>
        <v>9019.874378592</v>
      </c>
      <c r="L182" s="268">
        <f t="shared" si="8"/>
        <v>0</v>
      </c>
      <c r="M182" s="140"/>
      <c r="N182" s="140"/>
      <c r="O182" s="140"/>
      <c r="P182" s="140"/>
      <c r="Q182" s="140"/>
      <c r="R182" s="140"/>
      <c r="S182" s="140"/>
      <c r="T182" s="140"/>
      <c r="U182" s="140"/>
    </row>
    <row r="183" s="203" customFormat="1" hidden="1" spans="1:21">
      <c r="A183" s="258"/>
      <c r="B183" s="96" t="s">
        <v>262</v>
      </c>
      <c r="D183" s="268">
        <f>D189*D169</f>
        <v>2311.8387703488</v>
      </c>
      <c r="E183" s="268">
        <f t="shared" ref="E183:L183" si="9">E189*E169</f>
        <v>2512.86822864</v>
      </c>
      <c r="F183" s="268">
        <f t="shared" si="9"/>
        <v>1407.2062080384</v>
      </c>
      <c r="G183" s="268">
        <f t="shared" si="9"/>
        <v>1206.1767497472</v>
      </c>
      <c r="H183" s="268">
        <f t="shared" si="9"/>
        <v>1206.1767497472</v>
      </c>
      <c r="I183" s="268">
        <f t="shared" si="9"/>
        <v>1407.2062080384</v>
      </c>
      <c r="J183" s="268">
        <f t="shared" si="9"/>
        <v>7379.897218848</v>
      </c>
      <c r="K183" s="268">
        <f t="shared" si="9"/>
        <v>9019.874378592</v>
      </c>
      <c r="L183" s="268">
        <f t="shared" si="9"/>
        <v>0</v>
      </c>
      <c r="M183" s="140"/>
      <c r="N183" s="140"/>
      <c r="O183" s="140"/>
      <c r="P183" s="140"/>
      <c r="Q183" s="140"/>
      <c r="R183" s="140"/>
      <c r="S183" s="140"/>
      <c r="T183" s="140"/>
      <c r="U183" s="140"/>
    </row>
    <row r="184" s="203" customFormat="1" hidden="1" spans="1:21">
      <c r="A184" s="258"/>
      <c r="B184" s="96" t="s">
        <v>263</v>
      </c>
      <c r="D184" s="268">
        <f>D189*D170</f>
        <v>2311.8387703488</v>
      </c>
      <c r="E184" s="268">
        <f t="shared" ref="E184:L184" si="10">E189*E170</f>
        <v>2764.155051504</v>
      </c>
      <c r="F184" s="268">
        <f t="shared" si="10"/>
        <v>1688.64744964608</v>
      </c>
      <c r="G184" s="268">
        <f t="shared" si="10"/>
        <v>1447.41209969664</v>
      </c>
      <c r="H184" s="268">
        <f t="shared" si="10"/>
        <v>1447.41209969664</v>
      </c>
      <c r="I184" s="268">
        <f t="shared" si="10"/>
        <v>1688.64744964608</v>
      </c>
      <c r="J184" s="268">
        <f t="shared" si="10"/>
        <v>8855.8766626176</v>
      </c>
      <c r="K184" s="268">
        <f t="shared" si="10"/>
        <v>10823.8492543104</v>
      </c>
      <c r="L184" s="268">
        <f t="shared" si="10"/>
        <v>0</v>
      </c>
      <c r="M184" s="140"/>
      <c r="N184" s="140"/>
      <c r="O184" s="140"/>
      <c r="P184" s="140"/>
      <c r="Q184" s="140"/>
      <c r="R184" s="140"/>
      <c r="S184" s="140"/>
      <c r="T184" s="140"/>
      <c r="U184" s="140"/>
    </row>
    <row r="185" s="203" customFormat="1" hidden="1" spans="1:21">
      <c r="A185" s="258"/>
      <c r="B185" s="96" t="s">
        <v>264</v>
      </c>
      <c r="D185" s="268">
        <f>D189*D171</f>
        <v>2311.8387703488</v>
      </c>
      <c r="E185" s="268">
        <f t="shared" ref="E185:L185" si="11">E189*E171</f>
        <v>2764.155051504</v>
      </c>
      <c r="F185" s="268">
        <f t="shared" si="11"/>
        <v>1688.64744964608</v>
      </c>
      <c r="G185" s="268">
        <f t="shared" si="11"/>
        <v>1447.41209969664</v>
      </c>
      <c r="H185" s="268">
        <f t="shared" si="11"/>
        <v>1447.41209969664</v>
      </c>
      <c r="I185" s="268">
        <f t="shared" si="11"/>
        <v>1688.64744964608</v>
      </c>
      <c r="J185" s="268">
        <f t="shared" si="11"/>
        <v>8855.8766626176</v>
      </c>
      <c r="K185" s="268">
        <f t="shared" si="11"/>
        <v>10823.8492543104</v>
      </c>
      <c r="L185" s="268">
        <f t="shared" si="11"/>
        <v>0</v>
      </c>
      <c r="M185" s="140"/>
      <c r="N185" s="140"/>
      <c r="O185" s="140"/>
      <c r="P185" s="140"/>
      <c r="Q185" s="140"/>
      <c r="R185" s="140"/>
      <c r="S185" s="140"/>
      <c r="T185" s="140"/>
      <c r="U185" s="140"/>
    </row>
    <row r="186" s="203" customFormat="1" hidden="1" spans="1:21">
      <c r="A186" s="258"/>
      <c r="B186" s="96" t="s">
        <v>265</v>
      </c>
      <c r="D186" s="268">
        <f>D189*D172</f>
        <v>2311.8387703488</v>
      </c>
      <c r="E186" s="268">
        <f t="shared" ref="E186:L186" si="12">E189*E172</f>
        <v>2764.155051504</v>
      </c>
      <c r="F186" s="268">
        <f t="shared" si="12"/>
        <v>1547.92682884224</v>
      </c>
      <c r="G186" s="268">
        <f t="shared" si="12"/>
        <v>1326.79442472192</v>
      </c>
      <c r="H186" s="268">
        <f t="shared" si="12"/>
        <v>1326.79442472192</v>
      </c>
      <c r="I186" s="268">
        <f t="shared" si="12"/>
        <v>1547.92682884224</v>
      </c>
      <c r="J186" s="268">
        <f t="shared" si="12"/>
        <v>8117.8869407328</v>
      </c>
      <c r="K186" s="268">
        <f t="shared" si="12"/>
        <v>9921.8618164512</v>
      </c>
      <c r="L186" s="268">
        <f t="shared" si="12"/>
        <v>0</v>
      </c>
      <c r="M186" s="140"/>
      <c r="N186" s="140"/>
      <c r="O186" s="140"/>
      <c r="P186" s="140"/>
      <c r="Q186" s="140"/>
      <c r="R186" s="140"/>
      <c r="S186" s="140"/>
      <c r="T186" s="140"/>
      <c r="U186" s="140"/>
    </row>
    <row r="187" s="203" customFormat="1" hidden="1" spans="1:21">
      <c r="A187" s="258"/>
      <c r="B187" s="96" t="s">
        <v>266</v>
      </c>
      <c r="D187" s="268">
        <f>D189*D173</f>
        <v>1618.28713924416</v>
      </c>
      <c r="E187" s="268">
        <f t="shared" ref="E187:L187" si="13">E189*E173</f>
        <v>1759.007760048</v>
      </c>
      <c r="F187" s="268">
        <f t="shared" si="13"/>
        <v>985.04434562688</v>
      </c>
      <c r="G187" s="268">
        <f t="shared" si="13"/>
        <v>844.32372482304</v>
      </c>
      <c r="H187" s="268">
        <f t="shared" si="13"/>
        <v>844.32372482304</v>
      </c>
      <c r="I187" s="268">
        <f t="shared" si="13"/>
        <v>985.04434562688</v>
      </c>
      <c r="J187" s="268">
        <f t="shared" si="13"/>
        <v>5165.9280531936</v>
      </c>
      <c r="K187" s="268">
        <f t="shared" si="13"/>
        <v>6313.9120650144</v>
      </c>
      <c r="L187" s="268">
        <f t="shared" si="13"/>
        <v>0</v>
      </c>
      <c r="M187" s="140"/>
      <c r="N187" s="140"/>
      <c r="O187" s="140"/>
      <c r="P187" s="140"/>
      <c r="Q187" s="140"/>
      <c r="R187" s="140"/>
      <c r="S187" s="140"/>
      <c r="T187" s="140"/>
      <c r="U187" s="140"/>
    </row>
    <row r="188" s="203" customFormat="1" hidden="1" spans="1:21">
      <c r="A188" s="258"/>
      <c r="B188" s="96" t="s">
        <v>267</v>
      </c>
      <c r="D188" s="268">
        <f>D189*D174</f>
        <v>1618.28713924416</v>
      </c>
      <c r="E188" s="268">
        <f t="shared" ref="E188:L188" si="14">E189*E174</f>
        <v>1759.007760048</v>
      </c>
      <c r="F188" s="268">
        <f t="shared" si="14"/>
        <v>985.04434562688</v>
      </c>
      <c r="G188" s="268">
        <f t="shared" si="14"/>
        <v>844.32372482304</v>
      </c>
      <c r="H188" s="268">
        <f t="shared" si="14"/>
        <v>844.32372482304</v>
      </c>
      <c r="I188" s="268">
        <f t="shared" si="14"/>
        <v>985.04434562688</v>
      </c>
      <c r="J188" s="268">
        <f t="shared" si="14"/>
        <v>5165.9280531936</v>
      </c>
      <c r="K188" s="268">
        <f t="shared" si="14"/>
        <v>5411.9246271552</v>
      </c>
      <c r="L188" s="268">
        <f t="shared" si="14"/>
        <v>0</v>
      </c>
      <c r="M188" s="140"/>
      <c r="N188" s="140"/>
      <c r="O188" s="140"/>
      <c r="P188" s="140"/>
      <c r="Q188" s="140"/>
      <c r="R188" s="140"/>
      <c r="S188" s="140"/>
      <c r="T188" s="140"/>
      <c r="U188" s="140"/>
    </row>
    <row r="189" s="203" customFormat="1" hidden="1" spans="1:21">
      <c r="A189" s="258"/>
      <c r="B189" s="96" t="s">
        <v>268</v>
      </c>
      <c r="D189" s="268">
        <f>VLOOKUP(D160,TargetedMS,IF(D161="[retail]",4,6),FALSE)</f>
        <v>23118.387703488</v>
      </c>
      <c r="E189" s="268">
        <f t="shared" ref="E189:K189" si="15">VLOOKUP(E160,TargetedMS,IF(E161="[retail]",4,6),FALSE)</f>
        <v>25128.6822864</v>
      </c>
      <c r="F189" s="268">
        <f t="shared" si="15"/>
        <v>14072.062080384</v>
      </c>
      <c r="G189" s="268">
        <f t="shared" si="15"/>
        <v>12061.767497472</v>
      </c>
      <c r="H189" s="268">
        <f t="shared" si="15"/>
        <v>12061.767497472</v>
      </c>
      <c r="I189" s="268">
        <f t="shared" si="15"/>
        <v>14072.062080384</v>
      </c>
      <c r="J189" s="268">
        <f t="shared" si="15"/>
        <v>73798.97218848</v>
      </c>
      <c r="K189" s="268">
        <f t="shared" si="15"/>
        <v>90198.74378592</v>
      </c>
      <c r="L189" s="268">
        <f>VLOOKUP(L160,TargetedMS,IF(L161="[retail]",4,6),FALSE)</f>
        <v>0</v>
      </c>
      <c r="M189" s="140"/>
      <c r="N189" s="140"/>
      <c r="O189" s="140"/>
      <c r="P189" s="140"/>
      <c r="Q189" s="140"/>
      <c r="R189" s="140"/>
      <c r="S189" s="140"/>
      <c r="T189" s="140"/>
      <c r="U189" s="140"/>
    </row>
    <row r="190" s="140" customFormat="1" hidden="1" spans="1:12">
      <c r="A190" s="258"/>
      <c r="B190" s="262" t="s">
        <v>270</v>
      </c>
      <c r="D190" s="293" t="str">
        <f t="shared" ref="D190:K190" si="16">IF(D161="[wholesale]",D189/capacity,"")</f>
        <v/>
      </c>
      <c r="E190" s="293" t="str">
        <f t="shared" si="16"/>
        <v/>
      </c>
      <c r="F190" s="293" t="str">
        <f t="shared" si="16"/>
        <v/>
      </c>
      <c r="G190" s="293" t="str">
        <f t="shared" si="16"/>
        <v/>
      </c>
      <c r="H190" s="293" t="str">
        <f t="shared" si="16"/>
        <v/>
      </c>
      <c r="I190" s="293" t="str">
        <f t="shared" si="16"/>
        <v/>
      </c>
      <c r="J190" s="293">
        <f t="shared" si="16"/>
        <v>59.515300152</v>
      </c>
      <c r="K190" s="293">
        <f t="shared" si="16"/>
        <v>72.740922408</v>
      </c>
      <c r="L190" s="293" t="str">
        <f>IF(L161="[wholesale]",L189/capacity,"")</f>
        <v/>
      </c>
    </row>
    <row r="191" s="204" customFormat="1" hidden="1" spans="1:19">
      <c r="A191" s="294"/>
      <c r="B191" s="295"/>
      <c r="C191" s="296" t="s">
        <v>142</v>
      </c>
      <c r="D191" s="266" t="s">
        <v>271</v>
      </c>
      <c r="E191" s="266"/>
      <c r="F191" s="266"/>
      <c r="G191" s="266"/>
      <c r="H191" s="266"/>
      <c r="I191" s="266"/>
      <c r="J191" s="266"/>
      <c r="K191" s="266"/>
      <c r="L191" s="266"/>
      <c r="O191" s="267"/>
      <c r="R191" s="267"/>
      <c r="S191" s="267"/>
    </row>
    <row r="192" s="140" customFormat="1" hidden="1" spans="1:19">
      <c r="A192" s="261"/>
      <c r="B192" s="262" t="s">
        <v>256</v>
      </c>
      <c r="C192" s="297">
        <f>SUM(D192:Z192)</f>
        <v>9</v>
      </c>
      <c r="D192" s="281">
        <f>ProductionFY1(1,D160,VLOOKUP(D160,ProductsRange,3,FALSE),D177)</f>
        <v>1.21945385688659</v>
      </c>
      <c r="E192" s="281">
        <f>ProductionFY1(1,E160,VLOOKUP(E160,ProductsRange,3,FALSE),E177)</f>
        <v>1.25274725274725</v>
      </c>
      <c r="F192" s="281">
        <f>ProductionFY1(1,F160,VLOOKUP(F160,ProductsRange,3,FALSE),F177)</f>
        <v>0</v>
      </c>
      <c r="G192" s="281">
        <f>ProductionFY1(1,G160,VLOOKUP(G160,ProductsRange,3,FALSE),G177)</f>
        <v>0</v>
      </c>
      <c r="H192" s="281">
        <f>ProductionFY1(1,H160,VLOOKUP(H160,ProductsRange,3,FALSE),H177)</f>
        <v>0</v>
      </c>
      <c r="I192" s="281">
        <f>ProductionFY1(1,I160,VLOOKUP(I160,ProductsRange,3,FALSE),I177)</f>
        <v>0</v>
      </c>
      <c r="J192" s="281">
        <f>ProductionFY1(1,J160,VLOOKUP(J160,ProductsRange,3,FALSE),J177)</f>
        <v>2.78054614311341</v>
      </c>
      <c r="K192" s="281">
        <f>ProductionFY1(1,K160,VLOOKUP(K160,ProductsRange,3,FALSE),K177)</f>
        <v>3.74725274725275</v>
      </c>
      <c r="L192" s="281">
        <f>ProductionFY1(1,L160,VLOOKUP(L160,ProductsRange,3,FALSE),L177)</f>
        <v>0</v>
      </c>
      <c r="M192" s="306"/>
      <c r="N192" s="307"/>
      <c r="O192" s="308"/>
      <c r="R192" s="308"/>
      <c r="S192" s="308"/>
    </row>
    <row r="193" s="140" customFormat="1" hidden="1" spans="1:19">
      <c r="A193" s="264"/>
      <c r="B193" s="262" t="s">
        <v>257</v>
      </c>
      <c r="C193" s="297">
        <f t="shared" ref="C193:C203" si="17">SUM(D193:Z193)</f>
        <v>9</v>
      </c>
      <c r="D193" s="281">
        <f>ProductionFY1(2,D160,VLOOKUP(D160,ProductsRange,3,FALSE),D178)</f>
        <v>1.21945385688659</v>
      </c>
      <c r="E193" s="281">
        <f>ProductionFY1(2,E160,VLOOKUP(E160,ProductsRange,3,FALSE),E178)</f>
        <v>1.25274725274725</v>
      </c>
      <c r="F193" s="281">
        <f>ProductionFY1(2,F160,VLOOKUP(F160,ProductsRange,3,FALSE),F178)</f>
        <v>0</v>
      </c>
      <c r="G193" s="281">
        <f>ProductionFY1(2,G160,VLOOKUP(G160,ProductsRange,3,FALSE),G178)</f>
        <v>0</v>
      </c>
      <c r="H193" s="281">
        <f>ProductionFY1(2,H160,VLOOKUP(H160,ProductsRange,3,FALSE),H178)</f>
        <v>0</v>
      </c>
      <c r="I193" s="281">
        <f>ProductionFY1(2,I160,VLOOKUP(I160,ProductsRange,3,FALSE),I178)</f>
        <v>0</v>
      </c>
      <c r="J193" s="281">
        <f>ProductionFY1(2,J160,VLOOKUP(J160,ProductsRange,3,FALSE),J178)</f>
        <v>2.78054614311341</v>
      </c>
      <c r="K193" s="281">
        <f>ProductionFY1(2,K160,VLOOKUP(K160,ProductsRange,3,FALSE),K178)</f>
        <v>3.74725274725275</v>
      </c>
      <c r="L193" s="281">
        <f>ProductionFY1(2,L160,VLOOKUP(L160,ProductsRange,3,FALSE),L178)</f>
        <v>0</v>
      </c>
      <c r="M193" s="261"/>
      <c r="O193" s="308"/>
      <c r="R193" s="308"/>
      <c r="S193" s="308"/>
    </row>
    <row r="194" s="140" customFormat="1" hidden="1" spans="1:19">
      <c r="A194" s="203"/>
      <c r="B194" s="96" t="s">
        <v>258</v>
      </c>
      <c r="C194" s="297">
        <f t="shared" si="17"/>
        <v>10</v>
      </c>
      <c r="D194" s="281">
        <f>ProductionFY1(3,D160,VLOOKUP(D160,ProductsRange,3,FALSE),D179)</f>
        <v>1.33826231516318</v>
      </c>
      <c r="E194" s="281">
        <f>ProductionFY1(3,E160,VLOOKUP(E160,ProductsRange,3,FALSE),E179)</f>
        <v>1.0894495412844</v>
      </c>
      <c r="F194" s="281">
        <f>ProductionFY1(3,F160,VLOOKUP(F160,ProductsRange,3,FALSE),F179)</f>
        <v>0</v>
      </c>
      <c r="G194" s="281">
        <f>ProductionFY1(3,G160,VLOOKUP(G160,ProductsRange,3,FALSE),G179)</f>
        <v>0</v>
      </c>
      <c r="H194" s="281">
        <f>ProductionFY1(3,H160,VLOOKUP(H160,ProductsRange,3,FALSE),H179)</f>
        <v>0</v>
      </c>
      <c r="I194" s="281">
        <f>ProductionFY1(3,I160,VLOOKUP(I160,ProductsRange,3,FALSE),I179)</f>
        <v>0</v>
      </c>
      <c r="J194" s="281">
        <f>ProductionFY1(3,J160,VLOOKUP(J160,ProductsRange,3,FALSE),J179)</f>
        <v>3.66173768483682</v>
      </c>
      <c r="K194" s="281">
        <f>ProductionFY1(3,K160,VLOOKUP(K160,ProductsRange,3,FALSE),K179)</f>
        <v>3.9105504587156</v>
      </c>
      <c r="L194" s="281">
        <f>ProductionFY1(3,L160,VLOOKUP(L160,ProductsRange,3,FALSE),L179)</f>
        <v>0</v>
      </c>
      <c r="M194" s="261"/>
      <c r="O194" s="308"/>
      <c r="R194" s="308"/>
      <c r="S194" s="308"/>
    </row>
    <row r="195" s="140" customFormat="1" hidden="1" spans="1:19">
      <c r="A195" s="203"/>
      <c r="B195" s="96" t="s">
        <v>259</v>
      </c>
      <c r="C195" s="297">
        <f t="shared" si="17"/>
        <v>11</v>
      </c>
      <c r="D195" s="281">
        <f>ProductionFY1(4,D160,VLOOKUP(D160,ProductsRange,3,FALSE),D180)</f>
        <v>1.19268558951965</v>
      </c>
      <c r="E195" s="281">
        <f>ProductionFY1(4,E160,VLOOKUP(E160,ProductsRange,3,FALSE),E180)</f>
        <v>1.30733944954128</v>
      </c>
      <c r="F195" s="281">
        <f>ProductionFY1(4,F160,VLOOKUP(F160,ProductsRange,3,FALSE),F180)</f>
        <v>0</v>
      </c>
      <c r="G195" s="281">
        <f>ProductionFY1(4,G160,VLOOKUP(G160,ProductsRange,3,FALSE),G180)</f>
        <v>0</v>
      </c>
      <c r="H195" s="281">
        <f>ProductionFY1(4,H160,VLOOKUP(H160,ProductsRange,3,FALSE),H180)</f>
        <v>0</v>
      </c>
      <c r="I195" s="281">
        <f>ProductionFY1(4,I160,VLOOKUP(I160,ProductsRange,3,FALSE),I180)</f>
        <v>0</v>
      </c>
      <c r="J195" s="281">
        <f>ProductionFY1(4,J160,VLOOKUP(J160,ProductsRange,3,FALSE),J180)</f>
        <v>3.80731441048035</v>
      </c>
      <c r="K195" s="281">
        <f>ProductionFY1(4,K160,VLOOKUP(K160,ProductsRange,3,FALSE),K180)</f>
        <v>4.69266055045872</v>
      </c>
      <c r="L195" s="281">
        <f>ProductionFY1(4,L160,VLOOKUP(L160,ProductsRange,3,FALSE),L180)</f>
        <v>0</v>
      </c>
      <c r="M195" s="261"/>
      <c r="O195" s="308"/>
      <c r="R195" s="308"/>
      <c r="S195" s="308"/>
    </row>
    <row r="196" s="140" customFormat="1" hidden="1" spans="1:19">
      <c r="A196" s="203"/>
      <c r="B196" s="96" t="s">
        <v>260</v>
      </c>
      <c r="C196" s="297">
        <f t="shared" si="17"/>
        <v>15</v>
      </c>
      <c r="D196" s="281">
        <f>ProductionFY1(5,D160,VLOOKUP(D160,ProductsRange,3,FALSE),D181)</f>
        <v>1.43122270742358</v>
      </c>
      <c r="E196" s="281">
        <f>ProductionFY1(5,E160,VLOOKUP(E160,ProductsRange,3,FALSE),E181)</f>
        <v>1.52522935779817</v>
      </c>
      <c r="F196" s="281">
        <f>ProductionFY1(5,F160,VLOOKUP(F160,ProductsRange,3,FALSE),F181)</f>
        <v>1</v>
      </c>
      <c r="G196" s="281">
        <f>ProductionFY1(5,G160,VLOOKUP(G160,ProductsRange,3,FALSE),G181)</f>
        <v>0</v>
      </c>
      <c r="H196" s="281">
        <f>ProductionFY1(5,H160,VLOOKUP(H160,ProductsRange,3,FALSE),H181)</f>
        <v>0</v>
      </c>
      <c r="I196" s="281">
        <f>ProductionFY1(5,I160,VLOOKUP(I160,ProductsRange,3,FALSE),I181)</f>
        <v>1</v>
      </c>
      <c r="J196" s="281">
        <f>ProductionFY1(5,J160,VLOOKUP(J160,ProductsRange,3,FALSE),J181)</f>
        <v>4.56877729257642</v>
      </c>
      <c r="K196" s="281">
        <f>ProductionFY1(5,K160,VLOOKUP(K160,ProductsRange,3,FALSE),K181)</f>
        <v>5.47477064220183</v>
      </c>
      <c r="L196" s="281">
        <f>ProductionFY1(5,L160,VLOOKUP(L160,ProductsRange,3,FALSE),L181)</f>
        <v>0</v>
      </c>
      <c r="M196" s="261"/>
      <c r="O196" s="308"/>
      <c r="R196" s="308"/>
      <c r="S196" s="308"/>
    </row>
    <row r="197" s="140" customFormat="1" hidden="1" spans="2:19">
      <c r="B197" s="96" t="s">
        <v>261</v>
      </c>
      <c r="C197" s="297">
        <f t="shared" si="17"/>
        <v>21</v>
      </c>
      <c r="D197" s="281">
        <f>ProductionFY1(6,D160,VLOOKUP(D160,ProductsRange,3,FALSE),D182)</f>
        <v>1.90829694323144</v>
      </c>
      <c r="E197" s="281">
        <f>ProductionFY1(6,E160,VLOOKUP(E160,ProductsRange,3,FALSE),E182)</f>
        <v>1.96100917431193</v>
      </c>
      <c r="F197" s="281">
        <f>ProductionFY1(6,F160,VLOOKUP(F160,ProductsRange,3,FALSE),F182)</f>
        <v>1</v>
      </c>
      <c r="G197" s="281">
        <f>ProductionFY1(6,G160,VLOOKUP(G160,ProductsRange,3,FALSE),G182)</f>
        <v>1</v>
      </c>
      <c r="H197" s="281">
        <f>ProductionFY1(6,H160,VLOOKUP(H160,ProductsRange,3,FALSE),H182)</f>
        <v>1</v>
      </c>
      <c r="I197" s="281">
        <f>ProductionFY1(6,I160,VLOOKUP(I160,ProductsRange,3,FALSE),I182)</f>
        <v>1</v>
      </c>
      <c r="J197" s="281">
        <f>ProductionFY1(6,J160,VLOOKUP(J160,ProductsRange,3,FALSE),J182)</f>
        <v>6.09170305676856</v>
      </c>
      <c r="K197" s="281">
        <f>ProductionFY1(6,K160,VLOOKUP(K160,ProductsRange,3,FALSE),K182)</f>
        <v>7.03899082568807</v>
      </c>
      <c r="L197" s="281">
        <f>ProductionFY1(6,L160,VLOOKUP(L160,ProductsRange,3,FALSE),L182)</f>
        <v>0</v>
      </c>
      <c r="M197" s="261"/>
      <c r="O197" s="308"/>
      <c r="R197" s="308"/>
      <c r="S197" s="308"/>
    </row>
    <row r="198" s="140" customFormat="1" hidden="1" spans="2:19">
      <c r="B198" s="96" t="s">
        <v>262</v>
      </c>
      <c r="C198" s="297">
        <f t="shared" si="17"/>
        <v>21</v>
      </c>
      <c r="D198" s="281">
        <f>ProductionFY1(7,D160,VLOOKUP(D160,ProductsRange,3,FALSE),D183)</f>
        <v>1.90829694323144</v>
      </c>
      <c r="E198" s="281">
        <f>ProductionFY1(7,E160,VLOOKUP(E160,ProductsRange,3,FALSE),E183)</f>
        <v>1.96100917431193</v>
      </c>
      <c r="F198" s="281">
        <f>ProductionFY1(7,F160,VLOOKUP(F160,ProductsRange,3,FALSE),F183)</f>
        <v>1</v>
      </c>
      <c r="G198" s="281">
        <f>ProductionFY1(7,G160,VLOOKUP(G160,ProductsRange,3,FALSE),G183)</f>
        <v>1</v>
      </c>
      <c r="H198" s="281">
        <f>ProductionFY1(7,H160,VLOOKUP(H160,ProductsRange,3,FALSE),H183)</f>
        <v>1</v>
      </c>
      <c r="I198" s="281">
        <f>ProductionFY1(7,I160,VLOOKUP(I160,ProductsRange,3,FALSE),I183)</f>
        <v>1</v>
      </c>
      <c r="J198" s="281">
        <f>ProductionFY1(7,J160,VLOOKUP(J160,ProductsRange,3,FALSE),J183)</f>
        <v>6.09170305676856</v>
      </c>
      <c r="K198" s="281">
        <f>ProductionFY1(7,K160,VLOOKUP(K160,ProductsRange,3,FALSE),K183)</f>
        <v>7.03899082568807</v>
      </c>
      <c r="L198" s="281">
        <f>ProductionFY1(7,L160,VLOOKUP(L160,ProductsRange,3,FALSE),L183)</f>
        <v>0</v>
      </c>
      <c r="M198" s="261"/>
      <c r="O198" s="308"/>
      <c r="R198" s="308"/>
      <c r="S198" s="308"/>
    </row>
    <row r="199" s="140" customFormat="1" hidden="1" spans="2:19">
      <c r="B199" s="96" t="s">
        <v>263</v>
      </c>
      <c r="C199" s="297">
        <f t="shared" si="17"/>
        <v>24</v>
      </c>
      <c r="D199" s="281">
        <f>ProductionFY1(8,D160,VLOOKUP(D160,ProductsRange,3,FALSE),D184)</f>
        <v>1.86309805779252</v>
      </c>
      <c r="E199" s="281">
        <f>ProductionFY1(8,E160,VLOOKUP(E160,ProductsRange,3,FALSE),E184)</f>
        <v>2.23768736616702</v>
      </c>
      <c r="F199" s="281">
        <f>ProductionFY1(8,F160,VLOOKUP(F160,ProductsRange,3,FALSE),F184)</f>
        <v>1</v>
      </c>
      <c r="G199" s="281">
        <f>ProductionFY1(8,G160,VLOOKUP(G160,ProductsRange,3,FALSE),G184)</f>
        <v>1</v>
      </c>
      <c r="H199" s="281">
        <f>ProductionFY1(8,H160,VLOOKUP(H160,ProductsRange,3,FALSE),H184)</f>
        <v>1</v>
      </c>
      <c r="I199" s="281">
        <f>ProductionFY1(8,I160,VLOOKUP(I160,ProductsRange,3,FALSE),I184)</f>
        <v>1</v>
      </c>
      <c r="J199" s="281">
        <f>ProductionFY1(8,J160,VLOOKUP(J160,ProductsRange,3,FALSE),J184)</f>
        <v>7.13690194220749</v>
      </c>
      <c r="K199" s="281">
        <f>ProductionFY1(8,K160,VLOOKUP(K160,ProductsRange,3,FALSE),K184)</f>
        <v>8.76231263383298</v>
      </c>
      <c r="L199" s="281">
        <f>ProductionFY1(8,L160,VLOOKUP(L160,ProductsRange,3,FALSE),L184)</f>
        <v>0</v>
      </c>
      <c r="M199" s="261"/>
      <c r="O199" s="308"/>
      <c r="R199" s="308"/>
      <c r="S199" s="308"/>
    </row>
    <row r="200" s="140" customFormat="1" hidden="1" spans="2:19">
      <c r="B200" s="96" t="s">
        <v>264</v>
      </c>
      <c r="C200" s="297">
        <f t="shared" si="17"/>
        <v>24</v>
      </c>
      <c r="D200" s="281">
        <f>ProductionFY1(9,D160,VLOOKUP(D160,ProductsRange,3,FALSE),D185)</f>
        <v>1.86309805779252</v>
      </c>
      <c r="E200" s="281">
        <f>ProductionFY1(9,E160,VLOOKUP(E160,ProductsRange,3,FALSE),E185)</f>
        <v>2.23768736616702</v>
      </c>
      <c r="F200" s="281">
        <f>ProductionFY1(9,F160,VLOOKUP(F160,ProductsRange,3,FALSE),F185)</f>
        <v>1</v>
      </c>
      <c r="G200" s="281">
        <f>ProductionFY1(9,G160,VLOOKUP(G160,ProductsRange,3,FALSE),G185)</f>
        <v>1</v>
      </c>
      <c r="H200" s="281">
        <f>ProductionFY1(9,H160,VLOOKUP(H160,ProductsRange,3,FALSE),H185)</f>
        <v>1</v>
      </c>
      <c r="I200" s="281">
        <f>ProductionFY1(9,I160,VLOOKUP(I160,ProductsRange,3,FALSE),I185)</f>
        <v>1</v>
      </c>
      <c r="J200" s="281">
        <f>ProductionFY1(9,J160,VLOOKUP(J160,ProductsRange,3,FALSE),J185)</f>
        <v>7.13690194220749</v>
      </c>
      <c r="K200" s="281">
        <f>ProductionFY1(9,K160,VLOOKUP(K160,ProductsRange,3,FALSE),K185)</f>
        <v>8.76231263383298</v>
      </c>
      <c r="L200" s="281">
        <f>ProductionFY1(9,L160,VLOOKUP(L160,ProductsRange,3,FALSE),L185)</f>
        <v>0</v>
      </c>
      <c r="M200" s="261"/>
      <c r="O200" s="308"/>
      <c r="R200" s="308"/>
      <c r="S200" s="308"/>
    </row>
    <row r="201" s="140" customFormat="1" hidden="1" spans="2:19">
      <c r="B201" s="96" t="s">
        <v>265</v>
      </c>
      <c r="C201" s="297">
        <f t="shared" si="17"/>
        <v>22</v>
      </c>
      <c r="D201" s="281">
        <f>ProductionFY1(10,D160,VLOOKUP(D160,ProductsRange,3,FALSE),D186)</f>
        <v>1.77326908445346</v>
      </c>
      <c r="E201" s="281">
        <f>ProductionFY1(10,E160,VLOOKUP(E160,ProductsRange,3,FALSE),E186)</f>
        <v>2.17889908256881</v>
      </c>
      <c r="F201" s="281">
        <f>ProductionFY1(10,F160,VLOOKUP(F160,ProductsRange,3,FALSE),F186)</f>
        <v>1</v>
      </c>
      <c r="G201" s="281">
        <f>ProductionFY1(10,G160,VLOOKUP(G160,ProductsRange,3,FALSE),G186)</f>
        <v>1</v>
      </c>
      <c r="H201" s="281">
        <f>ProductionFY1(10,H160,VLOOKUP(H160,ProductsRange,3,FALSE),H186)</f>
        <v>1</v>
      </c>
      <c r="I201" s="281">
        <f>ProductionFY1(10,I160,VLOOKUP(I160,ProductsRange,3,FALSE),I186)</f>
        <v>1</v>
      </c>
      <c r="J201" s="281">
        <f>ProductionFY1(10,J160,VLOOKUP(J160,ProductsRange,3,FALSE),J186)</f>
        <v>6.22673091554654</v>
      </c>
      <c r="K201" s="281">
        <f>ProductionFY1(10,K160,VLOOKUP(K160,ProductsRange,3,FALSE),K186)</f>
        <v>7.82110091743119</v>
      </c>
      <c r="L201" s="281">
        <f>ProductionFY1(10,L160,VLOOKUP(L160,ProductsRange,3,FALSE),L186)</f>
        <v>0</v>
      </c>
      <c r="M201" s="261"/>
      <c r="O201" s="308"/>
      <c r="R201" s="308"/>
      <c r="S201" s="308"/>
    </row>
    <row r="202" s="140" customFormat="1" hidden="1" spans="2:19">
      <c r="B202" s="96" t="s">
        <v>266</v>
      </c>
      <c r="C202" s="297">
        <f t="shared" si="17"/>
        <v>11</v>
      </c>
      <c r="D202" s="281">
        <f>ProductionFY1(11,D160,VLOOKUP(D160,ProductsRange,3,FALSE),D187)</f>
        <v>1.19268558951965</v>
      </c>
      <c r="E202" s="281">
        <f>ProductionFY1(11,E160,VLOOKUP(E160,ProductsRange,3,FALSE),E187)</f>
        <v>1.30733944954128</v>
      </c>
      <c r="F202" s="281">
        <f>ProductionFY1(11,F160,VLOOKUP(F160,ProductsRange,3,FALSE),F187)</f>
        <v>0</v>
      </c>
      <c r="G202" s="281">
        <f>ProductionFY1(11,G160,VLOOKUP(G160,ProductsRange,3,FALSE),G187)</f>
        <v>0</v>
      </c>
      <c r="H202" s="281">
        <f>ProductionFY1(11,H160,VLOOKUP(H160,ProductsRange,3,FALSE),H187)</f>
        <v>0</v>
      </c>
      <c r="I202" s="281">
        <f>ProductionFY1(11,I160,VLOOKUP(I160,ProductsRange,3,FALSE),I187)</f>
        <v>0</v>
      </c>
      <c r="J202" s="281">
        <f>ProductionFY1(11,J160,VLOOKUP(J160,ProductsRange,3,FALSE),J187)</f>
        <v>3.80731441048035</v>
      </c>
      <c r="K202" s="281">
        <f>ProductionFY1(11,K160,VLOOKUP(K160,ProductsRange,3,FALSE),K187)</f>
        <v>4.69266055045872</v>
      </c>
      <c r="L202" s="281">
        <f>ProductionFY1(11,L160,VLOOKUP(L160,ProductsRange,3,FALSE),L187)</f>
        <v>0</v>
      </c>
      <c r="M202" s="261"/>
      <c r="O202" s="308"/>
      <c r="R202" s="308"/>
      <c r="S202" s="308"/>
    </row>
    <row r="203" s="140" customFormat="1" hidden="1" spans="2:19">
      <c r="B203" s="96" t="s">
        <v>267</v>
      </c>
      <c r="C203" s="297">
        <f t="shared" si="17"/>
        <v>10</v>
      </c>
      <c r="D203" s="281">
        <f>ProductionFY1(12,D160,VLOOKUP(D160,ProductsRange,3,FALSE),D188)</f>
        <v>1.19268558951965</v>
      </c>
      <c r="E203" s="281">
        <f>ProductionFY1(12,E160,VLOOKUP(E160,ProductsRange,3,FALSE),E188)</f>
        <v>1.22648469199557</v>
      </c>
      <c r="F203" s="281">
        <f>ProductionFY1(12,F160,VLOOKUP(F160,ProductsRange,3,FALSE),F188)</f>
        <v>0</v>
      </c>
      <c r="G203" s="281">
        <f>ProductionFY1(12,G160,VLOOKUP(G160,ProductsRange,3,FALSE),G188)</f>
        <v>0</v>
      </c>
      <c r="H203" s="281">
        <f>ProductionFY1(12,H160,VLOOKUP(H160,ProductsRange,3,FALSE),H188)</f>
        <v>0</v>
      </c>
      <c r="I203" s="281">
        <f>ProductionFY1(12,I160,VLOOKUP(I160,ProductsRange,3,FALSE),I188)</f>
        <v>0</v>
      </c>
      <c r="J203" s="281">
        <f>ProductionFY1(12,J160,VLOOKUP(J160,ProductsRange,3,FALSE),J188)</f>
        <v>3.80731441048035</v>
      </c>
      <c r="K203" s="281">
        <f>ProductionFY1(12,K160,VLOOKUP(K160,ProductsRange,3,FALSE),K188)</f>
        <v>3.77351530800443</v>
      </c>
      <c r="L203" s="281">
        <f>ProductionFY1(12,L160,VLOOKUP(L160,ProductsRange,3,FALSE),L188)</f>
        <v>0</v>
      </c>
      <c r="M203" s="261"/>
      <c r="O203" s="308"/>
      <c r="R203" s="308"/>
      <c r="S203" s="308"/>
    </row>
    <row r="204" s="140" customFormat="1" hidden="1" spans="1:19">
      <c r="A204" s="298" t="s">
        <v>272</v>
      </c>
      <c r="B204" s="203"/>
      <c r="C204" s="262" t="s">
        <v>117</v>
      </c>
      <c r="D204" s="299">
        <f t="shared" ref="D204:I204" si="18">SUM(D177:D188)</f>
        <v>23118.387703488</v>
      </c>
      <c r="E204" s="300">
        <f t="shared" si="18"/>
        <v>25128.6822864</v>
      </c>
      <c r="F204" s="300">
        <f t="shared" si="18"/>
        <v>14072.062080384</v>
      </c>
      <c r="G204" s="300">
        <f t="shared" si="18"/>
        <v>12061.767497472</v>
      </c>
      <c r="H204" s="300">
        <f t="shared" si="18"/>
        <v>12061.767497472</v>
      </c>
      <c r="I204" s="300">
        <f t="shared" si="18"/>
        <v>14072.062080384</v>
      </c>
      <c r="J204" s="309">
        <f>J189</f>
        <v>73798.97218848</v>
      </c>
      <c r="K204" s="309">
        <f>K189</f>
        <v>90198.74378592</v>
      </c>
      <c r="L204" s="309">
        <f>L189</f>
        <v>0</v>
      </c>
      <c r="O204" s="308"/>
      <c r="R204" s="308"/>
      <c r="S204" s="308"/>
    </row>
    <row r="205" s="140" customFormat="1" hidden="1" spans="1:19">
      <c r="A205" s="298" t="s">
        <v>273</v>
      </c>
      <c r="B205" s="203"/>
      <c r="C205" s="262" t="s">
        <v>117</v>
      </c>
      <c r="D205" s="299">
        <f t="shared" ref="D205:K205" si="19">SUM(D192:D203)*capacity</f>
        <v>22447.1106533611</v>
      </c>
      <c r="E205" s="299">
        <f t="shared" si="19"/>
        <v>24226.6601573856</v>
      </c>
      <c r="F205" s="299">
        <f t="shared" si="19"/>
        <v>7440</v>
      </c>
      <c r="G205" s="299">
        <f t="shared" si="19"/>
        <v>6200</v>
      </c>
      <c r="H205" s="299">
        <f t="shared" si="19"/>
        <v>6200</v>
      </c>
      <c r="I205" s="299">
        <f t="shared" si="19"/>
        <v>7440</v>
      </c>
      <c r="J205" s="299">
        <f t="shared" si="19"/>
        <v>71792.8893466389</v>
      </c>
      <c r="K205" s="299">
        <f t="shared" si="19"/>
        <v>86133.3398426144</v>
      </c>
      <c r="L205" s="299">
        <f>SUM(L192:L203)*capacity</f>
        <v>0</v>
      </c>
      <c r="O205" s="308"/>
      <c r="R205" s="308"/>
      <c r="S205" s="308"/>
    </row>
    <row r="206" s="140" customFormat="1" hidden="1" spans="1:19">
      <c r="A206" s="298" t="s">
        <v>274</v>
      </c>
      <c r="B206" s="203"/>
      <c r="C206" s="262" t="s">
        <v>117</v>
      </c>
      <c r="D206" s="299">
        <f t="shared" ref="D206:L206" si="20">D204-D205</f>
        <v>671.277050126875</v>
      </c>
      <c r="E206" s="300">
        <f t="shared" si="20"/>
        <v>902.022129014415</v>
      </c>
      <c r="F206" s="300">
        <f t="shared" si="20"/>
        <v>6632.062080384</v>
      </c>
      <c r="G206" s="300">
        <f t="shared" si="20"/>
        <v>5861.767497472</v>
      </c>
      <c r="H206" s="300">
        <f t="shared" si="20"/>
        <v>5861.767497472</v>
      </c>
      <c r="I206" s="300">
        <f t="shared" si="20"/>
        <v>6632.062080384</v>
      </c>
      <c r="J206" s="300">
        <f t="shared" si="20"/>
        <v>2006.08284184113</v>
      </c>
      <c r="K206" s="300">
        <f t="shared" si="20"/>
        <v>4065.40394330562</v>
      </c>
      <c r="L206" s="300">
        <f t="shared" si="20"/>
        <v>0</v>
      </c>
      <c r="O206" s="308"/>
      <c r="R206" s="308"/>
      <c r="S206" s="308"/>
    </row>
    <row r="207" s="202" customFormat="1" hidden="1" spans="1:48">
      <c r="A207" s="258"/>
      <c r="B207" s="259" t="s">
        <v>104</v>
      </c>
      <c r="C207" s="259"/>
      <c r="D207" s="301" t="s">
        <v>255</v>
      </c>
      <c r="E207" s="301"/>
      <c r="F207" s="301"/>
      <c r="G207" s="301"/>
      <c r="H207" s="301"/>
      <c r="I207" s="301"/>
      <c r="J207" s="301"/>
      <c r="K207" s="301"/>
      <c r="L207" s="301"/>
      <c r="M207" s="140"/>
      <c r="N207" s="140"/>
      <c r="O207" s="140"/>
      <c r="P207" s="140"/>
      <c r="Q207" s="140"/>
      <c r="R207" s="140"/>
      <c r="S207" s="140"/>
      <c r="T207" s="140"/>
      <c r="U207" s="140"/>
      <c r="V207" s="140"/>
      <c r="W207" s="140"/>
      <c r="AG207" s="140"/>
      <c r="AH207" s="140"/>
      <c r="AI207" s="140"/>
      <c r="AJ207" s="140"/>
      <c r="AK207" s="140"/>
      <c r="AL207" s="140"/>
      <c r="AM207" s="140"/>
      <c r="AN207" s="140"/>
      <c r="AO207" s="140"/>
      <c r="AP207" s="140"/>
      <c r="AQ207" s="140"/>
      <c r="AR207" s="140"/>
      <c r="AS207" s="140"/>
      <c r="AT207" s="140"/>
      <c r="AU207" s="140"/>
      <c r="AV207" s="140"/>
    </row>
    <row r="208" s="202" customFormat="1" hidden="1" spans="1:48">
      <c r="A208" s="261"/>
      <c r="B208" s="262" t="s">
        <v>256</v>
      </c>
      <c r="D208" s="1479">
        <v>0.07</v>
      </c>
      <c r="E208" s="1479">
        <v>0.06</v>
      </c>
      <c r="F208" s="1479">
        <v>0.05</v>
      </c>
      <c r="G208" s="1479">
        <v>0.05</v>
      </c>
      <c r="H208" s="1479">
        <v>0.05</v>
      </c>
      <c r="I208" s="1479">
        <v>0.05</v>
      </c>
      <c r="J208" s="1479">
        <v>0.05</v>
      </c>
      <c r="K208" s="1479">
        <v>0.05</v>
      </c>
      <c r="L208" s="1479"/>
      <c r="M208" s="140"/>
      <c r="N208" s="140"/>
      <c r="O208" s="140"/>
      <c r="P208" s="140"/>
      <c r="Q208" s="140"/>
      <c r="R208" s="140"/>
      <c r="S208" s="140"/>
      <c r="T208" s="140"/>
      <c r="U208" s="140"/>
      <c r="V208" s="140"/>
      <c r="W208" s="140"/>
      <c r="AG208" s="140"/>
      <c r="AH208" s="140"/>
      <c r="AI208" s="140"/>
      <c r="AJ208" s="140"/>
      <c r="AK208" s="140"/>
      <c r="AL208" s="140"/>
      <c r="AM208" s="140"/>
      <c r="AN208" s="140"/>
      <c r="AO208" s="140"/>
      <c r="AP208" s="140"/>
      <c r="AQ208" s="140"/>
      <c r="AR208" s="140"/>
      <c r="AS208" s="140"/>
      <c r="AT208" s="140"/>
      <c r="AU208" s="140"/>
      <c r="AV208" s="140"/>
    </row>
    <row r="209" s="202" customFormat="1" hidden="1" spans="1:48">
      <c r="A209" s="264"/>
      <c r="B209" s="262" t="s">
        <v>257</v>
      </c>
      <c r="D209" s="1479">
        <v>0.07</v>
      </c>
      <c r="E209" s="1479">
        <v>0.06</v>
      </c>
      <c r="F209" s="1479">
        <v>0.05</v>
      </c>
      <c r="G209" s="1479">
        <v>0.05</v>
      </c>
      <c r="H209" s="1479">
        <v>0.05</v>
      </c>
      <c r="I209" s="1479">
        <v>0.05</v>
      </c>
      <c r="J209" s="1479">
        <v>0.05</v>
      </c>
      <c r="K209" s="1479">
        <v>0.05</v>
      </c>
      <c r="L209" s="1479"/>
      <c r="M209" s="140"/>
      <c r="N209" s="140"/>
      <c r="O209" s="140"/>
      <c r="P209" s="140"/>
      <c r="Q209" s="140"/>
      <c r="R209" s="140"/>
      <c r="S209" s="140"/>
      <c r="T209" s="140"/>
      <c r="U209" s="140"/>
      <c r="V209" s="140"/>
      <c r="W209" s="140"/>
      <c r="AG209" s="140"/>
      <c r="AH209" s="140"/>
      <c r="AI209" s="140"/>
      <c r="AJ209" s="140"/>
      <c r="AK209" s="140"/>
      <c r="AL209" s="140"/>
      <c r="AM209" s="140"/>
      <c r="AN209" s="140"/>
      <c r="AO209" s="140"/>
      <c r="AP209" s="140"/>
      <c r="AQ209" s="140"/>
      <c r="AR209" s="140"/>
      <c r="AS209" s="140"/>
      <c r="AT209" s="140"/>
      <c r="AU209" s="140"/>
      <c r="AV209" s="140"/>
    </row>
    <row r="210" s="202" customFormat="1" hidden="1" spans="1:48">
      <c r="A210" s="203"/>
      <c r="B210" s="96" t="s">
        <v>258</v>
      </c>
      <c r="D210" s="1479">
        <v>0.07</v>
      </c>
      <c r="E210" s="1479">
        <v>0.06</v>
      </c>
      <c r="F210" s="1479">
        <v>0.06</v>
      </c>
      <c r="G210" s="1479">
        <v>0.06</v>
      </c>
      <c r="H210" s="1479">
        <v>0.06</v>
      </c>
      <c r="I210" s="1479">
        <v>0.06</v>
      </c>
      <c r="J210" s="1479">
        <v>0.06</v>
      </c>
      <c r="K210" s="1479">
        <v>0.06</v>
      </c>
      <c r="L210" s="1479"/>
      <c r="M210" s="140"/>
      <c r="N210" s="140"/>
      <c r="O210" s="140"/>
      <c r="P210" s="140"/>
      <c r="Q210" s="140"/>
      <c r="R210" s="140"/>
      <c r="S210" s="140"/>
      <c r="T210" s="140"/>
      <c r="U210" s="140"/>
      <c r="V210" s="140"/>
      <c r="W210" s="140"/>
      <c r="AG210" s="140"/>
      <c r="AH210" s="140"/>
      <c r="AI210" s="140"/>
      <c r="AJ210" s="140"/>
      <c r="AK210" s="140"/>
      <c r="AL210" s="140"/>
      <c r="AM210" s="140"/>
      <c r="AN210" s="140"/>
      <c r="AO210" s="140"/>
      <c r="AP210" s="140"/>
      <c r="AQ210" s="140"/>
      <c r="AR210" s="140"/>
      <c r="AS210" s="140"/>
      <c r="AT210" s="140"/>
      <c r="AU210" s="140"/>
      <c r="AV210" s="140"/>
    </row>
    <row r="211" s="203" customFormat="1" hidden="1" spans="2:48">
      <c r="B211" s="96" t="s">
        <v>259</v>
      </c>
      <c r="D211" s="1479">
        <v>0.07</v>
      </c>
      <c r="E211" s="1479">
        <v>0.07</v>
      </c>
      <c r="F211" s="1479">
        <v>0.07</v>
      </c>
      <c r="G211" s="1479">
        <v>0.07</v>
      </c>
      <c r="H211" s="1479">
        <v>0.07</v>
      </c>
      <c r="I211" s="1479">
        <v>0.07</v>
      </c>
      <c r="J211" s="1479">
        <v>0.07</v>
      </c>
      <c r="K211" s="1479">
        <v>0.07</v>
      </c>
      <c r="L211" s="1479"/>
      <c r="M211" s="140"/>
      <c r="N211" s="140"/>
      <c r="O211" s="140"/>
      <c r="P211" s="140"/>
      <c r="Q211" s="140"/>
      <c r="R211" s="140"/>
      <c r="S211" s="140"/>
      <c r="T211" s="140"/>
      <c r="U211" s="140"/>
      <c r="V211" s="140"/>
      <c r="W211" s="140"/>
      <c r="AG211" s="140"/>
      <c r="AH211" s="140"/>
      <c r="AI211" s="140"/>
      <c r="AJ211" s="140"/>
      <c r="AK211" s="140"/>
      <c r="AL211" s="140"/>
      <c r="AM211" s="140"/>
      <c r="AN211" s="140"/>
      <c r="AO211" s="140"/>
      <c r="AP211" s="140"/>
      <c r="AQ211" s="140"/>
      <c r="AR211" s="140"/>
      <c r="AS211" s="140"/>
      <c r="AT211" s="140"/>
      <c r="AU211" s="140"/>
      <c r="AV211" s="140"/>
    </row>
    <row r="212" s="203" customFormat="1" hidden="1" spans="2:48">
      <c r="B212" s="96" t="s">
        <v>260</v>
      </c>
      <c r="D212" s="1479">
        <v>0.08</v>
      </c>
      <c r="E212" s="1479">
        <v>0.08</v>
      </c>
      <c r="F212" s="1479">
        <v>0.08</v>
      </c>
      <c r="G212" s="1479">
        <v>0.08</v>
      </c>
      <c r="H212" s="1479">
        <v>0.08</v>
      </c>
      <c r="I212" s="1479">
        <v>0.08</v>
      </c>
      <c r="J212" s="1479">
        <v>0.08</v>
      </c>
      <c r="K212" s="1479">
        <v>0.08</v>
      </c>
      <c r="L212" s="1479"/>
      <c r="M212" s="140"/>
      <c r="N212" s="140"/>
      <c r="O212" s="140"/>
      <c r="P212" s="140"/>
      <c r="Q212" s="140"/>
      <c r="R212" s="140"/>
      <c r="S212" s="140"/>
      <c r="T212" s="140"/>
      <c r="U212" s="140"/>
      <c r="V212" s="140"/>
      <c r="W212" s="140"/>
      <c r="AG212" s="140"/>
      <c r="AH212" s="140"/>
      <c r="AI212" s="140"/>
      <c r="AJ212" s="140"/>
      <c r="AK212" s="140"/>
      <c r="AL212" s="140"/>
      <c r="AM212" s="140"/>
      <c r="AN212" s="140"/>
      <c r="AO212" s="140"/>
      <c r="AP212" s="140"/>
      <c r="AQ212" s="140"/>
      <c r="AR212" s="140"/>
      <c r="AS212" s="140"/>
      <c r="AT212" s="140"/>
      <c r="AU212" s="140"/>
      <c r="AV212" s="140"/>
    </row>
    <row r="213" s="203" customFormat="1" hidden="1" spans="1:48">
      <c r="A213" s="140"/>
      <c r="B213" s="96" t="s">
        <v>261</v>
      </c>
      <c r="D213" s="1479">
        <v>0.1</v>
      </c>
      <c r="E213" s="1479">
        <v>0.1</v>
      </c>
      <c r="F213" s="1479">
        <v>0.1</v>
      </c>
      <c r="G213" s="1479">
        <v>0.1</v>
      </c>
      <c r="H213" s="1479">
        <v>0.1</v>
      </c>
      <c r="I213" s="1479">
        <v>0.1</v>
      </c>
      <c r="J213" s="1479">
        <v>0.1</v>
      </c>
      <c r="K213" s="1479">
        <v>0.1</v>
      </c>
      <c r="L213" s="1479"/>
      <c r="M213" s="140"/>
      <c r="N213" s="140"/>
      <c r="O213" s="140"/>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row>
    <row r="214" s="203" customFormat="1" hidden="1" spans="1:48">
      <c r="A214" s="140"/>
      <c r="B214" s="96" t="s">
        <v>262</v>
      </c>
      <c r="D214" s="1479">
        <v>0.1</v>
      </c>
      <c r="E214" s="1479">
        <v>0.1</v>
      </c>
      <c r="F214" s="1479">
        <v>0.1</v>
      </c>
      <c r="G214" s="1479">
        <v>0.1</v>
      </c>
      <c r="H214" s="1479">
        <v>0.1</v>
      </c>
      <c r="I214" s="1479">
        <v>0.1</v>
      </c>
      <c r="J214" s="1479">
        <v>0.1</v>
      </c>
      <c r="K214" s="1479">
        <v>0.1</v>
      </c>
      <c r="L214" s="1479"/>
      <c r="M214" s="140"/>
      <c r="N214" s="140"/>
      <c r="O214" s="140"/>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row>
    <row r="215" s="203" customFormat="1" hidden="1" spans="1:48">
      <c r="A215" s="140"/>
      <c r="B215" s="96" t="s">
        <v>263</v>
      </c>
      <c r="D215" s="1479">
        <v>0.1</v>
      </c>
      <c r="E215" s="1479">
        <v>0.11</v>
      </c>
      <c r="F215" s="1479">
        <v>0.12</v>
      </c>
      <c r="G215" s="1479">
        <v>0.12</v>
      </c>
      <c r="H215" s="1479">
        <v>0.12</v>
      </c>
      <c r="I215" s="1479">
        <v>0.12</v>
      </c>
      <c r="J215" s="1479">
        <v>0.12</v>
      </c>
      <c r="K215" s="1479">
        <v>0.12</v>
      </c>
      <c r="L215" s="1479"/>
      <c r="M215" s="140"/>
      <c r="N215" s="140"/>
      <c r="O215" s="140"/>
      <c r="P215" s="140"/>
      <c r="Q215" s="140"/>
      <c r="R215" s="140"/>
      <c r="S215" s="140"/>
      <c r="T215" s="140"/>
      <c r="U215" s="140"/>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row>
    <row r="216" s="203" customFormat="1" hidden="1" spans="1:48">
      <c r="A216" s="140"/>
      <c r="B216" s="96" t="s">
        <v>264</v>
      </c>
      <c r="D216" s="1479">
        <v>0.1</v>
      </c>
      <c r="E216" s="1479">
        <v>0.11</v>
      </c>
      <c r="F216" s="1479">
        <v>0.12</v>
      </c>
      <c r="G216" s="1479">
        <v>0.12</v>
      </c>
      <c r="H216" s="1479">
        <v>0.12</v>
      </c>
      <c r="I216" s="1479">
        <v>0.12</v>
      </c>
      <c r="J216" s="1479">
        <v>0.12</v>
      </c>
      <c r="K216" s="1479">
        <v>0.12</v>
      </c>
      <c r="L216" s="1479"/>
      <c r="M216" s="140"/>
      <c r="N216" s="140"/>
      <c r="O216" s="140"/>
      <c r="P216" s="140"/>
      <c r="Q216" s="140"/>
      <c r="R216" s="140"/>
      <c r="S216" s="140"/>
      <c r="T216" s="140"/>
      <c r="U216" s="140"/>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row>
    <row r="217" s="203" customFormat="1" hidden="1" spans="1:48">
      <c r="A217" s="140"/>
      <c r="B217" s="96" t="s">
        <v>265</v>
      </c>
      <c r="D217" s="1479">
        <v>0.1</v>
      </c>
      <c r="E217" s="1479">
        <v>0.11</v>
      </c>
      <c r="F217" s="1479">
        <v>0.11</v>
      </c>
      <c r="G217" s="1479">
        <v>0.11</v>
      </c>
      <c r="H217" s="1479">
        <v>0.11</v>
      </c>
      <c r="I217" s="1479">
        <v>0.11</v>
      </c>
      <c r="J217" s="1479">
        <v>0.11</v>
      </c>
      <c r="K217" s="1479">
        <v>0.11</v>
      </c>
      <c r="L217" s="1479"/>
      <c r="M217" s="140"/>
      <c r="N217" s="140"/>
      <c r="O217" s="140"/>
      <c r="P217" s="140"/>
      <c r="Q217" s="140"/>
      <c r="R217" s="140"/>
      <c r="S217" s="140"/>
      <c r="T217" s="140"/>
      <c r="U217" s="140"/>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row>
    <row r="218" s="203" customFormat="1" hidden="1" spans="1:48">
      <c r="A218" s="140"/>
      <c r="B218" s="96" t="s">
        <v>266</v>
      </c>
      <c r="D218" s="1479">
        <v>0.07</v>
      </c>
      <c r="E218" s="1479">
        <v>0.07</v>
      </c>
      <c r="F218" s="1479">
        <v>0.07</v>
      </c>
      <c r="G218" s="1479">
        <v>0.07</v>
      </c>
      <c r="H218" s="1479">
        <v>0.07</v>
      </c>
      <c r="I218" s="1479">
        <v>0.07</v>
      </c>
      <c r="J218" s="1479">
        <v>0.07</v>
      </c>
      <c r="K218" s="1479">
        <v>0.07</v>
      </c>
      <c r="L218" s="1479"/>
      <c r="M218" s="140"/>
      <c r="N218" s="140"/>
      <c r="O218" s="140"/>
      <c r="P218" s="140"/>
      <c r="Q218" s="140"/>
      <c r="R218" s="140"/>
      <c r="S218" s="140"/>
      <c r="T218" s="140"/>
      <c r="U218" s="140"/>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row>
    <row r="219" s="203" customFormat="1" hidden="1" spans="1:48">
      <c r="A219" s="140"/>
      <c r="B219" s="96" t="s">
        <v>267</v>
      </c>
      <c r="D219" s="1479">
        <v>0.07</v>
      </c>
      <c r="E219" s="1479">
        <v>0.07</v>
      </c>
      <c r="F219" s="1479">
        <v>0.07</v>
      </c>
      <c r="G219" s="1479">
        <v>0.07</v>
      </c>
      <c r="H219" s="1479">
        <v>0.07</v>
      </c>
      <c r="I219" s="1479">
        <v>0.07</v>
      </c>
      <c r="J219" s="1479">
        <v>0.07</v>
      </c>
      <c r="K219" s="1479">
        <v>0.07</v>
      </c>
      <c r="L219" s="1479"/>
      <c r="M219" s="140"/>
      <c r="N219" s="140"/>
      <c r="O219" s="140"/>
      <c r="P219" s="140"/>
      <c r="Q219" s="140"/>
      <c r="R219" s="140"/>
      <c r="S219" s="140"/>
      <c r="T219" s="140"/>
      <c r="U219" s="140"/>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row>
    <row r="220" s="203" customFormat="1" hidden="1" spans="1:48">
      <c r="A220" s="140"/>
      <c r="B220" s="96" t="s">
        <v>268</v>
      </c>
      <c r="D220" s="265">
        <f>SUM(D208:D219)</f>
        <v>1</v>
      </c>
      <c r="E220" s="265">
        <f t="shared" ref="E220:L220" si="21">SUM(E208:E219)</f>
        <v>1</v>
      </c>
      <c r="F220" s="265">
        <f t="shared" si="21"/>
        <v>1</v>
      </c>
      <c r="G220" s="265">
        <f t="shared" si="21"/>
        <v>1</v>
      </c>
      <c r="H220" s="265">
        <f t="shared" si="21"/>
        <v>1</v>
      </c>
      <c r="I220" s="265">
        <f t="shared" si="21"/>
        <v>1</v>
      </c>
      <c r="J220" s="265">
        <f t="shared" si="21"/>
        <v>1</v>
      </c>
      <c r="K220" s="265">
        <f t="shared" si="21"/>
        <v>1</v>
      </c>
      <c r="L220" s="265">
        <f t="shared" si="21"/>
        <v>0</v>
      </c>
      <c r="M220" s="140"/>
      <c r="N220" s="140"/>
      <c r="O220" s="140"/>
      <c r="P220" s="140"/>
      <c r="Q220" s="140"/>
      <c r="R220" s="140"/>
      <c r="S220" s="140"/>
      <c r="T220" s="140"/>
      <c r="U220" s="140"/>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row>
    <row r="221" s="203" customFormat="1" hidden="1" spans="1:48">
      <c r="A221" s="140"/>
      <c r="B221" s="96"/>
      <c r="D221" s="266" t="s">
        <v>269</v>
      </c>
      <c r="E221" s="266"/>
      <c r="F221" s="266"/>
      <c r="G221" s="266"/>
      <c r="H221" s="266"/>
      <c r="I221" s="266"/>
      <c r="J221" s="266"/>
      <c r="K221" s="266"/>
      <c r="L221" s="266"/>
      <c r="M221" s="140"/>
      <c r="N221" s="140"/>
      <c r="O221" s="140"/>
      <c r="P221" s="140"/>
      <c r="Q221" s="140"/>
      <c r="R221" s="140"/>
      <c r="S221" s="140"/>
      <c r="T221" s="140"/>
      <c r="U221" s="140"/>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row>
    <row r="222" s="140" customFormat="1" hidden="1" spans="1:12">
      <c r="A222" s="258"/>
      <c r="B222" s="262" t="s">
        <v>256</v>
      </c>
      <c r="D222" s="268">
        <f>D208*D234</f>
        <v>1797.59244639744</v>
      </c>
      <c r="E222" s="268">
        <f>E208*E234</f>
        <v>1476.59379525504</v>
      </c>
      <c r="F222" s="268">
        <f t="shared" ref="F222:L222" si="22">F208*F234</f>
        <v>748.9968526656</v>
      </c>
      <c r="G222" s="268">
        <f t="shared" si="22"/>
        <v>695.4970774752</v>
      </c>
      <c r="H222" s="268">
        <f t="shared" si="22"/>
        <v>695.4970774752</v>
      </c>
      <c r="I222" s="268">
        <f t="shared" si="22"/>
        <v>695.4970774752</v>
      </c>
      <c r="J222" s="268">
        <f t="shared" si="22"/>
        <v>4189.8771307008</v>
      </c>
      <c r="K222" s="268">
        <f t="shared" si="22"/>
        <v>4539.0335582592</v>
      </c>
      <c r="L222" s="268">
        <f t="shared" si="22"/>
        <v>0</v>
      </c>
    </row>
    <row r="223" s="140" customFormat="1" hidden="1" spans="1:12">
      <c r="A223" s="258"/>
      <c r="B223" s="262" t="s">
        <v>257</v>
      </c>
      <c r="D223" s="268">
        <f>D209*D234</f>
        <v>1797.59244639744</v>
      </c>
      <c r="E223" s="268">
        <f t="shared" ref="E223:L223" si="23">E209*E234</f>
        <v>1476.59379525504</v>
      </c>
      <c r="F223" s="268">
        <f t="shared" si="23"/>
        <v>748.9968526656</v>
      </c>
      <c r="G223" s="268">
        <f t="shared" si="23"/>
        <v>695.4970774752</v>
      </c>
      <c r="H223" s="268">
        <f t="shared" si="23"/>
        <v>695.4970774752</v>
      </c>
      <c r="I223" s="268">
        <f t="shared" si="23"/>
        <v>695.4970774752</v>
      </c>
      <c r="J223" s="268">
        <f t="shared" si="23"/>
        <v>4189.8771307008</v>
      </c>
      <c r="K223" s="268">
        <f t="shared" si="23"/>
        <v>4539.0335582592</v>
      </c>
      <c r="L223" s="268">
        <f t="shared" si="23"/>
        <v>0</v>
      </c>
    </row>
    <row r="224" s="140" customFormat="1" hidden="1" spans="1:12">
      <c r="A224" s="258"/>
      <c r="B224" s="96" t="s">
        <v>258</v>
      </c>
      <c r="D224" s="268">
        <f>D210*D234</f>
        <v>1797.59244639744</v>
      </c>
      <c r="E224" s="268">
        <f t="shared" ref="E224:L224" si="24">E210*E234</f>
        <v>1476.59379525504</v>
      </c>
      <c r="F224" s="268">
        <f t="shared" si="24"/>
        <v>898.79622319872</v>
      </c>
      <c r="G224" s="268">
        <f t="shared" si="24"/>
        <v>834.59649297024</v>
      </c>
      <c r="H224" s="268">
        <f t="shared" si="24"/>
        <v>834.59649297024</v>
      </c>
      <c r="I224" s="268">
        <f t="shared" si="24"/>
        <v>834.59649297024</v>
      </c>
      <c r="J224" s="268">
        <f t="shared" si="24"/>
        <v>5027.85255684096</v>
      </c>
      <c r="K224" s="268">
        <f t="shared" si="24"/>
        <v>5446.84026991104</v>
      </c>
      <c r="L224" s="268">
        <f t="shared" si="24"/>
        <v>0</v>
      </c>
    </row>
    <row r="225" s="140" customFormat="1" hidden="1" spans="1:12">
      <c r="A225" s="258"/>
      <c r="B225" s="96" t="s">
        <v>259</v>
      </c>
      <c r="D225" s="268">
        <f>D211*D234</f>
        <v>1797.59244639744</v>
      </c>
      <c r="E225" s="268">
        <f t="shared" ref="E225:L225" si="25">E211*E234</f>
        <v>1722.69276113088</v>
      </c>
      <c r="F225" s="268">
        <f t="shared" si="25"/>
        <v>1048.59559373184</v>
      </c>
      <c r="G225" s="268">
        <f t="shared" si="25"/>
        <v>973.69590846528</v>
      </c>
      <c r="H225" s="268">
        <f t="shared" si="25"/>
        <v>973.69590846528</v>
      </c>
      <c r="I225" s="268">
        <f t="shared" si="25"/>
        <v>973.69590846528</v>
      </c>
      <c r="J225" s="268">
        <f t="shared" si="25"/>
        <v>5865.82798298112</v>
      </c>
      <c r="K225" s="268">
        <f t="shared" si="25"/>
        <v>6354.64698156288</v>
      </c>
      <c r="L225" s="268">
        <f t="shared" si="25"/>
        <v>0</v>
      </c>
    </row>
    <row r="226" s="140" customFormat="1" hidden="1" spans="1:12">
      <c r="A226" s="222"/>
      <c r="B226" s="96" t="s">
        <v>260</v>
      </c>
      <c r="D226" s="268">
        <f>D212*D234</f>
        <v>2054.39136731136</v>
      </c>
      <c r="E226" s="268">
        <f t="shared" ref="E226:L226" si="26">E212*E234</f>
        <v>1968.79172700672</v>
      </c>
      <c r="F226" s="268">
        <f t="shared" si="26"/>
        <v>1198.39496426496</v>
      </c>
      <c r="G226" s="268">
        <f t="shared" si="26"/>
        <v>1112.79532396032</v>
      </c>
      <c r="H226" s="268">
        <f t="shared" si="26"/>
        <v>1112.79532396032</v>
      </c>
      <c r="I226" s="268">
        <f t="shared" si="26"/>
        <v>1112.79532396032</v>
      </c>
      <c r="J226" s="268">
        <f t="shared" si="26"/>
        <v>6703.80340912128</v>
      </c>
      <c r="K226" s="268">
        <f t="shared" si="26"/>
        <v>7262.45369321472</v>
      </c>
      <c r="L226" s="268">
        <f t="shared" si="26"/>
        <v>0</v>
      </c>
    </row>
    <row r="227" s="140" customFormat="1" hidden="1" spans="1:12">
      <c r="A227" s="302"/>
      <c r="B227" s="96" t="s">
        <v>261</v>
      </c>
      <c r="D227" s="268">
        <f>D213*D234</f>
        <v>2567.9892091392</v>
      </c>
      <c r="E227" s="268">
        <f t="shared" ref="E227:K227" si="27">E213*E234</f>
        <v>2460.9896587584</v>
      </c>
      <c r="F227" s="268">
        <f t="shared" si="27"/>
        <v>1497.9937053312</v>
      </c>
      <c r="G227" s="268">
        <f t="shared" si="27"/>
        <v>1390.9941549504</v>
      </c>
      <c r="H227" s="268">
        <f t="shared" si="27"/>
        <v>1390.9941549504</v>
      </c>
      <c r="I227" s="268">
        <f t="shared" si="27"/>
        <v>1390.9941549504</v>
      </c>
      <c r="J227" s="268">
        <f t="shared" si="27"/>
        <v>8379.7542614016</v>
      </c>
      <c r="K227" s="268">
        <f t="shared" si="27"/>
        <v>9078.0671165184</v>
      </c>
      <c r="L227" s="268">
        <f>L213*L$232</f>
        <v>0</v>
      </c>
    </row>
    <row r="228" s="140" customFormat="1" hidden="1" spans="1:12">
      <c r="A228" s="302"/>
      <c r="B228" s="96" t="s">
        <v>262</v>
      </c>
      <c r="D228" s="268">
        <f>D214*D234</f>
        <v>2567.9892091392</v>
      </c>
      <c r="E228" s="268">
        <f t="shared" ref="E228:L228" si="28">E214*E234</f>
        <v>2460.9896587584</v>
      </c>
      <c r="F228" s="268">
        <f t="shared" si="28"/>
        <v>1497.9937053312</v>
      </c>
      <c r="G228" s="268">
        <f t="shared" si="28"/>
        <v>1390.9941549504</v>
      </c>
      <c r="H228" s="268">
        <f t="shared" si="28"/>
        <v>1390.9941549504</v>
      </c>
      <c r="I228" s="268">
        <f t="shared" si="28"/>
        <v>1390.9941549504</v>
      </c>
      <c r="J228" s="268">
        <f t="shared" si="28"/>
        <v>8379.7542614016</v>
      </c>
      <c r="K228" s="268">
        <f t="shared" si="28"/>
        <v>9078.0671165184</v>
      </c>
      <c r="L228" s="268">
        <f t="shared" si="28"/>
        <v>0</v>
      </c>
    </row>
    <row r="229" s="140" customFormat="1" hidden="1" spans="1:12">
      <c r="A229" s="302"/>
      <c r="B229" s="96" t="s">
        <v>263</v>
      </c>
      <c r="D229" s="268">
        <f>D215*D234</f>
        <v>2567.9892091392</v>
      </c>
      <c r="E229" s="268">
        <f t="shared" ref="E229:L229" si="29">E215*E234</f>
        <v>2707.08862463424</v>
      </c>
      <c r="F229" s="268">
        <f t="shared" si="29"/>
        <v>1797.59244639744</v>
      </c>
      <c r="G229" s="268">
        <f t="shared" si="29"/>
        <v>1669.19298594048</v>
      </c>
      <c r="H229" s="268">
        <f t="shared" si="29"/>
        <v>1669.19298594048</v>
      </c>
      <c r="I229" s="268">
        <f t="shared" si="29"/>
        <v>1669.19298594048</v>
      </c>
      <c r="J229" s="268">
        <f t="shared" si="29"/>
        <v>10055.7051136819</v>
      </c>
      <c r="K229" s="268">
        <f t="shared" si="29"/>
        <v>10893.6805398221</v>
      </c>
      <c r="L229" s="268">
        <f t="shared" si="29"/>
        <v>0</v>
      </c>
    </row>
    <row r="230" s="140" customFormat="1" hidden="1" spans="1:12">
      <c r="A230" s="303"/>
      <c r="B230" s="96" t="s">
        <v>264</v>
      </c>
      <c r="D230" s="268">
        <f>D216*D234</f>
        <v>2567.9892091392</v>
      </c>
      <c r="E230" s="268">
        <f t="shared" ref="E230:L230" si="30">E216*E234</f>
        <v>2707.08862463424</v>
      </c>
      <c r="F230" s="268">
        <f t="shared" si="30"/>
        <v>1797.59244639744</v>
      </c>
      <c r="G230" s="268">
        <f t="shared" si="30"/>
        <v>1669.19298594048</v>
      </c>
      <c r="H230" s="268">
        <f t="shared" si="30"/>
        <v>1669.19298594048</v>
      </c>
      <c r="I230" s="268">
        <f t="shared" si="30"/>
        <v>1669.19298594048</v>
      </c>
      <c r="J230" s="268">
        <f t="shared" si="30"/>
        <v>10055.7051136819</v>
      </c>
      <c r="K230" s="268">
        <f t="shared" si="30"/>
        <v>10893.6805398221</v>
      </c>
      <c r="L230" s="268">
        <f t="shared" si="30"/>
        <v>0</v>
      </c>
    </row>
    <row r="231" s="140" customFormat="1" hidden="1" spans="1:12">
      <c r="A231" s="303"/>
      <c r="B231" s="96" t="s">
        <v>265</v>
      </c>
      <c r="D231" s="268">
        <f>D217*D234</f>
        <v>2567.9892091392</v>
      </c>
      <c r="E231" s="268">
        <f t="shared" ref="E231:L231" si="31">E217*E234</f>
        <v>2707.08862463424</v>
      </c>
      <c r="F231" s="268">
        <f t="shared" si="31"/>
        <v>1647.79307586432</v>
      </c>
      <c r="G231" s="268">
        <f t="shared" si="31"/>
        <v>1530.09357044544</v>
      </c>
      <c r="H231" s="268">
        <f t="shared" si="31"/>
        <v>1530.09357044544</v>
      </c>
      <c r="I231" s="268">
        <f t="shared" si="31"/>
        <v>1530.09357044544</v>
      </c>
      <c r="J231" s="268">
        <f t="shared" si="31"/>
        <v>9217.72968754176</v>
      </c>
      <c r="K231" s="268">
        <f t="shared" si="31"/>
        <v>9985.87382817024</v>
      </c>
      <c r="L231" s="268">
        <f t="shared" si="31"/>
        <v>0</v>
      </c>
    </row>
    <row r="232" s="140" customFormat="1" hidden="1" spans="1:12">
      <c r="A232" s="303"/>
      <c r="B232" s="96" t="s">
        <v>266</v>
      </c>
      <c r="D232" s="268">
        <f>D218*D234</f>
        <v>1797.59244639744</v>
      </c>
      <c r="E232" s="268">
        <f t="shared" ref="E232:L232" si="32">E218*E234</f>
        <v>1722.69276113088</v>
      </c>
      <c r="F232" s="268">
        <f t="shared" si="32"/>
        <v>1048.59559373184</v>
      </c>
      <c r="G232" s="268">
        <f t="shared" si="32"/>
        <v>973.69590846528</v>
      </c>
      <c r="H232" s="268">
        <f t="shared" si="32"/>
        <v>973.69590846528</v>
      </c>
      <c r="I232" s="268">
        <f t="shared" si="32"/>
        <v>973.69590846528</v>
      </c>
      <c r="J232" s="268">
        <f t="shared" si="32"/>
        <v>5865.82798298112</v>
      </c>
      <c r="K232" s="268">
        <f t="shared" si="32"/>
        <v>6354.64698156288</v>
      </c>
      <c r="L232" s="268">
        <f t="shared" si="32"/>
        <v>0</v>
      </c>
    </row>
    <row r="233" s="203" customFormat="1" hidden="1" spans="1:21">
      <c r="A233" s="303"/>
      <c r="B233" s="96" t="s">
        <v>267</v>
      </c>
      <c r="D233" s="268">
        <f>D219*D234</f>
        <v>1797.59244639744</v>
      </c>
      <c r="E233" s="268">
        <f t="shared" ref="E233:L233" si="33">E219*E234</f>
        <v>1722.69276113088</v>
      </c>
      <c r="F233" s="268">
        <f t="shared" si="33"/>
        <v>1048.59559373184</v>
      </c>
      <c r="G233" s="268">
        <f t="shared" si="33"/>
        <v>973.69590846528</v>
      </c>
      <c r="H233" s="268">
        <f t="shared" si="33"/>
        <v>973.69590846528</v>
      </c>
      <c r="I233" s="268">
        <f t="shared" si="33"/>
        <v>973.69590846528</v>
      </c>
      <c r="J233" s="268">
        <f t="shared" si="33"/>
        <v>5865.82798298112</v>
      </c>
      <c r="K233" s="268">
        <f t="shared" si="33"/>
        <v>6354.64698156288</v>
      </c>
      <c r="L233" s="268">
        <f t="shared" si="33"/>
        <v>0</v>
      </c>
      <c r="M233" s="140"/>
      <c r="N233" s="140"/>
      <c r="O233" s="140"/>
      <c r="P233" s="140"/>
      <c r="Q233" s="140"/>
      <c r="R233" s="140"/>
      <c r="S233" s="140"/>
      <c r="T233" s="140"/>
      <c r="U233" s="140"/>
    </row>
    <row r="234" s="203" customFormat="1" hidden="1" spans="1:21">
      <c r="A234" s="303"/>
      <c r="B234" s="96" t="s">
        <v>268</v>
      </c>
      <c r="D234" s="268">
        <f t="shared" ref="D234:L234" si="34">VLOOKUP(D160,TargetedMS,IF(D161="[retail]",8,10),FALSE)</f>
        <v>25679.892091392</v>
      </c>
      <c r="E234" s="268">
        <f t="shared" si="34"/>
        <v>24609.896587584</v>
      </c>
      <c r="F234" s="268">
        <f t="shared" si="34"/>
        <v>14979.937053312</v>
      </c>
      <c r="G234" s="268">
        <f t="shared" si="34"/>
        <v>13909.941549504</v>
      </c>
      <c r="H234" s="268">
        <f t="shared" si="34"/>
        <v>13909.941549504</v>
      </c>
      <c r="I234" s="268">
        <f t="shared" si="34"/>
        <v>13909.941549504</v>
      </c>
      <c r="J234" s="268">
        <f t="shared" si="34"/>
        <v>83797.542614016</v>
      </c>
      <c r="K234" s="268">
        <f t="shared" si="34"/>
        <v>90780.671165184</v>
      </c>
      <c r="L234" s="268">
        <f t="shared" si="34"/>
        <v>0</v>
      </c>
      <c r="M234" s="140"/>
      <c r="N234" s="140"/>
      <c r="O234" s="140"/>
      <c r="P234" s="140"/>
      <c r="Q234" s="140"/>
      <c r="R234" s="140"/>
      <c r="S234" s="140"/>
      <c r="T234" s="140"/>
      <c r="U234" s="140"/>
    </row>
    <row r="235" s="203" customFormat="1" hidden="1" spans="1:21">
      <c r="A235" s="258"/>
      <c r="B235" s="262" t="s">
        <v>270</v>
      </c>
      <c r="D235" s="293" t="str">
        <f t="shared" ref="D235:L235" si="35">IF(D161="[wholesale]",D234/capacity,"")</f>
        <v/>
      </c>
      <c r="E235" s="293" t="str">
        <f t="shared" si="35"/>
        <v/>
      </c>
      <c r="F235" s="293" t="str">
        <f t="shared" si="35"/>
        <v/>
      </c>
      <c r="G235" s="293" t="str">
        <f t="shared" si="35"/>
        <v/>
      </c>
      <c r="H235" s="293" t="str">
        <f t="shared" si="35"/>
        <v/>
      </c>
      <c r="I235" s="293" t="str">
        <f t="shared" si="35"/>
        <v/>
      </c>
      <c r="J235" s="293">
        <f t="shared" si="35"/>
        <v>67.5786633984</v>
      </c>
      <c r="K235" s="293">
        <f t="shared" si="35"/>
        <v>73.2102186816</v>
      </c>
      <c r="L235" s="293" t="str">
        <f t="shared" si="35"/>
        <v/>
      </c>
      <c r="M235" s="140"/>
      <c r="N235" s="140"/>
      <c r="O235" s="140"/>
      <c r="P235" s="140"/>
      <c r="Q235" s="140"/>
      <c r="R235" s="140"/>
      <c r="S235" s="140"/>
      <c r="T235" s="140"/>
      <c r="U235" s="140"/>
    </row>
    <row r="236" s="140" customFormat="1" hidden="1" spans="1:19">
      <c r="A236" s="258"/>
      <c r="B236" s="262"/>
      <c r="C236" s="304" t="s">
        <v>142</v>
      </c>
      <c r="D236" s="266" t="s">
        <v>271</v>
      </c>
      <c r="E236" s="266"/>
      <c r="F236" s="266"/>
      <c r="G236" s="266"/>
      <c r="H236" s="266"/>
      <c r="I236" s="266"/>
      <c r="J236" s="266"/>
      <c r="K236" s="266"/>
      <c r="L236" s="266"/>
      <c r="O236" s="308"/>
      <c r="P236" s="308"/>
      <c r="R236" s="308"/>
      <c r="S236" s="308"/>
    </row>
    <row r="237" s="140" customFormat="1" hidden="1" spans="1:19">
      <c r="A237" s="261"/>
      <c r="B237" s="262" t="s">
        <v>256</v>
      </c>
      <c r="C237" s="297">
        <f t="shared" ref="C237:C248" si="36">SUM(D237:Z237)</f>
        <v>10</v>
      </c>
      <c r="D237" s="305">
        <f>ProductionFY2(1,D160,VLOOKUP(D160,ProductsRange,3,FALSE),D222)</f>
        <v>1.50112866817156</v>
      </c>
      <c r="E237" s="305">
        <f>ProductionFY2(1,E160,VLOOKUP(E160,ProductsRange,3,FALSE),E222)</f>
        <v>1.22729825875304</v>
      </c>
      <c r="F237" s="305">
        <f>ProductionFY2(1,F160,VLOOKUP(F160,ProductsRange,3,FALSE),F222)</f>
        <v>0</v>
      </c>
      <c r="G237" s="305">
        <f>ProductionFY2(1,G160,VLOOKUP(G160,ProductsRange,3,FALSE),G222)</f>
        <v>0</v>
      </c>
      <c r="H237" s="305">
        <f>ProductionFY2(1,H160,VLOOKUP(H160,ProductsRange,3,FALSE),H222)</f>
        <v>0</v>
      </c>
      <c r="I237" s="305">
        <f>ProductionFY2(1,I160,VLOOKUP(I160,ProductsRange,3,FALSE),I222)</f>
        <v>0</v>
      </c>
      <c r="J237" s="305">
        <f>ProductionFY2(1,J160,VLOOKUP(J160,ProductsRange,3,FALSE),J222)</f>
        <v>3.49887133182844</v>
      </c>
      <c r="K237" s="305">
        <f>ProductionFY2(1,K160,VLOOKUP(K160,ProductsRange,3,FALSE),K222)</f>
        <v>3.77270174124696</v>
      </c>
      <c r="L237" s="305">
        <f>ProductionFY2(1,L160,VLOOKUP(L160,ProductsRange,3,FALSE),L222)</f>
        <v>0</v>
      </c>
      <c r="M237" s="261"/>
      <c r="O237" s="308"/>
      <c r="P237" s="308"/>
      <c r="R237" s="308"/>
      <c r="S237" s="308"/>
    </row>
    <row r="238" s="140" customFormat="1" hidden="1" spans="1:19">
      <c r="A238" s="264"/>
      <c r="B238" s="262" t="s">
        <v>257</v>
      </c>
      <c r="C238" s="297">
        <f t="shared" si="36"/>
        <v>10</v>
      </c>
      <c r="D238" s="305">
        <f>ProductionFY2(2,D160,VLOOKUP(D160,ProductsRange,3,FALSE),D223)</f>
        <v>1.50112866817156</v>
      </c>
      <c r="E238" s="305">
        <f>ProductionFY2(2,E160,VLOOKUP(E160,ProductsRange,3,FALSE),E223)</f>
        <v>1.22729825875304</v>
      </c>
      <c r="F238" s="305">
        <f>ProductionFY2(2,F160,VLOOKUP(F160,ProductsRange,3,FALSE),F223)</f>
        <v>0</v>
      </c>
      <c r="G238" s="305">
        <f>ProductionFY2(2,G160,VLOOKUP(G160,ProductsRange,3,FALSE),G223)</f>
        <v>0</v>
      </c>
      <c r="H238" s="305">
        <f>ProductionFY2(2,H160,VLOOKUP(H160,ProductsRange,3,FALSE),H223)</f>
        <v>0</v>
      </c>
      <c r="I238" s="305">
        <f>ProductionFY2(2,I160,VLOOKUP(I160,ProductsRange,3,FALSE),I223)</f>
        <v>0</v>
      </c>
      <c r="J238" s="305">
        <f>ProductionFY2(2,J160,VLOOKUP(J160,ProductsRange,3,FALSE),J223)</f>
        <v>3.49887133182844</v>
      </c>
      <c r="K238" s="305">
        <f>ProductionFY2(2,K160,VLOOKUP(K160,ProductsRange,3,FALSE),K223)</f>
        <v>3.77270174124696</v>
      </c>
      <c r="L238" s="305">
        <f>ProductionFY2(2,L160,VLOOKUP(L160,ProductsRange,3,FALSE),L223)</f>
        <v>0</v>
      </c>
      <c r="M238" s="261"/>
      <c r="O238" s="308"/>
      <c r="P238" s="308"/>
      <c r="R238" s="308"/>
      <c r="S238" s="308"/>
    </row>
    <row r="239" s="140" customFormat="1" hidden="1" spans="1:19">
      <c r="A239" s="203"/>
      <c r="B239" s="96" t="s">
        <v>258</v>
      </c>
      <c r="C239" s="297">
        <f t="shared" si="36"/>
        <v>10</v>
      </c>
      <c r="D239" s="305">
        <f>ProductionFY2(3,D160,VLOOKUP(D160,ProductsRange,3,FALSE),D224)</f>
        <v>1.31683168316832</v>
      </c>
      <c r="E239" s="305">
        <f>ProductionFY2(3,E160,VLOOKUP(E160,ProductsRange,3,FALSE),E224)</f>
        <v>1.066373840898</v>
      </c>
      <c r="F239" s="305">
        <f>ProductionFY2(3,F160,VLOOKUP(F160,ProductsRange,3,FALSE),F224)</f>
        <v>0</v>
      </c>
      <c r="G239" s="305">
        <f>ProductionFY2(3,G160,VLOOKUP(G160,ProductsRange,3,FALSE),G224)</f>
        <v>0</v>
      </c>
      <c r="H239" s="305">
        <f>ProductionFY2(3,H160,VLOOKUP(H160,ProductsRange,3,FALSE),H224)</f>
        <v>0</v>
      </c>
      <c r="I239" s="305">
        <f>ProductionFY2(3,I160,VLOOKUP(I160,ProductsRange,3,FALSE),I224)</f>
        <v>0</v>
      </c>
      <c r="J239" s="305">
        <f>ProductionFY2(3,J160,VLOOKUP(J160,ProductsRange,3,FALSE),J224)</f>
        <v>3.68316831683168</v>
      </c>
      <c r="K239" s="305">
        <f>ProductionFY2(3,K160,VLOOKUP(K160,ProductsRange,3,FALSE),K224)</f>
        <v>3.933626159102</v>
      </c>
      <c r="L239" s="305">
        <f>ProductionFY2(3,L160,VLOOKUP(L160,ProductsRange,3,FALSE),L224)</f>
        <v>0</v>
      </c>
      <c r="M239" s="261"/>
      <c r="O239" s="308"/>
      <c r="P239" s="308"/>
      <c r="R239" s="308"/>
      <c r="S239" s="308"/>
    </row>
    <row r="240" s="140" customFormat="1" hidden="1" spans="1:19">
      <c r="A240" s="203"/>
      <c r="B240" s="96" t="s">
        <v>259</v>
      </c>
      <c r="C240" s="297">
        <f t="shared" si="36"/>
        <v>13</v>
      </c>
      <c r="D240" s="305">
        <f>ProductionFY2(4,D160,VLOOKUP(D160,ProductsRange,3,FALSE),D225)</f>
        <v>1.40740740740741</v>
      </c>
      <c r="E240" s="305">
        <f>ProductionFY2(4,E160,VLOOKUP(E160,ProductsRange,3,FALSE),E225)</f>
        <v>1.2796486090776</v>
      </c>
      <c r="F240" s="305">
        <f>ProductionFY2(4,F160,VLOOKUP(F160,ProductsRange,3,FALSE),F225)</f>
        <v>1</v>
      </c>
      <c r="G240" s="305">
        <f>ProductionFY2(4,G160,VLOOKUP(G160,ProductsRange,3,FALSE),G225)</f>
        <v>0</v>
      </c>
      <c r="H240" s="305">
        <f>ProductionFY2(4,H160,VLOOKUP(H160,ProductsRange,3,FALSE),H225)</f>
        <v>0</v>
      </c>
      <c r="I240" s="305">
        <f>ProductionFY2(4,I160,VLOOKUP(I160,ProductsRange,3,FALSE),I225)</f>
        <v>0</v>
      </c>
      <c r="J240" s="305">
        <f>ProductionFY2(4,J160,VLOOKUP(J160,ProductsRange,3,FALSE),J225)</f>
        <v>4.59259259259259</v>
      </c>
      <c r="K240" s="305">
        <f>ProductionFY2(4,K160,VLOOKUP(K160,ProductsRange,3,FALSE),K225)</f>
        <v>4.7203513909224</v>
      </c>
      <c r="L240" s="305">
        <f>ProductionFY2(4,L160,VLOOKUP(L160,ProductsRange,3,FALSE),L225)</f>
        <v>0</v>
      </c>
      <c r="M240" s="261"/>
      <c r="O240" s="308"/>
      <c r="P240" s="308"/>
      <c r="R240" s="308"/>
      <c r="S240" s="308"/>
    </row>
    <row r="241" s="140" customFormat="1" hidden="1" spans="1:19">
      <c r="A241" s="203"/>
      <c r="B241" s="96" t="s">
        <v>260</v>
      </c>
      <c r="C241" s="297">
        <f t="shared" si="36"/>
        <v>18</v>
      </c>
      <c r="D241" s="305">
        <f>ProductionFY2(5,D160,VLOOKUP(D160,ProductsRange,3,FALSE),D226)</f>
        <v>1.64197530864198</v>
      </c>
      <c r="E241" s="305">
        <f>ProductionFY2(5,E160,VLOOKUP(E160,ProductsRange,3,FALSE),E226)</f>
        <v>1.4929233772572</v>
      </c>
      <c r="F241" s="305">
        <f>ProductionFY2(5,F160,VLOOKUP(F160,ProductsRange,3,FALSE),F226)</f>
        <v>1</v>
      </c>
      <c r="G241" s="305">
        <f>ProductionFY2(5,G160,VLOOKUP(G160,ProductsRange,3,FALSE),G226)</f>
        <v>1</v>
      </c>
      <c r="H241" s="305">
        <f>ProductionFY2(5,H160,VLOOKUP(H160,ProductsRange,3,FALSE),H226)</f>
        <v>1</v>
      </c>
      <c r="I241" s="305">
        <f>ProductionFY2(5,I160,VLOOKUP(I160,ProductsRange,3,FALSE),I226)</f>
        <v>1</v>
      </c>
      <c r="J241" s="305">
        <f>ProductionFY2(5,J160,VLOOKUP(J160,ProductsRange,3,FALSE),J226)</f>
        <v>5.35802469135802</v>
      </c>
      <c r="K241" s="305">
        <f>ProductionFY2(5,K160,VLOOKUP(K160,ProductsRange,3,FALSE),K226)</f>
        <v>5.5070766227428</v>
      </c>
      <c r="L241" s="305">
        <f>ProductionFY2(5,L160,VLOOKUP(L160,ProductsRange,3,FALSE),L226)</f>
        <v>0</v>
      </c>
      <c r="M241" s="261"/>
      <c r="O241" s="308"/>
      <c r="P241" s="308"/>
      <c r="R241" s="308"/>
      <c r="S241" s="308"/>
    </row>
    <row r="242" s="140" customFormat="1" hidden="1" spans="2:19">
      <c r="B242" s="96" t="s">
        <v>261</v>
      </c>
      <c r="C242" s="297">
        <f t="shared" si="36"/>
        <v>22</v>
      </c>
      <c r="D242" s="305">
        <f>ProductionFY2(6,D160,VLOOKUP(D160,ProductsRange,3,FALSE),D227)</f>
        <v>2.11111111111111</v>
      </c>
      <c r="E242" s="305">
        <f>ProductionFY2(6,E160,VLOOKUP(E160,ProductsRange,3,FALSE),E227)</f>
        <v>1.9194729136164</v>
      </c>
      <c r="F242" s="305">
        <f>ProductionFY2(6,F160,VLOOKUP(F160,ProductsRange,3,FALSE),F227)</f>
        <v>1</v>
      </c>
      <c r="G242" s="305">
        <f>ProductionFY2(6,G160,VLOOKUP(G160,ProductsRange,3,FALSE),G227)</f>
        <v>1</v>
      </c>
      <c r="H242" s="305">
        <f>ProductionFY2(6,H160,VLOOKUP(H160,ProductsRange,3,FALSE),H227)</f>
        <v>1</v>
      </c>
      <c r="I242" s="305">
        <f>ProductionFY2(6,I160,VLOOKUP(I160,ProductsRange,3,FALSE),I227)</f>
        <v>1</v>
      </c>
      <c r="J242" s="305">
        <f>ProductionFY2(6,J160,VLOOKUP(J160,ProductsRange,3,FALSE),J227)</f>
        <v>6.88888888888889</v>
      </c>
      <c r="K242" s="305">
        <f>ProductionFY2(6,K160,VLOOKUP(K160,ProductsRange,3,FALSE),K227)</f>
        <v>7.0805270863836</v>
      </c>
      <c r="L242" s="305">
        <f>ProductionFY2(6,L160,VLOOKUP(L160,ProductsRange,3,FALSE),L227)</f>
        <v>0</v>
      </c>
      <c r="M242" s="261"/>
      <c r="O242" s="308"/>
      <c r="P242" s="308"/>
      <c r="R242" s="308"/>
      <c r="S242" s="308"/>
    </row>
    <row r="243" s="140" customFormat="1" hidden="1" spans="2:19">
      <c r="B243" s="96" t="s">
        <v>262</v>
      </c>
      <c r="C243" s="297">
        <f t="shared" si="36"/>
        <v>22</v>
      </c>
      <c r="D243" s="305">
        <f>ProductionFY2(7,D160,VLOOKUP(D160,ProductsRange,3,FALSE),D228)</f>
        <v>2.11111111111111</v>
      </c>
      <c r="E243" s="305">
        <f>ProductionFY2(7,E160,VLOOKUP(E160,ProductsRange,3,FALSE),E228)</f>
        <v>1.9194729136164</v>
      </c>
      <c r="F243" s="305">
        <f>ProductionFY2(7,F160,VLOOKUP(F160,ProductsRange,3,FALSE),F228)</f>
        <v>1</v>
      </c>
      <c r="G243" s="305">
        <f>ProductionFY2(7,G160,VLOOKUP(G160,ProductsRange,3,FALSE),G228)</f>
        <v>1</v>
      </c>
      <c r="H243" s="305">
        <f>ProductionFY2(7,H160,VLOOKUP(H160,ProductsRange,3,FALSE),H228)</f>
        <v>1</v>
      </c>
      <c r="I243" s="305">
        <f>ProductionFY2(7,I160,VLOOKUP(I160,ProductsRange,3,FALSE),I228)</f>
        <v>1</v>
      </c>
      <c r="J243" s="305">
        <f>ProductionFY2(7,J160,VLOOKUP(J160,ProductsRange,3,FALSE),J228)</f>
        <v>6.88888888888889</v>
      </c>
      <c r="K243" s="305">
        <f>ProductionFY2(7,K160,VLOOKUP(K160,ProductsRange,3,FALSE),K228)</f>
        <v>7.0805270863836</v>
      </c>
      <c r="L243" s="305">
        <f>ProductionFY2(7,L160,VLOOKUP(L160,ProductsRange,3,FALSE),L228)</f>
        <v>0</v>
      </c>
      <c r="M243" s="261"/>
      <c r="O243" s="308"/>
      <c r="P243" s="308"/>
      <c r="R243" s="308"/>
      <c r="S243" s="308"/>
    </row>
    <row r="244" s="140" customFormat="1" hidden="1" spans="2:19">
      <c r="B244" s="96" t="s">
        <v>263</v>
      </c>
      <c r="C244" s="297">
        <f t="shared" si="36"/>
        <v>25</v>
      </c>
      <c r="D244" s="305">
        <f>ProductionFY2(8,D160,VLOOKUP(D160,ProductsRange,3,FALSE),D229)</f>
        <v>2.03426124197002</v>
      </c>
      <c r="E244" s="305">
        <f>ProductionFY2(8,E160,VLOOKUP(E160,ProductsRange,3,FALSE),E229)</f>
        <v>2.18943314976606</v>
      </c>
      <c r="F244" s="305">
        <f>ProductionFY2(8,F160,VLOOKUP(F160,ProductsRange,3,FALSE),F229)</f>
        <v>1</v>
      </c>
      <c r="G244" s="305">
        <f>ProductionFY2(8,G160,VLOOKUP(G160,ProductsRange,3,FALSE),G229)</f>
        <v>1</v>
      </c>
      <c r="H244" s="305">
        <f>ProductionFY2(8,H160,VLOOKUP(H160,ProductsRange,3,FALSE),H229)</f>
        <v>1</v>
      </c>
      <c r="I244" s="305">
        <f>ProductionFY2(8,I160,VLOOKUP(I160,ProductsRange,3,FALSE),I229)</f>
        <v>1</v>
      </c>
      <c r="J244" s="305">
        <f>ProductionFY2(8,J160,VLOOKUP(J160,ProductsRange,3,FALSE),J229)</f>
        <v>7.96573875802998</v>
      </c>
      <c r="K244" s="305">
        <f>ProductionFY2(8,K160,VLOOKUP(K160,ProductsRange,3,FALSE),K229)</f>
        <v>8.81056685023395</v>
      </c>
      <c r="L244" s="305">
        <f>ProductionFY2(8,L160,VLOOKUP(L160,ProductsRange,3,FALSE),L229)</f>
        <v>0</v>
      </c>
      <c r="M244" s="261"/>
      <c r="O244" s="308"/>
      <c r="P244" s="308"/>
      <c r="R244" s="308"/>
      <c r="S244" s="308"/>
    </row>
    <row r="245" s="140" customFormat="1" hidden="1" spans="2:19">
      <c r="B245" s="96" t="s">
        <v>264</v>
      </c>
      <c r="C245" s="297">
        <f t="shared" si="36"/>
        <v>25</v>
      </c>
      <c r="D245" s="305">
        <f>ProductionFY2(9,D160,VLOOKUP(D160,ProductsRange,3,FALSE),D230)</f>
        <v>2.03426124197002</v>
      </c>
      <c r="E245" s="305">
        <f>ProductionFY2(9,E160,VLOOKUP(E160,ProductsRange,3,FALSE),E230)</f>
        <v>2.18943314976606</v>
      </c>
      <c r="F245" s="305">
        <f>ProductionFY2(9,F160,VLOOKUP(F160,ProductsRange,3,FALSE),F230)</f>
        <v>1</v>
      </c>
      <c r="G245" s="305">
        <f>ProductionFY2(9,G160,VLOOKUP(G160,ProductsRange,3,FALSE),G230)</f>
        <v>1</v>
      </c>
      <c r="H245" s="305">
        <f>ProductionFY2(9,H160,VLOOKUP(H160,ProductsRange,3,FALSE),H230)</f>
        <v>1</v>
      </c>
      <c r="I245" s="305">
        <f>ProductionFY2(9,I160,VLOOKUP(I160,ProductsRange,3,FALSE),I230)</f>
        <v>1</v>
      </c>
      <c r="J245" s="305">
        <f>ProductionFY2(9,J160,VLOOKUP(J160,ProductsRange,3,FALSE),J230)</f>
        <v>7.96573875802998</v>
      </c>
      <c r="K245" s="305">
        <f>ProductionFY2(9,K160,VLOOKUP(K160,ProductsRange,3,FALSE),K230)</f>
        <v>8.81056685023395</v>
      </c>
      <c r="L245" s="305">
        <f>ProductionFY2(9,L160,VLOOKUP(L160,ProductsRange,3,FALSE),L230)</f>
        <v>0</v>
      </c>
      <c r="M245" s="261"/>
      <c r="O245" s="308"/>
      <c r="P245" s="308"/>
      <c r="R245" s="308"/>
      <c r="S245" s="308"/>
    </row>
    <row r="246" s="140" customFormat="1" hidden="1" spans="2:19">
      <c r="B246" s="96" t="s">
        <v>265</v>
      </c>
      <c r="C246" s="297">
        <f t="shared" si="36"/>
        <v>23</v>
      </c>
      <c r="D246" s="305">
        <f>ProductionFY2(10,D160,VLOOKUP(D160,ProductsRange,3,FALSE),D231)</f>
        <v>1.96100917431193</v>
      </c>
      <c r="E246" s="305">
        <f>ProductionFY2(10,E160,VLOOKUP(E160,ProductsRange,3,FALSE),E231)</f>
        <v>2.132747681796</v>
      </c>
      <c r="F246" s="305">
        <f>ProductionFY2(10,F160,VLOOKUP(F160,ProductsRange,3,FALSE),F231)</f>
        <v>1</v>
      </c>
      <c r="G246" s="305">
        <f>ProductionFY2(10,G160,VLOOKUP(G160,ProductsRange,3,FALSE),G231)</f>
        <v>1</v>
      </c>
      <c r="H246" s="305">
        <f>ProductionFY2(10,H160,VLOOKUP(H160,ProductsRange,3,FALSE),H231)</f>
        <v>1</v>
      </c>
      <c r="I246" s="305">
        <f>ProductionFY2(10,I160,VLOOKUP(I160,ProductsRange,3,FALSE),I231)</f>
        <v>1</v>
      </c>
      <c r="J246" s="305">
        <f>ProductionFY2(10,J160,VLOOKUP(J160,ProductsRange,3,FALSE),J231)</f>
        <v>7.03899082568807</v>
      </c>
      <c r="K246" s="305">
        <f>ProductionFY2(10,K160,VLOOKUP(K160,ProductsRange,3,FALSE),K231)</f>
        <v>7.867252318204</v>
      </c>
      <c r="L246" s="305">
        <f>ProductionFY2(10,L160,VLOOKUP(L160,ProductsRange,3,FALSE),L231)</f>
        <v>0</v>
      </c>
      <c r="M246" s="261"/>
      <c r="O246" s="308"/>
      <c r="P246" s="308"/>
      <c r="R246" s="308"/>
      <c r="S246" s="308"/>
    </row>
    <row r="247" s="140" customFormat="1" hidden="1" spans="2:19">
      <c r="B247" s="96" t="s">
        <v>266</v>
      </c>
      <c r="C247" s="297">
        <f t="shared" si="36"/>
        <v>13</v>
      </c>
      <c r="D247" s="305">
        <f>ProductionFY2(11,D160,VLOOKUP(D160,ProductsRange,3,FALSE),D232)</f>
        <v>1.40740740740741</v>
      </c>
      <c r="E247" s="305">
        <f>ProductionFY2(11,E160,VLOOKUP(E160,ProductsRange,3,FALSE),E232)</f>
        <v>1.2796486090776</v>
      </c>
      <c r="F247" s="305">
        <f>ProductionFY2(11,F160,VLOOKUP(F160,ProductsRange,3,FALSE),F232)</f>
        <v>1</v>
      </c>
      <c r="G247" s="305">
        <f>ProductionFY2(11,G160,VLOOKUP(G160,ProductsRange,3,FALSE),G232)</f>
        <v>0</v>
      </c>
      <c r="H247" s="305">
        <f>ProductionFY2(11,H160,VLOOKUP(H160,ProductsRange,3,FALSE),H232)</f>
        <v>0</v>
      </c>
      <c r="I247" s="305">
        <f>ProductionFY2(11,I160,VLOOKUP(I160,ProductsRange,3,FALSE),I232)</f>
        <v>0</v>
      </c>
      <c r="J247" s="305">
        <f>ProductionFY2(11,J160,VLOOKUP(J160,ProductsRange,3,FALSE),J232)</f>
        <v>4.59259259259259</v>
      </c>
      <c r="K247" s="305">
        <f>ProductionFY2(11,K160,VLOOKUP(K160,ProductsRange,3,FALSE),K232)</f>
        <v>4.7203513909224</v>
      </c>
      <c r="L247" s="305">
        <f>ProductionFY2(11,L160,VLOOKUP(L160,ProductsRange,3,FALSE),L232)</f>
        <v>0</v>
      </c>
      <c r="M247" s="261"/>
      <c r="O247" s="308"/>
      <c r="P247" s="308"/>
      <c r="R247" s="308"/>
      <c r="S247" s="308"/>
    </row>
    <row r="248" s="140" customFormat="1" hidden="1" spans="2:19">
      <c r="B248" s="96" t="s">
        <v>267</v>
      </c>
      <c r="C248" s="297">
        <f t="shared" si="36"/>
        <v>13</v>
      </c>
      <c r="D248" s="305">
        <f>ProductionFY2(12,D160,VLOOKUP(D160,ProductsRange,3,FALSE),D233)</f>
        <v>1.40740740740741</v>
      </c>
      <c r="E248" s="305">
        <f>ProductionFY2(12,E160,VLOOKUP(E160,ProductsRange,3,FALSE),E233)</f>
        <v>1.2796486090776</v>
      </c>
      <c r="F248" s="305">
        <f>ProductionFY2(12,F160,VLOOKUP(F160,ProductsRange,3,FALSE),F233)</f>
        <v>1</v>
      </c>
      <c r="G248" s="305">
        <f>ProductionFY2(12,G160,VLOOKUP(G160,ProductsRange,3,FALSE),G233)</f>
        <v>0</v>
      </c>
      <c r="H248" s="305">
        <f>ProductionFY2(12,H160,VLOOKUP(H160,ProductsRange,3,FALSE),H233)</f>
        <v>0</v>
      </c>
      <c r="I248" s="305">
        <f>ProductionFY2(12,I160,VLOOKUP(I160,ProductsRange,3,FALSE),I233)</f>
        <v>0</v>
      </c>
      <c r="J248" s="305">
        <f>ProductionFY2(12,J160,VLOOKUP(J160,ProductsRange,3,FALSE),J233)</f>
        <v>4.59259259259259</v>
      </c>
      <c r="K248" s="305">
        <f>ProductionFY2(12,K160,VLOOKUP(K160,ProductsRange,3,FALSE),K233)</f>
        <v>4.7203513909224</v>
      </c>
      <c r="L248" s="305">
        <f>ProductionFY2(12,L160,VLOOKUP(L160,ProductsRange,3,FALSE),L233)</f>
        <v>0</v>
      </c>
      <c r="M248" s="261"/>
      <c r="O248" s="308"/>
      <c r="P248" s="308"/>
      <c r="R248" s="308"/>
      <c r="S248" s="308"/>
    </row>
    <row r="249" s="203" customFormat="1" hidden="1" spans="1:19">
      <c r="A249" s="298" t="s">
        <v>272</v>
      </c>
      <c r="C249" s="262" t="s">
        <v>117</v>
      </c>
      <c r="D249" s="299">
        <f t="shared" ref="D249:I249" si="37">SUM(D222:D233)</f>
        <v>25679.892091392</v>
      </c>
      <c r="E249" s="300">
        <f t="shared" si="37"/>
        <v>24609.896587584</v>
      </c>
      <c r="F249" s="300">
        <f t="shared" si="37"/>
        <v>14979.937053312</v>
      </c>
      <c r="G249" s="300">
        <f t="shared" si="37"/>
        <v>13909.941549504</v>
      </c>
      <c r="H249" s="300">
        <f t="shared" si="37"/>
        <v>13909.941549504</v>
      </c>
      <c r="I249" s="300">
        <f t="shared" si="37"/>
        <v>13909.941549504</v>
      </c>
      <c r="J249" s="309">
        <f>J234</f>
        <v>83797.542614016</v>
      </c>
      <c r="K249" s="309">
        <f>K234</f>
        <v>90780.671165184</v>
      </c>
      <c r="L249" s="309">
        <f>L234</f>
        <v>0</v>
      </c>
      <c r="M249" s="140"/>
      <c r="N249" s="140"/>
      <c r="O249" s="308"/>
      <c r="P249" s="308"/>
      <c r="Q249" s="140"/>
      <c r="R249" s="308"/>
      <c r="S249" s="308"/>
    </row>
    <row r="250" s="203" customFormat="1" hidden="1" spans="1:19">
      <c r="A250" s="298" t="s">
        <v>273</v>
      </c>
      <c r="C250" s="262" t="s">
        <v>117</v>
      </c>
      <c r="D250" s="299">
        <f t="shared" ref="D250:K250" si="38">SUM(D237:D248)*capacity</f>
        <v>25339.4501342538</v>
      </c>
      <c r="E250" s="299">
        <f t="shared" si="38"/>
        <v>23812.2152206042</v>
      </c>
      <c r="F250" s="299">
        <f t="shared" si="38"/>
        <v>11160</v>
      </c>
      <c r="G250" s="299">
        <f t="shared" si="38"/>
        <v>7440</v>
      </c>
      <c r="H250" s="299">
        <f t="shared" si="38"/>
        <v>7440</v>
      </c>
      <c r="I250" s="299">
        <f t="shared" si="38"/>
        <v>7440</v>
      </c>
      <c r="J250" s="299">
        <f t="shared" si="38"/>
        <v>82540.5498657462</v>
      </c>
      <c r="K250" s="299">
        <f t="shared" si="38"/>
        <v>87787.7847793958</v>
      </c>
      <c r="L250" s="299">
        <f>SUM(L237:L248)*capacity</f>
        <v>0</v>
      </c>
      <c r="M250" s="140"/>
      <c r="N250" s="140"/>
      <c r="O250" s="308"/>
      <c r="P250" s="308"/>
      <c r="Q250" s="140"/>
      <c r="R250" s="308"/>
      <c r="S250" s="308"/>
    </row>
    <row r="251" s="203" customFormat="1" hidden="1" spans="1:19">
      <c r="A251" s="298" t="s">
        <v>274</v>
      </c>
      <c r="C251" s="262" t="s">
        <v>117</v>
      </c>
      <c r="D251" s="299">
        <f t="shared" ref="D251:L251" si="39">D249-D250</f>
        <v>340.441957138235</v>
      </c>
      <c r="E251" s="300">
        <f t="shared" si="39"/>
        <v>797.681366979839</v>
      </c>
      <c r="F251" s="300">
        <f t="shared" si="39"/>
        <v>3819.93705331201</v>
      </c>
      <c r="G251" s="300">
        <f t="shared" si="39"/>
        <v>6469.94154950401</v>
      </c>
      <c r="H251" s="300">
        <f t="shared" si="39"/>
        <v>6469.94154950401</v>
      </c>
      <c r="I251" s="300">
        <f t="shared" si="39"/>
        <v>6469.94154950401</v>
      </c>
      <c r="J251" s="300">
        <f t="shared" si="39"/>
        <v>1256.9927482698</v>
      </c>
      <c r="K251" s="300">
        <f t="shared" si="39"/>
        <v>2992.88638578821</v>
      </c>
      <c r="L251" s="300">
        <f t="shared" si="39"/>
        <v>0</v>
      </c>
      <c r="M251" s="140"/>
      <c r="N251" s="140"/>
      <c r="O251" s="308"/>
      <c r="P251" s="308"/>
      <c r="Q251" s="140"/>
      <c r="R251" s="308"/>
      <c r="S251" s="308"/>
    </row>
    <row r="252" s="202" customFormat="1" hidden="1" spans="1:48">
      <c r="A252" s="258"/>
      <c r="B252" s="259" t="s">
        <v>105</v>
      </c>
      <c r="C252" s="259"/>
      <c r="D252" s="260" t="s">
        <v>255</v>
      </c>
      <c r="E252" s="260"/>
      <c r="F252" s="260"/>
      <c r="G252" s="260"/>
      <c r="H252" s="260"/>
      <c r="I252" s="260"/>
      <c r="J252" s="260"/>
      <c r="K252" s="260"/>
      <c r="L252" s="260"/>
      <c r="M252" s="140"/>
      <c r="N252" s="140"/>
      <c r="O252" s="140"/>
      <c r="P252" s="140"/>
      <c r="Q252" s="140"/>
      <c r="R252" s="140"/>
      <c r="S252" s="140"/>
      <c r="T252" s="140"/>
      <c r="U252" s="140"/>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c r="AR252" s="140"/>
      <c r="AS252" s="140"/>
      <c r="AT252" s="140"/>
      <c r="AU252" s="140"/>
      <c r="AV252" s="140"/>
    </row>
    <row r="253" s="202" customFormat="1" hidden="1" spans="1:48">
      <c r="A253" s="261"/>
      <c r="B253" s="262" t="s">
        <v>256</v>
      </c>
      <c r="D253" s="1479">
        <v>0.07</v>
      </c>
      <c r="E253" s="1479">
        <v>0.06</v>
      </c>
      <c r="F253" s="1479">
        <v>0.05</v>
      </c>
      <c r="G253" s="1479">
        <v>0.05</v>
      </c>
      <c r="H253" s="1479">
        <v>0.05</v>
      </c>
      <c r="I253" s="1479">
        <v>0.05</v>
      </c>
      <c r="J253" s="1479">
        <v>0.05</v>
      </c>
      <c r="K253" s="1479">
        <v>0.05</v>
      </c>
      <c r="L253" s="1479"/>
      <c r="M253" s="140"/>
      <c r="N253" s="140"/>
      <c r="O253" s="140"/>
      <c r="P253" s="140"/>
      <c r="Q253" s="140"/>
      <c r="R253" s="140"/>
      <c r="S253" s="140"/>
      <c r="T253" s="140"/>
      <c r="U253" s="140"/>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c r="AR253" s="140"/>
      <c r="AS253" s="140"/>
      <c r="AT253" s="140"/>
      <c r="AU253" s="140"/>
      <c r="AV253" s="140"/>
    </row>
    <row r="254" s="202" customFormat="1" hidden="1" spans="1:48">
      <c r="A254" s="264"/>
      <c r="B254" s="262" t="s">
        <v>257</v>
      </c>
      <c r="D254" s="1479">
        <v>0.07</v>
      </c>
      <c r="E254" s="1479">
        <v>0.06</v>
      </c>
      <c r="F254" s="1479">
        <v>0.05</v>
      </c>
      <c r="G254" s="1479">
        <v>0.05</v>
      </c>
      <c r="H254" s="1479">
        <v>0.05</v>
      </c>
      <c r="I254" s="1479">
        <v>0.05</v>
      </c>
      <c r="J254" s="1479">
        <v>0.05</v>
      </c>
      <c r="K254" s="1479">
        <v>0.05</v>
      </c>
      <c r="L254" s="1479"/>
      <c r="M254" s="140"/>
      <c r="N254" s="140"/>
      <c r="O254" s="140"/>
      <c r="P254" s="140"/>
      <c r="Q254" s="140"/>
      <c r="R254" s="140"/>
      <c r="S254" s="140"/>
      <c r="T254" s="140"/>
      <c r="U254" s="140"/>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c r="AR254" s="140"/>
      <c r="AS254" s="140"/>
      <c r="AT254" s="140"/>
      <c r="AU254" s="140"/>
      <c r="AV254" s="140"/>
    </row>
    <row r="255" s="202" customFormat="1" hidden="1" spans="1:48">
      <c r="A255" s="203"/>
      <c r="B255" s="96" t="s">
        <v>258</v>
      </c>
      <c r="D255" s="1479">
        <v>0.07</v>
      </c>
      <c r="E255" s="1479">
        <v>0.06</v>
      </c>
      <c r="F255" s="1479">
        <v>0.06</v>
      </c>
      <c r="G255" s="1479">
        <v>0.06</v>
      </c>
      <c r="H255" s="1479">
        <v>0.06</v>
      </c>
      <c r="I255" s="1479">
        <v>0.06</v>
      </c>
      <c r="J255" s="1479">
        <v>0.06</v>
      </c>
      <c r="K255" s="1479">
        <v>0.06</v>
      </c>
      <c r="L255" s="1479"/>
      <c r="M255" s="140"/>
      <c r="N255" s="140"/>
      <c r="O255" s="140"/>
      <c r="P255" s="140"/>
      <c r="Q255" s="140"/>
      <c r="R255" s="140"/>
      <c r="S255" s="140"/>
      <c r="T255" s="140"/>
      <c r="U255" s="140"/>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c r="AR255" s="140"/>
      <c r="AS255" s="140"/>
      <c r="AT255" s="140"/>
      <c r="AU255" s="140"/>
      <c r="AV255" s="140"/>
    </row>
    <row r="256" s="203" customFormat="1" hidden="1" spans="2:48">
      <c r="B256" s="96" t="s">
        <v>259</v>
      </c>
      <c r="D256" s="1479">
        <v>0.07</v>
      </c>
      <c r="E256" s="1479">
        <v>0.07</v>
      </c>
      <c r="F256" s="1479">
        <v>0.07</v>
      </c>
      <c r="G256" s="1479">
        <v>0.07</v>
      </c>
      <c r="H256" s="1479">
        <v>0.07</v>
      </c>
      <c r="I256" s="1479">
        <v>0.07</v>
      </c>
      <c r="J256" s="1479">
        <v>0.07</v>
      </c>
      <c r="K256" s="1479">
        <v>0.07</v>
      </c>
      <c r="L256" s="1479"/>
      <c r="M256" s="140"/>
      <c r="N256" s="140"/>
      <c r="O256" s="140"/>
      <c r="P256" s="140"/>
      <c r="Q256" s="140"/>
      <c r="R256" s="140"/>
      <c r="S256" s="140"/>
      <c r="T256" s="140"/>
      <c r="U256" s="140"/>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c r="AR256" s="140"/>
      <c r="AS256" s="140"/>
      <c r="AT256" s="140"/>
      <c r="AU256" s="140"/>
      <c r="AV256" s="140"/>
    </row>
    <row r="257" s="203" customFormat="1" hidden="1" spans="2:48">
      <c r="B257" s="96" t="s">
        <v>260</v>
      </c>
      <c r="D257" s="1479">
        <v>0.08</v>
      </c>
      <c r="E257" s="1479">
        <v>0.08</v>
      </c>
      <c r="F257" s="1479">
        <v>0.08</v>
      </c>
      <c r="G257" s="1479">
        <v>0.08</v>
      </c>
      <c r="H257" s="1479">
        <v>0.08</v>
      </c>
      <c r="I257" s="1479">
        <v>0.08</v>
      </c>
      <c r="J257" s="1479">
        <v>0.08</v>
      </c>
      <c r="K257" s="1479">
        <v>0.08</v>
      </c>
      <c r="L257" s="1479"/>
      <c r="M257" s="140"/>
      <c r="N257" s="140"/>
      <c r="O257" s="140"/>
      <c r="P257" s="140"/>
      <c r="Q257" s="140"/>
      <c r="R257" s="140"/>
      <c r="S257" s="140"/>
      <c r="T257" s="140"/>
      <c r="U257" s="140"/>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c r="AR257" s="140"/>
      <c r="AS257" s="140"/>
      <c r="AT257" s="140"/>
      <c r="AU257" s="140"/>
      <c r="AV257" s="140"/>
    </row>
    <row r="258" s="203" customFormat="1" hidden="1" spans="1:48">
      <c r="A258" s="140"/>
      <c r="B258" s="96" t="s">
        <v>261</v>
      </c>
      <c r="D258" s="1479">
        <v>0.1</v>
      </c>
      <c r="E258" s="1479">
        <v>0.1</v>
      </c>
      <c r="F258" s="1479">
        <v>0.1</v>
      </c>
      <c r="G258" s="1479">
        <v>0.1</v>
      </c>
      <c r="H258" s="1479">
        <v>0.1</v>
      </c>
      <c r="I258" s="1479">
        <v>0.1</v>
      </c>
      <c r="J258" s="1479">
        <v>0.1</v>
      </c>
      <c r="K258" s="1479">
        <v>0.1</v>
      </c>
      <c r="L258" s="1479"/>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row>
    <row r="259" s="203" customFormat="1" hidden="1" spans="1:48">
      <c r="A259" s="140"/>
      <c r="B259" s="96" t="s">
        <v>262</v>
      </c>
      <c r="D259" s="1479">
        <v>0.1</v>
      </c>
      <c r="E259" s="1479">
        <v>0.1</v>
      </c>
      <c r="F259" s="1479">
        <v>0.1</v>
      </c>
      <c r="G259" s="1479">
        <v>0.1</v>
      </c>
      <c r="H259" s="1479">
        <v>0.1</v>
      </c>
      <c r="I259" s="1479">
        <v>0.1</v>
      </c>
      <c r="J259" s="1479">
        <v>0.1</v>
      </c>
      <c r="K259" s="1479">
        <v>0.1</v>
      </c>
      <c r="L259" s="1479"/>
      <c r="M259" s="140"/>
      <c r="N259" s="140"/>
      <c r="O259" s="140"/>
      <c r="P259" s="140"/>
      <c r="Q259" s="140"/>
      <c r="R259" s="140"/>
      <c r="S259" s="140"/>
      <c r="T259" s="140"/>
      <c r="U259" s="140"/>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c r="AR259" s="140"/>
      <c r="AS259" s="140"/>
      <c r="AT259" s="140"/>
      <c r="AU259" s="140"/>
      <c r="AV259" s="140"/>
    </row>
    <row r="260" s="203" customFormat="1" hidden="1" spans="1:48">
      <c r="A260" s="140"/>
      <c r="B260" s="96" t="s">
        <v>263</v>
      </c>
      <c r="D260" s="1479">
        <v>0.1</v>
      </c>
      <c r="E260" s="1479">
        <v>0.11</v>
      </c>
      <c r="F260" s="1479">
        <v>0.12</v>
      </c>
      <c r="G260" s="1479">
        <v>0.12</v>
      </c>
      <c r="H260" s="1479">
        <v>0.12</v>
      </c>
      <c r="I260" s="1479">
        <v>0.12</v>
      </c>
      <c r="J260" s="1479">
        <v>0.12</v>
      </c>
      <c r="K260" s="1479">
        <v>0.12</v>
      </c>
      <c r="L260" s="1479"/>
      <c r="M260" s="140"/>
      <c r="N260" s="140"/>
      <c r="O260" s="140"/>
      <c r="P260" s="140"/>
      <c r="Q260" s="140"/>
      <c r="R260" s="140"/>
      <c r="S260" s="140"/>
      <c r="T260" s="140"/>
      <c r="U260" s="140"/>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c r="AR260" s="140"/>
      <c r="AS260" s="140"/>
      <c r="AT260" s="140"/>
      <c r="AU260" s="140"/>
      <c r="AV260" s="140"/>
    </row>
    <row r="261" s="203" customFormat="1" hidden="1" spans="1:48">
      <c r="A261" s="140"/>
      <c r="B261" s="96" t="s">
        <v>264</v>
      </c>
      <c r="D261" s="1479">
        <v>0.1</v>
      </c>
      <c r="E261" s="1479">
        <v>0.11</v>
      </c>
      <c r="F261" s="1479">
        <v>0.12</v>
      </c>
      <c r="G261" s="1479">
        <v>0.12</v>
      </c>
      <c r="H261" s="1479">
        <v>0.12</v>
      </c>
      <c r="I261" s="1479">
        <v>0.12</v>
      </c>
      <c r="J261" s="1479">
        <v>0.12</v>
      </c>
      <c r="K261" s="1479">
        <v>0.12</v>
      </c>
      <c r="L261" s="1479"/>
      <c r="M261" s="140"/>
      <c r="N261" s="140"/>
      <c r="O261" s="140"/>
      <c r="P261" s="140"/>
      <c r="Q261" s="140"/>
      <c r="R261" s="140"/>
      <c r="S261" s="140"/>
      <c r="T261" s="140"/>
      <c r="U261" s="140"/>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c r="AR261" s="140"/>
      <c r="AS261" s="140"/>
      <c r="AT261" s="140"/>
      <c r="AU261" s="140"/>
      <c r="AV261" s="140"/>
    </row>
    <row r="262" s="203" customFormat="1" hidden="1" spans="1:48">
      <c r="A262" s="140"/>
      <c r="B262" s="96" t="s">
        <v>265</v>
      </c>
      <c r="D262" s="1479">
        <v>0.1</v>
      </c>
      <c r="E262" s="1479">
        <v>0.11</v>
      </c>
      <c r="F262" s="1479">
        <v>0.11</v>
      </c>
      <c r="G262" s="1479">
        <v>0.11</v>
      </c>
      <c r="H262" s="1479">
        <v>0.11</v>
      </c>
      <c r="I262" s="1479">
        <v>0.11</v>
      </c>
      <c r="J262" s="1479">
        <v>0.11</v>
      </c>
      <c r="K262" s="1479">
        <v>0.11</v>
      </c>
      <c r="L262" s="1479"/>
      <c r="M262" s="140"/>
      <c r="N262" s="140"/>
      <c r="O262" s="140"/>
      <c r="P262" s="140"/>
      <c r="Q262" s="140"/>
      <c r="R262" s="140"/>
      <c r="S262" s="140"/>
      <c r="T262" s="140"/>
      <c r="U262" s="140"/>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c r="AR262" s="140"/>
      <c r="AS262" s="140"/>
      <c r="AT262" s="140"/>
      <c r="AU262" s="140"/>
      <c r="AV262" s="140"/>
    </row>
    <row r="263" s="203" customFormat="1" hidden="1" spans="1:48">
      <c r="A263" s="140"/>
      <c r="B263" s="96" t="s">
        <v>266</v>
      </c>
      <c r="D263" s="1479">
        <v>0.07</v>
      </c>
      <c r="E263" s="1479">
        <v>0.07</v>
      </c>
      <c r="F263" s="1479">
        <v>0.07</v>
      </c>
      <c r="G263" s="1479">
        <v>0.07</v>
      </c>
      <c r="H263" s="1479">
        <v>0.07</v>
      </c>
      <c r="I263" s="1479">
        <v>0.07</v>
      </c>
      <c r="J263" s="1479">
        <v>0.07</v>
      </c>
      <c r="K263" s="1479">
        <v>0.07</v>
      </c>
      <c r="L263" s="1479"/>
      <c r="M263" s="140"/>
      <c r="N263" s="140"/>
      <c r="O263" s="140"/>
      <c r="P263" s="140"/>
      <c r="Q263" s="140"/>
      <c r="R263" s="140"/>
      <c r="S263" s="140"/>
      <c r="T263" s="140"/>
      <c r="U263" s="140"/>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c r="AR263" s="140"/>
      <c r="AS263" s="140"/>
      <c r="AT263" s="140"/>
      <c r="AU263" s="140"/>
      <c r="AV263" s="140"/>
    </row>
    <row r="264" s="203" customFormat="1" hidden="1" spans="1:48">
      <c r="A264" s="140"/>
      <c r="B264" s="96" t="s">
        <v>267</v>
      </c>
      <c r="D264" s="1479">
        <v>0.07</v>
      </c>
      <c r="E264" s="1479">
        <v>0.07</v>
      </c>
      <c r="F264" s="1479">
        <v>0.07</v>
      </c>
      <c r="G264" s="1479">
        <v>0.07</v>
      </c>
      <c r="H264" s="1479">
        <v>0.07</v>
      </c>
      <c r="I264" s="1479">
        <v>0.07</v>
      </c>
      <c r="J264" s="1479">
        <v>0.07</v>
      </c>
      <c r="K264" s="1479">
        <v>0.07</v>
      </c>
      <c r="L264" s="1479"/>
      <c r="M264" s="140"/>
      <c r="N264" s="140"/>
      <c r="O264" s="140"/>
      <c r="P264" s="140"/>
      <c r="Q264" s="140"/>
      <c r="R264" s="140"/>
      <c r="S264" s="140"/>
      <c r="T264" s="140"/>
      <c r="U264" s="140"/>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c r="AR264" s="140"/>
      <c r="AS264" s="140"/>
      <c r="AT264" s="140"/>
      <c r="AU264" s="140"/>
      <c r="AV264" s="140"/>
    </row>
    <row r="265" s="203" customFormat="1" hidden="1" spans="1:48">
      <c r="A265" s="140"/>
      <c r="B265" s="96" t="s">
        <v>268</v>
      </c>
      <c r="D265" s="265">
        <f>SUM(D253:D264)</f>
        <v>1</v>
      </c>
      <c r="E265" s="265">
        <f t="shared" ref="E265:L265" si="40">SUM(E253:E264)</f>
        <v>1</v>
      </c>
      <c r="F265" s="265">
        <f t="shared" si="40"/>
        <v>1</v>
      </c>
      <c r="G265" s="265">
        <f t="shared" si="40"/>
        <v>1</v>
      </c>
      <c r="H265" s="265">
        <f t="shared" si="40"/>
        <v>1</v>
      </c>
      <c r="I265" s="265">
        <f t="shared" si="40"/>
        <v>1</v>
      </c>
      <c r="J265" s="265">
        <f t="shared" si="40"/>
        <v>1</v>
      </c>
      <c r="K265" s="265">
        <f t="shared" si="40"/>
        <v>1</v>
      </c>
      <c r="L265" s="265">
        <f t="shared" si="40"/>
        <v>0</v>
      </c>
      <c r="M265" s="140"/>
      <c r="N265" s="140"/>
      <c r="O265" s="140"/>
      <c r="P265" s="140"/>
      <c r="Q265" s="140"/>
      <c r="R265" s="140"/>
      <c r="S265" s="140"/>
      <c r="T265" s="140"/>
      <c r="U265" s="140"/>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c r="AR265" s="140"/>
      <c r="AS265" s="140"/>
      <c r="AT265" s="140"/>
      <c r="AU265" s="140"/>
      <c r="AV265" s="140"/>
    </row>
    <row r="266" s="203" customFormat="1" hidden="1" spans="1:48">
      <c r="A266" s="140"/>
      <c r="B266" s="96"/>
      <c r="D266" s="266" t="s">
        <v>269</v>
      </c>
      <c r="E266" s="266"/>
      <c r="F266" s="266"/>
      <c r="G266" s="266"/>
      <c r="H266" s="266"/>
      <c r="I266" s="266"/>
      <c r="J266" s="266"/>
      <c r="K266" s="266"/>
      <c r="L266" s="266"/>
      <c r="M266" s="140"/>
      <c r="N266" s="140"/>
      <c r="O266" s="140"/>
      <c r="P266" s="140"/>
      <c r="Q266" s="140"/>
      <c r="R266" s="140"/>
      <c r="S266" s="140"/>
      <c r="T266" s="140"/>
      <c r="U266" s="140"/>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c r="AR266" s="140"/>
      <c r="AS266" s="140"/>
      <c r="AT266" s="140"/>
      <c r="AU266" s="140"/>
      <c r="AV266" s="140"/>
    </row>
    <row r="267" s="203" customFormat="1" hidden="1" spans="1:21">
      <c r="A267" s="303"/>
      <c r="B267" s="262" t="s">
        <v>256</v>
      </c>
      <c r="D267" s="268">
        <f>D279*D253</f>
        <v>1780.39060480512</v>
      </c>
      <c r="E267" s="268">
        <f t="shared" ref="E267:L267" si="41">E279*E253</f>
        <v>1459.69912940544</v>
      </c>
      <c r="F267" s="268">
        <f t="shared" si="41"/>
        <v>829.374505344</v>
      </c>
      <c r="G267" s="268">
        <f t="shared" si="41"/>
        <v>718.7912379648</v>
      </c>
      <c r="H267" s="268">
        <f t="shared" si="41"/>
        <v>718.7912379648</v>
      </c>
      <c r="I267" s="268">
        <f t="shared" si="41"/>
        <v>774.0828716544</v>
      </c>
      <c r="J267" s="268">
        <f t="shared" si="41"/>
        <v>4914.81188352</v>
      </c>
      <c r="K267" s="268">
        <f t="shared" si="41"/>
        <v>4914.81188352</v>
      </c>
      <c r="L267" s="268">
        <f t="shared" si="41"/>
        <v>0</v>
      </c>
      <c r="M267" s="140"/>
      <c r="N267" s="140"/>
      <c r="O267" s="140"/>
      <c r="P267" s="140"/>
      <c r="Q267" s="140"/>
      <c r="R267" s="140"/>
      <c r="S267" s="140"/>
      <c r="T267" s="140"/>
      <c r="U267" s="140"/>
    </row>
    <row r="268" s="203" customFormat="1" hidden="1" spans="1:21">
      <c r="A268" s="303"/>
      <c r="B268" s="262" t="s">
        <v>257</v>
      </c>
      <c r="D268" s="268">
        <f>D279*D254</f>
        <v>1780.39060480512</v>
      </c>
      <c r="E268" s="268">
        <f t="shared" ref="E268:L268" si="42">E279*E254</f>
        <v>1459.69912940544</v>
      </c>
      <c r="F268" s="268">
        <f t="shared" si="42"/>
        <v>829.374505344</v>
      </c>
      <c r="G268" s="268">
        <f t="shared" si="42"/>
        <v>718.7912379648</v>
      </c>
      <c r="H268" s="268">
        <f t="shared" si="42"/>
        <v>718.7912379648</v>
      </c>
      <c r="I268" s="268">
        <f t="shared" si="42"/>
        <v>774.0828716544</v>
      </c>
      <c r="J268" s="268">
        <f t="shared" si="42"/>
        <v>4914.81188352</v>
      </c>
      <c r="K268" s="268">
        <f t="shared" si="42"/>
        <v>4914.81188352</v>
      </c>
      <c r="L268" s="268">
        <f t="shared" si="42"/>
        <v>0</v>
      </c>
      <c r="M268" s="140"/>
      <c r="N268" s="140"/>
      <c r="O268" s="140"/>
      <c r="P268" s="140"/>
      <c r="Q268" s="140"/>
      <c r="R268" s="140"/>
      <c r="S268" s="140"/>
      <c r="T268" s="140"/>
      <c r="U268" s="140"/>
    </row>
    <row r="269" s="203" customFormat="1" hidden="1" spans="1:21">
      <c r="A269" s="303"/>
      <c r="B269" s="96" t="s">
        <v>258</v>
      </c>
      <c r="D269" s="268">
        <f>D279*D255</f>
        <v>1780.39060480512</v>
      </c>
      <c r="E269" s="268">
        <f t="shared" ref="E269:K269" si="43">E279*E255</f>
        <v>1459.69912940544</v>
      </c>
      <c r="F269" s="268">
        <f t="shared" si="43"/>
        <v>995.2494064128</v>
      </c>
      <c r="G269" s="268">
        <f t="shared" si="43"/>
        <v>862.54948555776</v>
      </c>
      <c r="H269" s="268">
        <f t="shared" si="43"/>
        <v>862.54948555776</v>
      </c>
      <c r="I269" s="268">
        <f t="shared" si="43"/>
        <v>928.89944598528</v>
      </c>
      <c r="J269" s="268">
        <f t="shared" si="43"/>
        <v>5897.774260224</v>
      </c>
      <c r="K269" s="268">
        <f t="shared" si="43"/>
        <v>5897.774260224</v>
      </c>
      <c r="L269" s="268">
        <f>L$277*L255</f>
        <v>0</v>
      </c>
      <c r="M269" s="140"/>
      <c r="N269" s="140"/>
      <c r="O269" s="140"/>
      <c r="P269" s="140"/>
      <c r="Q269" s="140"/>
      <c r="R269" s="140"/>
      <c r="S269" s="140"/>
      <c r="T269" s="140"/>
      <c r="U269" s="140"/>
    </row>
    <row r="270" s="203" customFormat="1" hidden="1" spans="1:21">
      <c r="A270" s="303"/>
      <c r="B270" s="96" t="s">
        <v>259</v>
      </c>
      <c r="D270" s="268">
        <f>D279*D256</f>
        <v>1780.39060480512</v>
      </c>
      <c r="E270" s="268">
        <f t="shared" ref="E270:L270" si="44">E279*E256</f>
        <v>1702.98231763968</v>
      </c>
      <c r="F270" s="268">
        <f t="shared" si="44"/>
        <v>1161.1243074816</v>
      </c>
      <c r="G270" s="268">
        <f t="shared" si="44"/>
        <v>1006.30773315072</v>
      </c>
      <c r="H270" s="268">
        <f t="shared" si="44"/>
        <v>1006.30773315072</v>
      </c>
      <c r="I270" s="268">
        <f t="shared" si="44"/>
        <v>1083.71602031616</v>
      </c>
      <c r="J270" s="268">
        <f t="shared" si="44"/>
        <v>6880.736636928</v>
      </c>
      <c r="K270" s="268">
        <f t="shared" si="44"/>
        <v>6880.736636928</v>
      </c>
      <c r="L270" s="268">
        <f t="shared" si="44"/>
        <v>0</v>
      </c>
      <c r="M270" s="140"/>
      <c r="N270" s="140"/>
      <c r="O270" s="140"/>
      <c r="P270" s="140"/>
      <c r="Q270" s="140"/>
      <c r="R270" s="140"/>
      <c r="S270" s="140"/>
      <c r="T270" s="140"/>
      <c r="U270" s="140"/>
    </row>
    <row r="271" s="203" customFormat="1" hidden="1" spans="1:21">
      <c r="A271" s="303"/>
      <c r="B271" s="96" t="s">
        <v>260</v>
      </c>
      <c r="D271" s="268">
        <f>D279*D257</f>
        <v>2034.73211977728</v>
      </c>
      <c r="E271" s="268">
        <f t="shared" ref="E271:L271" si="45">E279*E257</f>
        <v>1946.26550587392</v>
      </c>
      <c r="F271" s="268">
        <f t="shared" si="45"/>
        <v>1326.9992085504</v>
      </c>
      <c r="G271" s="268">
        <f t="shared" si="45"/>
        <v>1150.06598074368</v>
      </c>
      <c r="H271" s="268">
        <f t="shared" si="45"/>
        <v>1150.06598074368</v>
      </c>
      <c r="I271" s="268">
        <f t="shared" si="45"/>
        <v>1238.53259464704</v>
      </c>
      <c r="J271" s="268">
        <f t="shared" si="45"/>
        <v>7863.699013632</v>
      </c>
      <c r="K271" s="268">
        <f t="shared" si="45"/>
        <v>7863.699013632</v>
      </c>
      <c r="L271" s="268">
        <f t="shared" si="45"/>
        <v>0</v>
      </c>
      <c r="M271" s="140"/>
      <c r="N271" s="140"/>
      <c r="O271" s="140"/>
      <c r="P271" s="140"/>
      <c r="Q271" s="140"/>
      <c r="R271" s="140"/>
      <c r="S271" s="140"/>
      <c r="T271" s="140"/>
      <c r="U271" s="140"/>
    </row>
    <row r="272" s="203" customFormat="1" hidden="1" spans="1:21">
      <c r="A272" s="303"/>
      <c r="B272" s="96" t="s">
        <v>261</v>
      </c>
      <c r="D272" s="268">
        <f>D279*D258</f>
        <v>2543.4151497216</v>
      </c>
      <c r="E272" s="268">
        <f t="shared" ref="E272:L272" si="46">E279*E258</f>
        <v>2432.8318823424</v>
      </c>
      <c r="F272" s="268">
        <f t="shared" si="46"/>
        <v>1658.749010688</v>
      </c>
      <c r="G272" s="268">
        <f t="shared" si="46"/>
        <v>1437.5824759296</v>
      </c>
      <c r="H272" s="268">
        <f t="shared" si="46"/>
        <v>1437.5824759296</v>
      </c>
      <c r="I272" s="268">
        <f t="shared" si="46"/>
        <v>1548.1657433088</v>
      </c>
      <c r="J272" s="268">
        <f t="shared" si="46"/>
        <v>9829.62376704</v>
      </c>
      <c r="K272" s="268">
        <f t="shared" si="46"/>
        <v>9829.62376704</v>
      </c>
      <c r="L272" s="268">
        <f t="shared" si="46"/>
        <v>0</v>
      </c>
      <c r="M272" s="140"/>
      <c r="N272" s="140"/>
      <c r="O272" s="140"/>
      <c r="P272" s="140"/>
      <c r="Q272" s="140"/>
      <c r="R272" s="140"/>
      <c r="S272" s="140"/>
      <c r="T272" s="140"/>
      <c r="U272" s="140"/>
    </row>
    <row r="273" s="203" customFormat="1" hidden="1" spans="1:21">
      <c r="A273" s="303"/>
      <c r="B273" s="96" t="s">
        <v>262</v>
      </c>
      <c r="D273" s="268">
        <f>D279*D259</f>
        <v>2543.4151497216</v>
      </c>
      <c r="E273" s="268">
        <f t="shared" ref="E273:L273" si="47">E279*E259</f>
        <v>2432.8318823424</v>
      </c>
      <c r="F273" s="268">
        <f t="shared" si="47"/>
        <v>1658.749010688</v>
      </c>
      <c r="G273" s="268">
        <f t="shared" si="47"/>
        <v>1437.5824759296</v>
      </c>
      <c r="H273" s="268">
        <f t="shared" si="47"/>
        <v>1437.5824759296</v>
      </c>
      <c r="I273" s="268">
        <f t="shared" si="47"/>
        <v>1548.1657433088</v>
      </c>
      <c r="J273" s="268">
        <f t="shared" si="47"/>
        <v>9829.62376704</v>
      </c>
      <c r="K273" s="268">
        <f t="shared" si="47"/>
        <v>9829.62376704</v>
      </c>
      <c r="L273" s="268">
        <f t="shared" si="47"/>
        <v>0</v>
      </c>
      <c r="M273" s="140"/>
      <c r="N273" s="140"/>
      <c r="O273" s="140"/>
      <c r="P273" s="140"/>
      <c r="Q273" s="140"/>
      <c r="R273" s="140"/>
      <c r="S273" s="140"/>
      <c r="T273" s="140"/>
      <c r="U273" s="140"/>
    </row>
    <row r="274" s="203" customFormat="1" hidden="1" spans="1:21">
      <c r="A274" s="303"/>
      <c r="B274" s="96" t="s">
        <v>263</v>
      </c>
      <c r="D274" s="268">
        <f>D279*D260</f>
        <v>2543.4151497216</v>
      </c>
      <c r="E274" s="268">
        <f t="shared" ref="E274:L274" si="48">E279*E260</f>
        <v>2676.11507057664</v>
      </c>
      <c r="F274" s="268">
        <f t="shared" si="48"/>
        <v>1990.4988128256</v>
      </c>
      <c r="G274" s="268">
        <f t="shared" si="48"/>
        <v>1725.09897111552</v>
      </c>
      <c r="H274" s="268">
        <f t="shared" si="48"/>
        <v>1725.09897111552</v>
      </c>
      <c r="I274" s="268">
        <f t="shared" si="48"/>
        <v>1857.79889197056</v>
      </c>
      <c r="J274" s="268">
        <f t="shared" si="48"/>
        <v>11795.548520448</v>
      </c>
      <c r="K274" s="268">
        <f t="shared" si="48"/>
        <v>11795.548520448</v>
      </c>
      <c r="L274" s="268">
        <f t="shared" si="48"/>
        <v>0</v>
      </c>
      <c r="M274" s="140"/>
      <c r="N274" s="293"/>
      <c r="O274" s="293"/>
      <c r="P274" s="293"/>
      <c r="Q274" s="293"/>
      <c r="R274" s="293"/>
      <c r="S274" s="293"/>
      <c r="T274" s="293"/>
      <c r="U274" s="293"/>
    </row>
    <row r="275" s="203" customFormat="1" hidden="1" spans="1:21">
      <c r="A275" s="303"/>
      <c r="B275" s="96" t="s">
        <v>264</v>
      </c>
      <c r="D275" s="268">
        <f>D279*D261</f>
        <v>2543.4151497216</v>
      </c>
      <c r="E275" s="268">
        <f t="shared" ref="E275:L275" si="49">E279*E261</f>
        <v>2676.11507057664</v>
      </c>
      <c r="F275" s="268">
        <f t="shared" si="49"/>
        <v>1990.4988128256</v>
      </c>
      <c r="G275" s="268">
        <f t="shared" si="49"/>
        <v>1725.09897111552</v>
      </c>
      <c r="H275" s="268">
        <f t="shared" si="49"/>
        <v>1725.09897111552</v>
      </c>
      <c r="I275" s="268">
        <f t="shared" si="49"/>
        <v>1857.79889197056</v>
      </c>
      <c r="J275" s="268">
        <f t="shared" si="49"/>
        <v>11795.548520448</v>
      </c>
      <c r="K275" s="268">
        <f t="shared" si="49"/>
        <v>11795.548520448</v>
      </c>
      <c r="L275" s="268">
        <f t="shared" si="49"/>
        <v>0</v>
      </c>
      <c r="M275" s="140"/>
      <c r="N275" s="293"/>
      <c r="O275" s="293"/>
      <c r="P275" s="293"/>
      <c r="Q275" s="293"/>
      <c r="R275" s="293"/>
      <c r="S275" s="293"/>
      <c r="T275" s="293"/>
      <c r="U275" s="293"/>
    </row>
    <row r="276" s="203" customFormat="1" hidden="1" spans="1:21">
      <c r="A276" s="303"/>
      <c r="B276" s="96" t="s">
        <v>265</v>
      </c>
      <c r="D276" s="268">
        <f>D279*D262</f>
        <v>2543.4151497216</v>
      </c>
      <c r="E276" s="268">
        <f t="shared" ref="E276:L276" si="50">E279*E262</f>
        <v>2676.11507057664</v>
      </c>
      <c r="F276" s="268">
        <f t="shared" si="50"/>
        <v>1824.6239117568</v>
      </c>
      <c r="G276" s="268">
        <f t="shared" si="50"/>
        <v>1581.34072352256</v>
      </c>
      <c r="H276" s="268">
        <f t="shared" si="50"/>
        <v>1581.34072352256</v>
      </c>
      <c r="I276" s="268">
        <f t="shared" si="50"/>
        <v>1702.98231763968</v>
      </c>
      <c r="J276" s="268">
        <f t="shared" si="50"/>
        <v>10812.586143744</v>
      </c>
      <c r="K276" s="268">
        <f t="shared" si="50"/>
        <v>10812.586143744</v>
      </c>
      <c r="L276" s="268">
        <f t="shared" si="50"/>
        <v>0</v>
      </c>
      <c r="N276" s="293"/>
      <c r="O276" s="293"/>
      <c r="P276" s="293"/>
      <c r="Q276" s="293"/>
      <c r="R276" s="293"/>
      <c r="S276" s="293"/>
      <c r="T276" s="293"/>
      <c r="U276" s="293"/>
    </row>
    <row r="277" s="205" customFormat="1" hidden="1" spans="1:21">
      <c r="A277" s="303"/>
      <c r="B277" s="96" t="s">
        <v>266</v>
      </c>
      <c r="D277" s="268">
        <f>D279*D263</f>
        <v>1780.39060480512</v>
      </c>
      <c r="E277" s="268">
        <f t="shared" ref="E277:L277" si="51">E279*E263</f>
        <v>1702.98231763968</v>
      </c>
      <c r="F277" s="268">
        <f t="shared" si="51"/>
        <v>1161.1243074816</v>
      </c>
      <c r="G277" s="268">
        <f t="shared" si="51"/>
        <v>1006.30773315072</v>
      </c>
      <c r="H277" s="268">
        <f t="shared" si="51"/>
        <v>1006.30773315072</v>
      </c>
      <c r="I277" s="268">
        <f t="shared" si="51"/>
        <v>1083.71602031616</v>
      </c>
      <c r="J277" s="268">
        <f t="shared" si="51"/>
        <v>6880.736636928</v>
      </c>
      <c r="K277" s="268">
        <f t="shared" si="51"/>
        <v>6880.736636928</v>
      </c>
      <c r="L277" s="268">
        <f t="shared" si="51"/>
        <v>0</v>
      </c>
      <c r="M277" s="203"/>
      <c r="N277" s="293"/>
      <c r="O277" s="293"/>
      <c r="P277" s="293"/>
      <c r="Q277" s="293"/>
      <c r="R277" s="293"/>
      <c r="S277" s="293"/>
      <c r="T277" s="293"/>
      <c r="U277" s="293"/>
    </row>
    <row r="278" s="205" customFormat="1" hidden="1" spans="1:21">
      <c r="A278" s="303"/>
      <c r="B278" s="96" t="s">
        <v>267</v>
      </c>
      <c r="D278" s="268">
        <f>D279*D264</f>
        <v>1780.39060480512</v>
      </c>
      <c r="E278" s="268">
        <f t="shared" ref="E278:L278" si="52">E279*E264</f>
        <v>1702.98231763968</v>
      </c>
      <c r="F278" s="268">
        <f t="shared" si="52"/>
        <v>1161.1243074816</v>
      </c>
      <c r="G278" s="268">
        <f t="shared" si="52"/>
        <v>1006.30773315072</v>
      </c>
      <c r="H278" s="268">
        <f t="shared" si="52"/>
        <v>1006.30773315072</v>
      </c>
      <c r="I278" s="268">
        <f t="shared" si="52"/>
        <v>1083.71602031616</v>
      </c>
      <c r="J278" s="268">
        <f t="shared" si="52"/>
        <v>6880.736636928</v>
      </c>
      <c r="K278" s="268">
        <f t="shared" si="52"/>
        <v>6880.736636928</v>
      </c>
      <c r="L278" s="268">
        <f t="shared" si="52"/>
        <v>0</v>
      </c>
      <c r="M278" s="140"/>
      <c r="N278" s="293"/>
      <c r="O278" s="293"/>
      <c r="P278" s="293"/>
      <c r="Q278" s="293"/>
      <c r="R278" s="293"/>
      <c r="S278" s="293"/>
      <c r="T278" s="293"/>
      <c r="U278" s="293"/>
    </row>
    <row r="279" s="203" customFormat="1" hidden="1" spans="1:21">
      <c r="A279" s="303"/>
      <c r="B279" s="96" t="s">
        <v>268</v>
      </c>
      <c r="D279" s="268">
        <f t="shared" ref="D279:L279" si="53">VLOOKUP(D160,TargetedMS,IF(D161="[retail]",12,14),FALSE)</f>
        <v>25434.151497216</v>
      </c>
      <c r="E279" s="268">
        <f t="shared" si="53"/>
        <v>24328.318823424</v>
      </c>
      <c r="F279" s="268">
        <f t="shared" si="53"/>
        <v>16587.49010688</v>
      </c>
      <c r="G279" s="268">
        <f t="shared" si="53"/>
        <v>14375.824759296</v>
      </c>
      <c r="H279" s="268">
        <f t="shared" si="53"/>
        <v>14375.824759296</v>
      </c>
      <c r="I279" s="268">
        <f t="shared" si="53"/>
        <v>15481.657433088</v>
      </c>
      <c r="J279" s="268">
        <f t="shared" si="53"/>
        <v>98296.2376704</v>
      </c>
      <c r="K279" s="268">
        <f t="shared" si="53"/>
        <v>98296.2376704</v>
      </c>
      <c r="L279" s="268">
        <f t="shared" si="53"/>
        <v>0</v>
      </c>
      <c r="N279" s="293"/>
      <c r="O279" s="293"/>
      <c r="P279" s="293"/>
      <c r="Q279" s="293"/>
      <c r="R279" s="293"/>
      <c r="S279" s="293"/>
      <c r="T279" s="293"/>
      <c r="U279" s="293"/>
    </row>
    <row r="280" s="205" customFormat="1" hidden="1" spans="1:21">
      <c r="A280" s="258"/>
      <c r="B280" s="262" t="s">
        <v>270</v>
      </c>
      <c r="D280" s="293" t="str">
        <f t="shared" ref="D280:L280" si="54">IF(D161="[wholesale]",D279/capacity,"")</f>
        <v/>
      </c>
      <c r="E280" s="293" t="str">
        <f t="shared" si="54"/>
        <v/>
      </c>
      <c r="F280" s="293" t="str">
        <f t="shared" si="54"/>
        <v/>
      </c>
      <c r="G280" s="293" t="str">
        <f t="shared" si="54"/>
        <v/>
      </c>
      <c r="H280" s="293" t="str">
        <f t="shared" si="54"/>
        <v/>
      </c>
      <c r="I280" s="293" t="str">
        <f t="shared" si="54"/>
        <v/>
      </c>
      <c r="J280" s="293">
        <f t="shared" si="54"/>
        <v>79.2711594116129</v>
      </c>
      <c r="K280" s="293">
        <f t="shared" si="54"/>
        <v>79.2711594116129</v>
      </c>
      <c r="L280" s="293" t="str">
        <f t="shared" si="54"/>
        <v/>
      </c>
      <c r="M280" s="140"/>
      <c r="N280" s="140"/>
      <c r="O280" s="308"/>
      <c r="P280" s="308"/>
      <c r="Q280" s="140"/>
      <c r="R280" s="308"/>
      <c r="S280" s="308"/>
      <c r="T280" s="203"/>
      <c r="U280" s="203"/>
    </row>
    <row r="281" s="140" customFormat="1" hidden="1" spans="1:19">
      <c r="A281" s="258"/>
      <c r="B281" s="262"/>
      <c r="C281" s="304" t="s">
        <v>142</v>
      </c>
      <c r="D281" s="266" t="s">
        <v>271</v>
      </c>
      <c r="E281" s="266"/>
      <c r="F281" s="266"/>
      <c r="G281" s="266"/>
      <c r="H281" s="266"/>
      <c r="I281" s="266"/>
      <c r="J281" s="266"/>
      <c r="K281" s="266"/>
      <c r="L281" s="266"/>
      <c r="O281" s="308"/>
      <c r="P281" s="308"/>
      <c r="R281" s="308"/>
      <c r="S281" s="308"/>
    </row>
    <row r="282" s="140" customFormat="1" hidden="1" spans="1:19">
      <c r="A282" s="261"/>
      <c r="B282" s="262" t="s">
        <v>256</v>
      </c>
      <c r="C282" s="297">
        <f t="shared" ref="C282:C293" si="55">SUM(D282:Z282)</f>
        <v>10</v>
      </c>
      <c r="D282" s="281">
        <f>ProductionFY3(1,D160,VLOOKUP(D160,ProductsRange,3,FALSE),D267)</f>
        <v>1.32960176179115</v>
      </c>
      <c r="E282" s="281">
        <f>ProductionFY3(1,E160,VLOOKUP(E160,ProductsRange,3,FALSE),E267)</f>
        <v>1.1449498843485</v>
      </c>
      <c r="F282" s="281">
        <f>ProductionFY3(1,F160,VLOOKUP(F160,ProductsRange,3,FALSE),F267)</f>
        <v>0</v>
      </c>
      <c r="G282" s="281">
        <f>ProductionFY3(1,G160,VLOOKUP(G160,ProductsRange,3,FALSE),G267)</f>
        <v>0</v>
      </c>
      <c r="H282" s="281">
        <f>ProductionFY3(1,H160,VLOOKUP(H160,ProductsRange,3,FALSE),H267)</f>
        <v>0</v>
      </c>
      <c r="I282" s="281">
        <f>ProductionFY3(1,I160,VLOOKUP(I160,ProductsRange,3,FALSE),I267)</f>
        <v>0</v>
      </c>
      <c r="J282" s="281">
        <f>ProductionFY3(1,J160,VLOOKUP(J160,ProductsRange,3,FALSE),J267)</f>
        <v>3.67039823820885</v>
      </c>
      <c r="K282" s="281">
        <f>ProductionFY3(1,K160,VLOOKUP(K160,ProductsRange,3,FALSE),K267)</f>
        <v>3.8550501156515</v>
      </c>
      <c r="L282" s="281">
        <f>ProductionFY3(1,L160,VLOOKUP(L160,ProductsRange,3,FALSE),L267)</f>
        <v>0</v>
      </c>
      <c r="M282" s="261"/>
      <c r="O282" s="308"/>
      <c r="P282" s="308"/>
      <c r="R282" s="308"/>
      <c r="S282" s="308"/>
    </row>
    <row r="283" s="140" customFormat="1" hidden="1" spans="1:19">
      <c r="A283" s="264"/>
      <c r="B283" s="262" t="s">
        <v>257</v>
      </c>
      <c r="C283" s="297">
        <f t="shared" si="55"/>
        <v>10</v>
      </c>
      <c r="D283" s="281">
        <f>ProductionFY3(2,D160,VLOOKUP(D160,ProductsRange,3,FALSE),D268)</f>
        <v>1.32960176179115</v>
      </c>
      <c r="E283" s="281">
        <f>ProductionFY3(2,E160,VLOOKUP(E160,ProductsRange,3,FALSE),E268)</f>
        <v>1.1449498843485</v>
      </c>
      <c r="F283" s="281">
        <f>ProductionFY3(2,F160,VLOOKUP(F160,ProductsRange,3,FALSE),F268)</f>
        <v>0</v>
      </c>
      <c r="G283" s="281">
        <f>ProductionFY3(2,G160,VLOOKUP(G160,ProductsRange,3,FALSE),G268)</f>
        <v>0</v>
      </c>
      <c r="H283" s="281">
        <f>ProductionFY3(2,H160,VLOOKUP(H160,ProductsRange,3,FALSE),H268)</f>
        <v>0</v>
      </c>
      <c r="I283" s="281">
        <f>ProductionFY3(2,I160,VLOOKUP(I160,ProductsRange,3,FALSE),I268)</f>
        <v>0</v>
      </c>
      <c r="J283" s="281">
        <f>ProductionFY3(2,J160,VLOOKUP(J160,ProductsRange,3,FALSE),J268)</f>
        <v>3.67039823820885</v>
      </c>
      <c r="K283" s="281">
        <f>ProductionFY3(2,K160,VLOOKUP(K160,ProductsRange,3,FALSE),K268)</f>
        <v>3.8550501156515</v>
      </c>
      <c r="L283" s="281">
        <f>ProductionFY3(2,L160,VLOOKUP(L160,ProductsRange,3,FALSE),L268)</f>
        <v>0</v>
      </c>
      <c r="M283" s="261"/>
      <c r="O283" s="308"/>
      <c r="P283" s="308"/>
      <c r="R283" s="308"/>
      <c r="S283" s="308"/>
    </row>
    <row r="284" s="140" customFormat="1" hidden="1" spans="1:19">
      <c r="A284" s="203"/>
      <c r="B284" s="96" t="s">
        <v>258</v>
      </c>
      <c r="C284" s="297">
        <f t="shared" si="55"/>
        <v>13</v>
      </c>
      <c r="D284" s="281">
        <f>ProductionFY3(3,D160,VLOOKUP(D160,ProductsRange,3,FALSE),D269)</f>
        <v>1.39126260201632</v>
      </c>
      <c r="E284" s="281">
        <f>ProductionFY3(3,E160,VLOOKUP(E160,ProductsRange,3,FALSE),E269)</f>
        <v>1.19038076152305</v>
      </c>
      <c r="F284" s="281">
        <f>ProductionFY3(3,F160,VLOOKUP(F160,ProductsRange,3,FALSE),F269)</f>
        <v>1</v>
      </c>
      <c r="G284" s="281">
        <f>ProductionFY3(3,G160,VLOOKUP(G160,ProductsRange,3,FALSE),G269)</f>
        <v>0</v>
      </c>
      <c r="H284" s="281">
        <f>ProductionFY3(3,H160,VLOOKUP(H160,ProductsRange,3,FALSE),H269)</f>
        <v>0</v>
      </c>
      <c r="I284" s="281">
        <f>ProductionFY3(3,I160,VLOOKUP(I160,ProductsRange,3,FALSE),I269)</f>
        <v>0</v>
      </c>
      <c r="J284" s="281">
        <f>ProductionFY3(3,J160,VLOOKUP(J160,ProductsRange,3,FALSE),J269)</f>
        <v>4.60873739798368</v>
      </c>
      <c r="K284" s="281">
        <f>ProductionFY3(3,K160,VLOOKUP(K160,ProductsRange,3,FALSE),K269)</f>
        <v>4.80961923847695</v>
      </c>
      <c r="L284" s="281">
        <f>ProductionFY3(3,L160,VLOOKUP(L160,ProductsRange,3,FALSE),L269)</f>
        <v>0</v>
      </c>
      <c r="M284" s="261"/>
      <c r="O284" s="308"/>
      <c r="P284" s="308"/>
      <c r="R284" s="308"/>
      <c r="S284" s="308"/>
    </row>
    <row r="285" s="140" customFormat="1" hidden="1" spans="1:19">
      <c r="A285" s="203"/>
      <c r="B285" s="96" t="s">
        <v>259</v>
      </c>
      <c r="C285" s="297">
        <f t="shared" si="55"/>
        <v>18</v>
      </c>
      <c r="D285" s="281">
        <f>ProductionFY3(4,D160,VLOOKUP(D160,ProductsRange,3,FALSE),D270)</f>
        <v>1.43892750744786</v>
      </c>
      <c r="E285" s="281">
        <f>ProductionFY3(4,E160,VLOOKUP(E160,ProductsRange,3,FALSE),E270)</f>
        <v>1.38877755511022</v>
      </c>
      <c r="F285" s="281">
        <f>ProductionFY3(4,F160,VLOOKUP(F160,ProductsRange,3,FALSE),F270)</f>
        <v>1</v>
      </c>
      <c r="G285" s="281">
        <f>ProductionFY3(4,G160,VLOOKUP(G160,ProductsRange,3,FALSE),G270)</f>
        <v>1</v>
      </c>
      <c r="H285" s="281">
        <f>ProductionFY3(4,H160,VLOOKUP(H160,ProductsRange,3,FALSE),H270)</f>
        <v>1</v>
      </c>
      <c r="I285" s="281">
        <f>ProductionFY3(4,I160,VLOOKUP(I160,ProductsRange,3,FALSE),I270)</f>
        <v>1</v>
      </c>
      <c r="J285" s="281">
        <f>ProductionFY3(4,J160,VLOOKUP(J160,ProductsRange,3,FALSE),J270)</f>
        <v>5.56107249255214</v>
      </c>
      <c r="K285" s="281">
        <f>ProductionFY3(4,K160,VLOOKUP(K160,ProductsRange,3,FALSE),K270)</f>
        <v>5.61122244488978</v>
      </c>
      <c r="L285" s="281">
        <f>ProductionFY3(4,L160,VLOOKUP(L160,ProductsRange,3,FALSE),L270)</f>
        <v>0</v>
      </c>
      <c r="M285" s="261"/>
      <c r="O285" s="308"/>
      <c r="P285" s="308"/>
      <c r="R285" s="308"/>
      <c r="S285" s="308"/>
    </row>
    <row r="286" s="140" customFormat="1" hidden="1" spans="1:19">
      <c r="A286" s="203"/>
      <c r="B286" s="96" t="s">
        <v>260</v>
      </c>
      <c r="C286" s="297">
        <f t="shared" si="55"/>
        <v>20</v>
      </c>
      <c r="D286" s="281">
        <f>ProductionFY3(5,D160,VLOOKUP(D160,ProductsRange,3,FALSE),D271)</f>
        <v>1.64448857994042</v>
      </c>
      <c r="E286" s="281">
        <f>ProductionFY3(5,E160,VLOOKUP(E160,ProductsRange,3,FALSE),E271)</f>
        <v>1.58717434869739</v>
      </c>
      <c r="F286" s="281">
        <f>ProductionFY3(5,F160,VLOOKUP(F160,ProductsRange,3,FALSE),F271)</f>
        <v>1</v>
      </c>
      <c r="G286" s="281">
        <f>ProductionFY3(5,G160,VLOOKUP(G160,ProductsRange,3,FALSE),G271)</f>
        <v>1</v>
      </c>
      <c r="H286" s="281">
        <f>ProductionFY3(5,H160,VLOOKUP(H160,ProductsRange,3,FALSE),H271)</f>
        <v>1</v>
      </c>
      <c r="I286" s="281">
        <f>ProductionFY3(5,I160,VLOOKUP(I160,ProductsRange,3,FALSE),I271)</f>
        <v>1</v>
      </c>
      <c r="J286" s="281">
        <f>ProductionFY3(5,J160,VLOOKUP(J160,ProductsRange,3,FALSE),J271)</f>
        <v>6.35551142005958</v>
      </c>
      <c r="K286" s="281">
        <f>ProductionFY3(5,K160,VLOOKUP(K160,ProductsRange,3,FALSE),K271)</f>
        <v>6.41282565130261</v>
      </c>
      <c r="L286" s="281">
        <f>ProductionFY3(5,L160,VLOOKUP(L160,ProductsRange,3,FALSE),L271)</f>
        <v>0</v>
      </c>
      <c r="M286" s="261"/>
      <c r="O286" s="308"/>
      <c r="P286" s="308"/>
      <c r="R286" s="308"/>
      <c r="S286" s="308"/>
    </row>
    <row r="287" s="140" customFormat="1" hidden="1" spans="2:19">
      <c r="B287" s="96" t="s">
        <v>261</v>
      </c>
      <c r="C287" s="297">
        <f t="shared" si="55"/>
        <v>24</v>
      </c>
      <c r="D287" s="281">
        <f>ProductionFY3(6,D160,VLOOKUP(D160,ProductsRange,3,FALSE),D272)</f>
        <v>2.05561072492552</v>
      </c>
      <c r="E287" s="281">
        <f>ProductionFY3(6,E160,VLOOKUP(E160,ProductsRange,3,FALSE),E272)</f>
        <v>1.98396793587174</v>
      </c>
      <c r="F287" s="281">
        <f>ProductionFY3(6,F160,VLOOKUP(F160,ProductsRange,3,FALSE),F272)</f>
        <v>1</v>
      </c>
      <c r="G287" s="281">
        <f>ProductionFY3(6,G160,VLOOKUP(G160,ProductsRange,3,FALSE),G272)</f>
        <v>1</v>
      </c>
      <c r="H287" s="281">
        <f>ProductionFY3(6,H160,VLOOKUP(H160,ProductsRange,3,FALSE),H272)</f>
        <v>1</v>
      </c>
      <c r="I287" s="281">
        <f>ProductionFY3(6,I160,VLOOKUP(I160,ProductsRange,3,FALSE),I272)</f>
        <v>1</v>
      </c>
      <c r="J287" s="281">
        <f>ProductionFY3(6,J160,VLOOKUP(J160,ProductsRange,3,FALSE),J272)</f>
        <v>7.94438927507448</v>
      </c>
      <c r="K287" s="281">
        <f>ProductionFY3(6,K160,VLOOKUP(K160,ProductsRange,3,FALSE),K272)</f>
        <v>8.01603206412826</v>
      </c>
      <c r="L287" s="281">
        <f>ProductionFY3(6,L160,VLOOKUP(L160,ProductsRange,3,FALSE),L272)</f>
        <v>0</v>
      </c>
      <c r="M287" s="261"/>
      <c r="O287" s="308"/>
      <c r="P287" s="308"/>
      <c r="R287" s="308"/>
      <c r="S287" s="308"/>
    </row>
    <row r="288" s="140" customFormat="1" hidden="1" spans="2:19">
      <c r="B288" s="96" t="s">
        <v>262</v>
      </c>
      <c r="C288" s="297">
        <f t="shared" si="55"/>
        <v>24</v>
      </c>
      <c r="D288" s="281">
        <f>ProductionFY3(7,D160,VLOOKUP(D160,ProductsRange,3,FALSE),D273)</f>
        <v>2.05561072492552</v>
      </c>
      <c r="E288" s="281">
        <f>ProductionFY3(7,E160,VLOOKUP(E160,ProductsRange,3,FALSE),E273)</f>
        <v>1.98396793587174</v>
      </c>
      <c r="F288" s="281">
        <f>ProductionFY3(7,F160,VLOOKUP(F160,ProductsRange,3,FALSE),F273)</f>
        <v>1</v>
      </c>
      <c r="G288" s="281">
        <f>ProductionFY3(7,G160,VLOOKUP(G160,ProductsRange,3,FALSE),G273)</f>
        <v>1</v>
      </c>
      <c r="H288" s="281">
        <f>ProductionFY3(7,H160,VLOOKUP(H160,ProductsRange,3,FALSE),H273)</f>
        <v>1</v>
      </c>
      <c r="I288" s="281">
        <f>ProductionFY3(7,I160,VLOOKUP(I160,ProductsRange,3,FALSE),I273)</f>
        <v>1</v>
      </c>
      <c r="J288" s="281">
        <f>ProductionFY3(7,J160,VLOOKUP(J160,ProductsRange,3,FALSE),J273)</f>
        <v>7.94438927507448</v>
      </c>
      <c r="K288" s="281">
        <f>ProductionFY3(7,K160,VLOOKUP(K160,ProductsRange,3,FALSE),K273)</f>
        <v>8.01603206412826</v>
      </c>
      <c r="L288" s="281">
        <f>ProductionFY3(7,L160,VLOOKUP(L160,ProductsRange,3,FALSE),L273)</f>
        <v>0</v>
      </c>
      <c r="M288" s="261"/>
      <c r="O288" s="308"/>
      <c r="P288" s="308"/>
      <c r="R288" s="308"/>
      <c r="S288" s="308"/>
    </row>
    <row r="289" s="140" customFormat="1" hidden="1" spans="2:19">
      <c r="B289" s="96" t="s">
        <v>263</v>
      </c>
      <c r="C289" s="297">
        <f t="shared" si="55"/>
        <v>26</v>
      </c>
      <c r="D289" s="281">
        <f>ProductionFY3(8,D160,VLOOKUP(D160,ProductsRange,3,FALSE),D274)</f>
        <v>1.95115681233933</v>
      </c>
      <c r="E289" s="281">
        <f>ProductionFY3(8,E160,VLOOKUP(E160,ProductsRange,3,FALSE),E274)</f>
        <v>2.03413143148242</v>
      </c>
      <c r="F289" s="281">
        <f>ProductionFY3(8,F160,VLOOKUP(F160,ProductsRange,3,FALSE),F274)</f>
        <v>1</v>
      </c>
      <c r="G289" s="281">
        <f>ProductionFY3(8,G160,VLOOKUP(G160,ProductsRange,3,FALSE),G274)</f>
        <v>1</v>
      </c>
      <c r="H289" s="281">
        <f>ProductionFY3(8,H160,VLOOKUP(H160,ProductsRange,3,FALSE),H274)</f>
        <v>1</v>
      </c>
      <c r="I289" s="281">
        <f>ProductionFY3(8,I160,VLOOKUP(I160,ProductsRange,3,FALSE),I274)</f>
        <v>1</v>
      </c>
      <c r="J289" s="281">
        <f>ProductionFY3(8,J160,VLOOKUP(J160,ProductsRange,3,FALSE),J274)</f>
        <v>9.04884318766067</v>
      </c>
      <c r="K289" s="281">
        <f>ProductionFY3(8,K160,VLOOKUP(K160,ProductsRange,3,FALSE),K274)</f>
        <v>8.96586856851757</v>
      </c>
      <c r="L289" s="281">
        <f>ProductionFY3(8,L160,VLOOKUP(L160,ProductsRange,3,FALSE),L274)</f>
        <v>0</v>
      </c>
      <c r="M289" s="261"/>
      <c r="O289" s="308"/>
      <c r="P289" s="308"/>
      <c r="R289" s="308"/>
      <c r="S289" s="308"/>
    </row>
    <row r="290" s="140" customFormat="1" hidden="1" spans="2:19">
      <c r="B290" s="96" t="s">
        <v>264</v>
      </c>
      <c r="C290" s="297">
        <f t="shared" si="55"/>
        <v>26</v>
      </c>
      <c r="D290" s="281">
        <f>ProductionFY3(9,D160,VLOOKUP(D160,ProductsRange,3,FALSE),D275)</f>
        <v>1.95115681233933</v>
      </c>
      <c r="E290" s="281">
        <f>ProductionFY3(9,E160,VLOOKUP(E160,ProductsRange,3,FALSE),E275)</f>
        <v>2.03413143148242</v>
      </c>
      <c r="F290" s="281">
        <f>ProductionFY3(9,F160,VLOOKUP(F160,ProductsRange,3,FALSE),F275)</f>
        <v>1</v>
      </c>
      <c r="G290" s="281">
        <f>ProductionFY3(9,G160,VLOOKUP(G160,ProductsRange,3,FALSE),G275)</f>
        <v>1</v>
      </c>
      <c r="H290" s="281">
        <f>ProductionFY3(9,H160,VLOOKUP(H160,ProductsRange,3,FALSE),H275)</f>
        <v>1</v>
      </c>
      <c r="I290" s="281">
        <f>ProductionFY3(9,I160,VLOOKUP(I160,ProductsRange,3,FALSE),I275)</f>
        <v>1</v>
      </c>
      <c r="J290" s="281">
        <f>ProductionFY3(9,J160,VLOOKUP(J160,ProductsRange,3,FALSE),J275)</f>
        <v>9.04884318766067</v>
      </c>
      <c r="K290" s="281">
        <f>ProductionFY3(9,K160,VLOOKUP(K160,ProductsRange,3,FALSE),K275)</f>
        <v>8.96586856851757</v>
      </c>
      <c r="L290" s="281">
        <f>ProductionFY3(9,L160,VLOOKUP(L160,ProductsRange,3,FALSE),L275)</f>
        <v>0</v>
      </c>
      <c r="M290" s="261"/>
      <c r="O290" s="308"/>
      <c r="P290" s="308"/>
      <c r="R290" s="308"/>
      <c r="S290" s="308"/>
    </row>
    <row r="291" s="140" customFormat="1" hidden="1" spans="2:19">
      <c r="B291" s="96" t="s">
        <v>265</v>
      </c>
      <c r="C291" s="297">
        <f t="shared" si="55"/>
        <v>25</v>
      </c>
      <c r="D291" s="281">
        <f>ProductionFY3(10,D160,VLOOKUP(D160,ProductsRange,3,FALSE),D276)</f>
        <v>1.90432382704692</v>
      </c>
      <c r="E291" s="281">
        <f>ProductionFY3(10,E160,VLOOKUP(E160,ProductsRange,3,FALSE),E276)</f>
        <v>2.18236472945892</v>
      </c>
      <c r="F291" s="281">
        <f>ProductionFY3(10,F160,VLOOKUP(F160,ProductsRange,3,FALSE),F276)</f>
        <v>1</v>
      </c>
      <c r="G291" s="281">
        <f>ProductionFY3(10,G160,VLOOKUP(G160,ProductsRange,3,FALSE),G276)</f>
        <v>1</v>
      </c>
      <c r="H291" s="281">
        <f>ProductionFY3(10,H160,VLOOKUP(H160,ProductsRange,3,FALSE),H276)</f>
        <v>1</v>
      </c>
      <c r="I291" s="281">
        <f>ProductionFY3(10,I160,VLOOKUP(I160,ProductsRange,3,FALSE),I276)</f>
        <v>1</v>
      </c>
      <c r="J291" s="281">
        <f>ProductionFY3(10,J160,VLOOKUP(J160,ProductsRange,3,FALSE),J276)</f>
        <v>8.09567617295308</v>
      </c>
      <c r="K291" s="281">
        <f>ProductionFY3(10,K160,VLOOKUP(K160,ProductsRange,3,FALSE),K276)</f>
        <v>8.81763527054108</v>
      </c>
      <c r="L291" s="281">
        <f>ProductionFY3(10,L160,VLOOKUP(L160,ProductsRange,3,FALSE),L276)</f>
        <v>0</v>
      </c>
      <c r="M291" s="261"/>
      <c r="O291" s="308"/>
      <c r="P291" s="308"/>
      <c r="R291" s="308"/>
      <c r="S291" s="308"/>
    </row>
    <row r="292" s="140" customFormat="1" hidden="1" spans="2:19">
      <c r="B292" s="96" t="s">
        <v>266</v>
      </c>
      <c r="C292" s="297">
        <f t="shared" si="55"/>
        <v>18</v>
      </c>
      <c r="D292" s="281">
        <f>ProductionFY3(11,D160,VLOOKUP(D160,ProductsRange,3,FALSE),D277)</f>
        <v>1.43892750744786</v>
      </c>
      <c r="E292" s="281">
        <f>ProductionFY3(11,E160,VLOOKUP(E160,ProductsRange,3,FALSE),E277)</f>
        <v>1.38877755511022</v>
      </c>
      <c r="F292" s="281">
        <f>ProductionFY3(11,F160,VLOOKUP(F160,ProductsRange,3,FALSE),F277)</f>
        <v>1</v>
      </c>
      <c r="G292" s="281">
        <f>ProductionFY3(11,G160,VLOOKUP(G160,ProductsRange,3,FALSE),G277)</f>
        <v>1</v>
      </c>
      <c r="H292" s="281">
        <f>ProductionFY3(11,H160,VLOOKUP(H160,ProductsRange,3,FALSE),H277)</f>
        <v>1</v>
      </c>
      <c r="I292" s="281">
        <f>ProductionFY3(11,I160,VLOOKUP(I160,ProductsRange,3,FALSE),I277)</f>
        <v>1</v>
      </c>
      <c r="J292" s="281">
        <f>ProductionFY3(11,J160,VLOOKUP(J160,ProductsRange,3,FALSE),J277)</f>
        <v>5.56107249255214</v>
      </c>
      <c r="K292" s="281">
        <f>ProductionFY3(11,K160,VLOOKUP(K160,ProductsRange,3,FALSE),K277)</f>
        <v>5.61122244488978</v>
      </c>
      <c r="L292" s="281">
        <f>ProductionFY3(11,L160,VLOOKUP(L160,ProductsRange,3,FALSE),L277)</f>
        <v>0</v>
      </c>
      <c r="M292" s="261"/>
      <c r="O292" s="308"/>
      <c r="P292" s="308"/>
      <c r="R292" s="308"/>
      <c r="S292" s="308"/>
    </row>
    <row r="293" s="140" customFormat="1" hidden="1" spans="2:19">
      <c r="B293" s="96" t="s">
        <v>267</v>
      </c>
      <c r="C293" s="297">
        <f t="shared" si="55"/>
        <v>18</v>
      </c>
      <c r="D293" s="281">
        <f>ProductionFY3(12,D160,VLOOKUP(D160,ProductsRange,3,FALSE),D278)</f>
        <v>1.43892750744786</v>
      </c>
      <c r="E293" s="281">
        <f>ProductionFY3(12,E160,VLOOKUP(E160,ProductsRange,3,FALSE),E278)</f>
        <v>1.38877755511022</v>
      </c>
      <c r="F293" s="281">
        <f>ProductionFY3(12,F160,VLOOKUP(F160,ProductsRange,3,FALSE),F278)</f>
        <v>1</v>
      </c>
      <c r="G293" s="281">
        <f>ProductionFY3(12,G160,VLOOKUP(G160,ProductsRange,3,FALSE),G278)</f>
        <v>1</v>
      </c>
      <c r="H293" s="281">
        <f>ProductionFY3(12,H160,VLOOKUP(H160,ProductsRange,3,FALSE),H278)</f>
        <v>1</v>
      </c>
      <c r="I293" s="281">
        <f>ProductionFY3(12,I160,VLOOKUP(I160,ProductsRange,3,FALSE),I278)</f>
        <v>1</v>
      </c>
      <c r="J293" s="281">
        <f>ProductionFY3(12,J160,VLOOKUP(J160,ProductsRange,3,FALSE),J278)</f>
        <v>5.56107249255214</v>
      </c>
      <c r="K293" s="281">
        <f>ProductionFY3(12,K160,VLOOKUP(K160,ProductsRange,3,FALSE),K278)</f>
        <v>5.61122244488978</v>
      </c>
      <c r="L293" s="281">
        <f>ProductionFY3(12,L160,VLOOKUP(L160,ProductsRange,3,FALSE),L278)</f>
        <v>0</v>
      </c>
      <c r="M293" s="261"/>
      <c r="O293" s="308"/>
      <c r="P293" s="308"/>
      <c r="R293" s="308"/>
      <c r="S293" s="308"/>
    </row>
    <row r="294" s="205" customFormat="1" hidden="1" spans="1:21">
      <c r="A294" s="298" t="s">
        <v>272</v>
      </c>
      <c r="B294" s="203"/>
      <c r="C294" s="262" t="s">
        <v>117</v>
      </c>
      <c r="D294" s="299">
        <f t="shared" ref="D294:I294" si="56">SUM(D267:D278)</f>
        <v>25434.151497216</v>
      </c>
      <c r="E294" s="300">
        <f t="shared" si="56"/>
        <v>24328.318823424</v>
      </c>
      <c r="F294" s="300">
        <f t="shared" si="56"/>
        <v>16587.49010688</v>
      </c>
      <c r="G294" s="300">
        <f t="shared" si="56"/>
        <v>14375.824759296</v>
      </c>
      <c r="H294" s="300">
        <f t="shared" si="56"/>
        <v>14375.824759296</v>
      </c>
      <c r="I294" s="300">
        <f t="shared" si="56"/>
        <v>15481.657433088</v>
      </c>
      <c r="J294" s="309">
        <f>J279</f>
        <v>98296.2376704</v>
      </c>
      <c r="K294" s="309">
        <f>K279</f>
        <v>98296.2376704</v>
      </c>
      <c r="L294" s="309">
        <f>L279</f>
        <v>0</v>
      </c>
      <c r="M294" s="140"/>
      <c r="N294" s="140"/>
      <c r="O294" s="308"/>
      <c r="P294" s="308"/>
      <c r="Q294" s="140"/>
      <c r="R294" s="308"/>
      <c r="S294" s="308"/>
      <c r="T294" s="203"/>
      <c r="U294" s="203"/>
    </row>
    <row r="295" s="140" customFormat="1" hidden="1" spans="1:21">
      <c r="A295" s="298" t="s">
        <v>273</v>
      </c>
      <c r="B295" s="203"/>
      <c r="C295" s="262" t="s">
        <v>117</v>
      </c>
      <c r="D295" s="299">
        <f t="shared" ref="D295:K295" si="57">SUM(D282:D293)*capacity</f>
        <v>24712.6992005295</v>
      </c>
      <c r="E295" s="299">
        <f t="shared" si="57"/>
        <v>24120.915250435</v>
      </c>
      <c r="F295" s="299">
        <f t="shared" si="57"/>
        <v>12400</v>
      </c>
      <c r="G295" s="299">
        <f t="shared" si="57"/>
        <v>11160</v>
      </c>
      <c r="H295" s="299">
        <f t="shared" si="57"/>
        <v>11160</v>
      </c>
      <c r="I295" s="299">
        <f t="shared" si="57"/>
        <v>11160</v>
      </c>
      <c r="J295" s="299">
        <f t="shared" si="57"/>
        <v>95567.3007994705</v>
      </c>
      <c r="K295" s="299">
        <f t="shared" si="57"/>
        <v>97399.084749565</v>
      </c>
      <c r="L295" s="299">
        <f>SUM(L282:L293)*capacity</f>
        <v>0</v>
      </c>
      <c r="M295" s="203"/>
      <c r="N295" s="203"/>
      <c r="O295" s="315"/>
      <c r="P295" s="315"/>
      <c r="Q295" s="203"/>
      <c r="R295" s="315"/>
      <c r="S295" s="315"/>
      <c r="T295" s="203"/>
      <c r="U295" s="203"/>
    </row>
    <row r="296" s="140" customFormat="1" hidden="1" spans="1:21">
      <c r="A296" s="298" t="s">
        <v>274</v>
      </c>
      <c r="B296" s="203"/>
      <c r="C296" s="262" t="s">
        <v>117</v>
      </c>
      <c r="D296" s="299">
        <f t="shared" ref="D296:L296" si="58">D294-D295</f>
        <v>721.452296686519</v>
      </c>
      <c r="E296" s="300">
        <f t="shared" si="58"/>
        <v>207.40357298898</v>
      </c>
      <c r="F296" s="300">
        <f t="shared" si="58"/>
        <v>4187.49010688001</v>
      </c>
      <c r="G296" s="300">
        <f t="shared" si="58"/>
        <v>3215.824759296</v>
      </c>
      <c r="H296" s="300">
        <f t="shared" si="58"/>
        <v>3215.824759296</v>
      </c>
      <c r="I296" s="300">
        <f t="shared" si="58"/>
        <v>4321.657433088</v>
      </c>
      <c r="J296" s="300">
        <f t="shared" si="58"/>
        <v>2728.93687092951</v>
      </c>
      <c r="K296" s="300">
        <f t="shared" si="58"/>
        <v>897.152920835055</v>
      </c>
      <c r="L296" s="300">
        <f t="shared" si="58"/>
        <v>0</v>
      </c>
      <c r="M296" s="203"/>
      <c r="N296" s="203"/>
      <c r="O296" s="315"/>
      <c r="P296" s="315"/>
      <c r="Q296" s="203"/>
      <c r="R296" s="315"/>
      <c r="S296" s="315"/>
      <c r="T296" s="203"/>
      <c r="U296" s="203"/>
    </row>
    <row r="297" s="140" customFormat="1" hidden="1" spans="1:21">
      <c r="A297" s="303"/>
      <c r="D297" s="303"/>
      <c r="O297" s="308"/>
      <c r="P297" s="308"/>
      <c r="R297" s="308"/>
      <c r="S297" s="308"/>
      <c r="T297" s="203"/>
      <c r="U297" s="203"/>
    </row>
    <row r="298" s="140" customFormat="1" hidden="1" spans="1:19">
      <c r="A298" s="303"/>
      <c r="D298" s="218" t="str">
        <f>B128</f>
        <v>BR01-01</v>
      </c>
      <c r="E298" s="160" t="str">
        <f>IF(B129="","",B129)</f>
        <v>BR01-02</v>
      </c>
      <c r="F298" s="160" t="str">
        <f>IF(B130="","",B130)</f>
        <v>BR01-03</v>
      </c>
      <c r="G298" s="160" t="str">
        <f>IF(B131="","",B131)</f>
        <v>BR01-04</v>
      </c>
      <c r="H298" s="74" t="str">
        <f>IF(B132="","",B132)</f>
        <v>BR01-05</v>
      </c>
      <c r="I298" s="74" t="str">
        <f>IF(B133="","",B133)</f>
        <v>BR01-06</v>
      </c>
      <c r="J298" s="74" t="str">
        <f>IF(B134="","",B134)</f>
        <v>BR01-07</v>
      </c>
      <c r="K298" s="74" t="str">
        <f>IF(B135="","",B135)</f>
        <v>BR01-08</v>
      </c>
      <c r="L298" s="74" t="str">
        <f>IF(B136="","",B136)</f>
        <v>BR01-09</v>
      </c>
      <c r="M298" s="293"/>
      <c r="N298" s="307"/>
      <c r="O298" s="317"/>
      <c r="P298" s="317"/>
      <c r="R298" s="318"/>
      <c r="S298" s="318"/>
    </row>
    <row r="299" s="140" customFormat="1" hidden="1" spans="1:19">
      <c r="A299" s="303"/>
      <c r="D299" s="218" t="str">
        <f>C128</f>
        <v>[retail]</v>
      </c>
      <c r="E299" s="218" t="str">
        <f>C129</f>
        <v>[retail]</v>
      </c>
      <c r="F299" s="218" t="str">
        <f>C130</f>
        <v>[retail]</v>
      </c>
      <c r="G299" s="218" t="str">
        <f>C131</f>
        <v>[retail]</v>
      </c>
      <c r="H299" s="218" t="str">
        <f>C132</f>
        <v>[retail]</v>
      </c>
      <c r="I299" s="218" t="str">
        <f>C133</f>
        <v>[retail]</v>
      </c>
      <c r="J299" s="218" t="str">
        <f>C134</f>
        <v>[wholesale]</v>
      </c>
      <c r="K299" s="218" t="str">
        <f>C135</f>
        <v>[wholesale]</v>
      </c>
      <c r="L299" s="218" t="str">
        <f>C136</f>
        <v>[retail]</v>
      </c>
      <c r="M299" s="293"/>
      <c r="N299" s="307"/>
      <c r="O299" s="317"/>
      <c r="P299" s="317"/>
      <c r="R299" s="318"/>
      <c r="S299" s="318"/>
    </row>
    <row r="300" s="140" customFormat="1" hidden="1" spans="1:19">
      <c r="A300" s="303"/>
      <c r="B300" s="312" t="s">
        <v>103</v>
      </c>
      <c r="C300" s="262" t="s">
        <v>256</v>
      </c>
      <c r="D300" s="268">
        <f>IF(VLOOKUP(D298,ProductsRange,3,FALSE)="Special Offer",SpecialOffer(D298,1,"FY-1"),MIN(D177,D192*capacity))</f>
        <v>1512.12278253937</v>
      </c>
      <c r="E300" s="268">
        <f>IF(VLOOKUP(E298,ProductsRange,3,FALSE)="Special Offer",SpecialOffer(E298,1,"FY-1"),MIN(E177,E192*capacity))</f>
        <v>1507.720937184</v>
      </c>
      <c r="F300" s="268">
        <f>IF(VLOOKUP(F298,ProductsRange,3,FALSE)="Special Offer",SpecialOffer(F298,1,"FY-1"),MIN(F177,F192*capacity))</f>
        <v>0</v>
      </c>
      <c r="G300" s="268">
        <f>IF(VLOOKUP(G298,ProductsRange,3,FALSE)="Special Offer",SpecialOffer(G298,1,"FY-1"),MIN(G177,G192*capacity))</f>
        <v>0</v>
      </c>
      <c r="H300" s="268">
        <f>IF(VLOOKUP(H298,ProductsRange,3,FALSE)="Special Offer",SpecialOffer(H298,1,"FY-1"),MIN(H177,H192*capacity))</f>
        <v>0</v>
      </c>
      <c r="I300" s="268">
        <f>IF(VLOOKUP(I298,ProductsRange,3,FALSE)="Special Offer",SpecialOffer(I298,1,"FY-1"),MIN(I177,I192*capacity))</f>
        <v>0</v>
      </c>
      <c r="J300" s="268">
        <f>IF(VLOOKUP(J298,ProductsRange,3,FALSE)="Special Offer",SpecialOffer(J298,1,"FY-1"),MIN(J177,J192*capacity))</f>
        <v>3447.87721746063</v>
      </c>
      <c r="K300" s="268">
        <f>IF(VLOOKUP(K298,ProductsRange,3,FALSE)="Special Offer",SpecialOffer(K298,1,"FY-1"),MIN(K177,K192*capacity))</f>
        <v>4509.937189296</v>
      </c>
      <c r="L300" s="268">
        <f>IF(VLOOKUP(L298,ProductsRange,3,FALSE)="Special Offer",SpecialOffer(L298,1,"FY-1"),MIN(L177,L192*capacity))</f>
        <v>182.341873519999</v>
      </c>
      <c r="M300" s="293"/>
      <c r="N300" s="307"/>
      <c r="O300" s="317"/>
      <c r="P300" s="317"/>
      <c r="R300" s="318"/>
      <c r="S300" s="318"/>
    </row>
    <row r="301" s="140" customFormat="1" hidden="1" spans="1:19">
      <c r="A301" s="303"/>
      <c r="B301" s="312" t="s">
        <v>103</v>
      </c>
      <c r="C301" s="262" t="s">
        <v>257</v>
      </c>
      <c r="D301" s="268">
        <f>IF(VLOOKUP(D298,ProductsRange,3,FALSE)="Special Offer",SpecialOffer(D298,7,"FY-1"),MIN(D178,D193*capacity))</f>
        <v>1512.12278253937</v>
      </c>
      <c r="E301" s="268">
        <f>IF(VLOOKUP(E298,ProductsRange,3,FALSE)="Special Offer",SpecialOffer(E298,7,"FY-1"),MIN(E178,E193*capacity))</f>
        <v>1507.720937184</v>
      </c>
      <c r="F301" s="268">
        <f>IF(VLOOKUP(F298,ProductsRange,3,FALSE)="Special Offer",SpecialOffer(F298,7,"FY-1"),MIN(F178,F193*capacity))</f>
        <v>0</v>
      </c>
      <c r="G301" s="268">
        <f>IF(VLOOKUP(G298,ProductsRange,3,FALSE)="Special Offer",SpecialOffer(G298,7,"FY-1"),MIN(G178,G193*capacity))</f>
        <v>0</v>
      </c>
      <c r="H301" s="268">
        <f>IF(VLOOKUP(H298,ProductsRange,3,FALSE)="Special Offer",SpecialOffer(H298,7,"FY-1"),MIN(H178,H193*capacity))</f>
        <v>0</v>
      </c>
      <c r="I301" s="268">
        <f>IF(VLOOKUP(I298,ProductsRange,3,FALSE)="Special Offer",SpecialOffer(I298,7,"FY-1"),MIN(I178,I193*capacity))</f>
        <v>0</v>
      </c>
      <c r="J301" s="268">
        <f>IF(VLOOKUP(J298,ProductsRange,3,FALSE)="Special Offer",SpecialOffer(J298,7,"FY-1"),MIN(J178,J193*capacity))</f>
        <v>3447.87721746063</v>
      </c>
      <c r="K301" s="268">
        <f>IF(VLOOKUP(K298,ProductsRange,3,FALSE)="Special Offer",SpecialOffer(K298,7,"FY-1"),MIN(K178,K193*capacity))</f>
        <v>4509.937189296</v>
      </c>
      <c r="L301" s="268">
        <f>IF(VLOOKUP(L298,ProductsRange,3,FALSE)="Special Offer",SpecialOffer(L298,7,"FY-1"),MIN(L178,L193*capacity))</f>
        <v>295.910511308797</v>
      </c>
      <c r="M301" s="293"/>
      <c r="N301" s="307"/>
      <c r="O301" s="317"/>
      <c r="P301" s="317"/>
      <c r="R301" s="318"/>
      <c r="S301" s="318"/>
    </row>
    <row r="302" s="140" customFormat="1" hidden="1" spans="1:19">
      <c r="A302" s="303"/>
      <c r="B302" s="312" t="s">
        <v>103</v>
      </c>
      <c r="C302" s="96" t="s">
        <v>258</v>
      </c>
      <c r="D302" s="268">
        <f>IF(VLOOKUP(D298,ProductsRange,3,FALSE)="Special Offer",SpecialOffer(D298,3,"FY-1"),MIN(D179,D194*capacity))</f>
        <v>1618.28713924416</v>
      </c>
      <c r="E302" s="268">
        <f>IF(VLOOKUP(E298,ProductsRange,3,FALSE)="Special Offer",SpecialOffer(E298,3,"FY-1"),MIN(E179,E194*capacity))</f>
        <v>1350.91743119266</v>
      </c>
      <c r="F302" s="268">
        <f>IF(VLOOKUP(F298,ProductsRange,3,FALSE)="Special Offer",SpecialOffer(F298,3,"FY-1"),MIN(F179,F194*capacity))</f>
        <v>0</v>
      </c>
      <c r="G302" s="268">
        <f>IF(VLOOKUP(G298,ProductsRange,3,FALSE)="Special Offer",SpecialOffer(G298,3,"FY-1"),MIN(G179,G194*capacity))</f>
        <v>0</v>
      </c>
      <c r="H302" s="268">
        <f>IF(VLOOKUP(H298,ProductsRange,3,FALSE)="Special Offer",SpecialOffer(H298,3,"FY-1"),MIN(H179,H194*capacity))</f>
        <v>0</v>
      </c>
      <c r="I302" s="268">
        <f>IF(VLOOKUP(I298,ProductsRange,3,FALSE)="Special Offer",SpecialOffer(I298,3,"FY-1"),MIN(I179,I194*capacity))</f>
        <v>0</v>
      </c>
      <c r="J302" s="268">
        <f>IF(VLOOKUP(J298,ProductsRange,3,FALSE)="Special Offer",SpecialOffer(J298,3,"FY-1"),MIN(J179,J194*capacity))</f>
        <v>4427.9383313088</v>
      </c>
      <c r="K302" s="268">
        <f>IF(VLOOKUP(K298,ProductsRange,3,FALSE)="Special Offer",SpecialOffer(K298,3,"FY-1"),MIN(K179,K194*capacity))</f>
        <v>4849.08256880734</v>
      </c>
      <c r="L302" s="268">
        <f>IF(VLOOKUP(L298,ProductsRange,3,FALSE)="Special Offer",SpecialOffer(L298,3,"FY-1"),MIN(L179,L194*capacity))</f>
        <v>153.774529447041</v>
      </c>
      <c r="M302" s="293"/>
      <c r="N302" s="307"/>
      <c r="O302" s="317"/>
      <c r="P302" s="317"/>
      <c r="R302" s="318"/>
      <c r="S302" s="318"/>
    </row>
    <row r="303" s="140" customFormat="1" hidden="1" spans="1:19">
      <c r="A303" s="303"/>
      <c r="B303" s="312" t="s">
        <v>103</v>
      </c>
      <c r="C303" s="96" t="s">
        <v>259</v>
      </c>
      <c r="D303" s="268">
        <f>IF(VLOOKUP(D298,ProductsRange,3,FALSE)="Special Offer",SpecialOffer(D298,4,"FY-1"),MIN(D180,D195*capacity))</f>
        <v>1478.93013100437</v>
      </c>
      <c r="E303" s="268">
        <f>IF(VLOOKUP(E298,ProductsRange,3,FALSE)="Special Offer",SpecialOffer(E298,4,"FY-1"),MIN(E180,E195*capacity))</f>
        <v>1621.10091743119</v>
      </c>
      <c r="F303" s="268">
        <f>IF(VLOOKUP(F298,ProductsRange,3,FALSE)="Special Offer",SpecialOffer(F298,4,"FY-1"),MIN(F180,F195*capacity))</f>
        <v>0</v>
      </c>
      <c r="G303" s="268">
        <f>IF(VLOOKUP(G298,ProductsRange,3,FALSE)="Special Offer",SpecialOffer(G298,4,"FY-1"),MIN(G180,G195*capacity))</f>
        <v>0</v>
      </c>
      <c r="H303" s="268">
        <f>IF(VLOOKUP(H298,ProductsRange,3,FALSE)="Special Offer",SpecialOffer(H298,4,"FY-1"),MIN(H180,H195*capacity))</f>
        <v>0</v>
      </c>
      <c r="I303" s="268">
        <f>IF(VLOOKUP(I298,ProductsRange,3,FALSE)="Special Offer",SpecialOffer(I298,4,"FY-1"),MIN(I180,I195*capacity))</f>
        <v>0</v>
      </c>
      <c r="J303" s="268">
        <f>IF(VLOOKUP(J298,ProductsRange,3,FALSE)="Special Offer",SpecialOffer(J298,4,"FY-1"),MIN(J180,J195*capacity))</f>
        <v>4721.06986899563</v>
      </c>
      <c r="K303" s="268">
        <f>IF(VLOOKUP(K298,ProductsRange,3,FALSE)="Special Offer",SpecialOffer(K298,4,"FY-1"),MIN(K180,K195*capacity))</f>
        <v>5818.89908256881</v>
      </c>
      <c r="L303" s="268">
        <f>IF(VLOOKUP(L298,ProductsRange,3,FALSE)="Special Offer",SpecialOffer(L298,4,"FY-1"),MIN(L180,L195*capacity))</f>
        <v>0</v>
      </c>
      <c r="M303" s="293"/>
      <c r="N303" s="307"/>
      <c r="O303" s="317"/>
      <c r="P303" s="317"/>
      <c r="R303" s="318"/>
      <c r="S303" s="318"/>
    </row>
    <row r="304" s="140" customFormat="1" hidden="1" spans="1:19">
      <c r="A304" s="303"/>
      <c r="B304" s="312" t="s">
        <v>103</v>
      </c>
      <c r="C304" s="96" t="s">
        <v>260</v>
      </c>
      <c r="D304" s="268">
        <f>IF(VLOOKUP(D298,ProductsRange,3,FALSE)="Special Offer",SpecialOffer(D298,5,"FY-1"),MIN(D181,D196*capacity))</f>
        <v>1774.71615720524</v>
      </c>
      <c r="E304" s="268">
        <f>IF(VLOOKUP(E298,ProductsRange,3,FALSE)="Special Offer",SpecialOffer(E298,5,"FY-1"),MIN(E181,E196*capacity))</f>
        <v>1891.28440366972</v>
      </c>
      <c r="F304" s="268">
        <f>IF(VLOOKUP(F298,ProductsRange,3,FALSE)="Special Offer",SpecialOffer(F298,5,"FY-1"),MIN(F181,F196*capacity))</f>
        <v>1125.76496643072</v>
      </c>
      <c r="G304" s="268">
        <f>IF(VLOOKUP(G298,ProductsRange,3,FALSE)="Special Offer",SpecialOffer(G298,5,"FY-1"),MIN(G181,G196*capacity))</f>
        <v>0</v>
      </c>
      <c r="H304" s="268">
        <f>IF(VLOOKUP(H298,ProductsRange,3,FALSE)="Special Offer",SpecialOffer(H298,5,"FY-1"),MIN(H181,H196*capacity))</f>
        <v>0</v>
      </c>
      <c r="I304" s="268">
        <f>IF(VLOOKUP(I298,ProductsRange,3,FALSE)="Special Offer",SpecialOffer(I298,5,"FY-1"),MIN(I181,I196*capacity))</f>
        <v>1125.76496643072</v>
      </c>
      <c r="J304" s="268">
        <f>IF(VLOOKUP(J298,ProductsRange,3,FALSE)="Special Offer",SpecialOffer(J298,5,"FY-1"),MIN(J181,J196*capacity))</f>
        <v>5665.28384279476</v>
      </c>
      <c r="K304" s="268">
        <f>IF(VLOOKUP(K298,ProductsRange,3,FALSE)="Special Offer",SpecialOffer(K298,5,"FY-1"),MIN(K181,K196*capacity))</f>
        <v>6788.71559633027</v>
      </c>
      <c r="L304" s="268">
        <f>IF(VLOOKUP(L298,ProductsRange,3,FALSE)="Special Offer",SpecialOffer(L298,5,"FY-1"),MIN(L181,L196*capacity))</f>
        <v>228.470067138558</v>
      </c>
      <c r="M304" s="293"/>
      <c r="N304" s="307"/>
      <c r="O304" s="317"/>
      <c r="P304" s="317"/>
      <c r="R304" s="318"/>
      <c r="S304" s="318"/>
    </row>
    <row r="305" s="140" customFormat="1" hidden="1" spans="1:19">
      <c r="A305" s="303"/>
      <c r="B305" s="312" t="s">
        <v>103</v>
      </c>
      <c r="C305" s="96" t="s">
        <v>261</v>
      </c>
      <c r="D305" s="268">
        <f>IF(VLOOKUP(D298,ProductsRange,3,FALSE)="Special Offer",SpecialOffer(D298,6,"FY-1"),MIN(D182,D197*capacity))</f>
        <v>2311.8387703488</v>
      </c>
      <c r="E305" s="268">
        <f>IF(VLOOKUP(E298,ProductsRange,3,FALSE)="Special Offer",SpecialOffer(E298,6,"FY-1"),MIN(E182,E197*capacity))</f>
        <v>2431.65137614679</v>
      </c>
      <c r="F305" s="268">
        <f>IF(VLOOKUP(F298,ProductsRange,3,FALSE)="Special Offer",SpecialOffer(F298,6,"FY-1"),MIN(F182,F197*capacity))</f>
        <v>1240</v>
      </c>
      <c r="G305" s="268">
        <f>IF(VLOOKUP(G298,ProductsRange,3,FALSE)="Special Offer",SpecialOffer(G298,6,"FY-1"),MIN(G182,G197*capacity))</f>
        <v>1206.1767497472</v>
      </c>
      <c r="H305" s="268">
        <f>IF(VLOOKUP(H298,ProductsRange,3,FALSE)="Special Offer",SpecialOffer(H298,6,"FY-1"),MIN(H182,H197*capacity))</f>
        <v>1206.1767497472</v>
      </c>
      <c r="I305" s="268">
        <f>IF(VLOOKUP(I298,ProductsRange,3,FALSE)="Special Offer",SpecialOffer(I298,6,"FY-1"),MIN(I182,I197*capacity))</f>
        <v>1240</v>
      </c>
      <c r="J305" s="268">
        <f>IF(VLOOKUP(J298,ProductsRange,3,FALSE)="Special Offer",SpecialOffer(J298,6,"FY-1"),MIN(J182,J197*capacity))</f>
        <v>7379.897218848</v>
      </c>
      <c r="K305" s="268">
        <f>IF(VLOOKUP(K298,ProductsRange,3,FALSE)="Special Offer",SpecialOffer(K298,6,"FY-1"),MIN(K182,K197*capacity))</f>
        <v>8728.34862385321</v>
      </c>
      <c r="L305" s="268">
        <f>IF(VLOOKUP(L298,ProductsRange,3,FALSE)="Special Offer",SpecialOffer(L298,6,"FY-1"),MIN(L182,L197*capacity))</f>
        <v>295.910511308797</v>
      </c>
      <c r="M305" s="293"/>
      <c r="N305" s="307"/>
      <c r="O305" s="317"/>
      <c r="P305" s="317"/>
      <c r="R305" s="318"/>
      <c r="S305" s="318"/>
    </row>
    <row r="306" s="140" customFormat="1" hidden="1" spans="1:19">
      <c r="A306" s="303"/>
      <c r="B306" s="312" t="s">
        <v>103</v>
      </c>
      <c r="C306" s="96" t="s">
        <v>262</v>
      </c>
      <c r="D306" s="268">
        <f>IF(VLOOKUP(D298,ProductsRange,3,FALSE)="Special Offer",SpecialOffer(D298,7,"FY-1"),MIN(D183,D198*capacity))</f>
        <v>2311.8387703488</v>
      </c>
      <c r="E306" s="268">
        <f>IF(VLOOKUP(E298,ProductsRange,3,FALSE)="Special Offer",SpecialOffer(E298,7,"FY-1"),MIN(E183,E198*capacity))</f>
        <v>2431.65137614679</v>
      </c>
      <c r="F306" s="268">
        <f>IF(VLOOKUP(F298,ProductsRange,3,FALSE)="Special Offer",SpecialOffer(F298,7,"FY-1"),MIN(F183,F198*capacity))</f>
        <v>1240</v>
      </c>
      <c r="G306" s="268">
        <f>IF(VLOOKUP(G298,ProductsRange,3,FALSE)="Special Offer",SpecialOffer(G298,7,"FY-1"),MIN(G183,G198*capacity))</f>
        <v>1206.1767497472</v>
      </c>
      <c r="H306" s="268">
        <f>IF(VLOOKUP(H298,ProductsRange,3,FALSE)="Special Offer",SpecialOffer(H298,7,"FY-1"),MIN(H183,H198*capacity))</f>
        <v>1206.1767497472</v>
      </c>
      <c r="I306" s="268">
        <f>IF(VLOOKUP(I298,ProductsRange,3,FALSE)="Special Offer",SpecialOffer(I298,7,"FY-1"),MIN(I183,I198*capacity))</f>
        <v>1240</v>
      </c>
      <c r="J306" s="268">
        <f>IF(VLOOKUP(J298,ProductsRange,3,FALSE)="Special Offer",SpecialOffer(J298,7,"FY-1"),MIN(J183,J198*capacity))</f>
        <v>7379.897218848</v>
      </c>
      <c r="K306" s="268">
        <f>IF(VLOOKUP(K298,ProductsRange,3,FALSE)="Special Offer",SpecialOffer(K298,7,"FY-1"),MIN(K183,K198*capacity))</f>
        <v>8728.34862385321</v>
      </c>
      <c r="L306" s="268">
        <f>IF(VLOOKUP(L298,ProductsRange,3,FALSE)="Special Offer",SpecialOffer(L298,7,"FY-1"),MIN(L183,L198*capacity))</f>
        <v>295.910511308797</v>
      </c>
      <c r="M306" s="293"/>
      <c r="N306" s="307"/>
      <c r="O306" s="317"/>
      <c r="P306" s="317"/>
      <c r="R306" s="318"/>
      <c r="S306" s="318"/>
    </row>
    <row r="307" s="140" customFormat="1" hidden="1" spans="1:19">
      <c r="A307" s="303"/>
      <c r="B307" s="312" t="s">
        <v>103</v>
      </c>
      <c r="C307" s="96" t="s">
        <v>263</v>
      </c>
      <c r="D307" s="268">
        <f>IF(VLOOKUP(D298,ProductsRange,3,FALSE)="Special Offer",SpecialOffer(D298,8,"FY-1"),MIN(D184,D199*capacity))</f>
        <v>2310.24159166272</v>
      </c>
      <c r="E307" s="268">
        <f>IF(VLOOKUP(E298,ProductsRange,3,FALSE)="Special Offer",SpecialOffer(E298,8,"FY-1"),MIN(E184,E199*capacity))</f>
        <v>2764.155051504</v>
      </c>
      <c r="F307" s="268">
        <f>IF(VLOOKUP(F298,ProductsRange,3,FALSE)="Special Offer",SpecialOffer(F298,8,"FY-1"),MIN(F184,F199*capacity))</f>
        <v>1240</v>
      </c>
      <c r="G307" s="268">
        <f>IF(VLOOKUP(G298,ProductsRange,3,FALSE)="Special Offer",SpecialOffer(G298,8,"FY-1"),MIN(G184,G199*capacity))</f>
        <v>1240</v>
      </c>
      <c r="H307" s="268">
        <f>IF(VLOOKUP(H298,ProductsRange,3,FALSE)="Special Offer",SpecialOffer(H298,8,"FY-1"),MIN(H184,H199*capacity))</f>
        <v>1240</v>
      </c>
      <c r="I307" s="268">
        <f>IF(VLOOKUP(I298,ProductsRange,3,FALSE)="Special Offer",SpecialOffer(I298,8,"FY-1"),MIN(I184,I199*capacity))</f>
        <v>1240</v>
      </c>
      <c r="J307" s="268">
        <f>IF(VLOOKUP(J298,ProductsRange,3,FALSE)="Special Offer",SpecialOffer(J298,8,"FY-1"),MIN(J184,J199*capacity))</f>
        <v>8849.75840833728</v>
      </c>
      <c r="K307" s="268">
        <f>IF(VLOOKUP(K298,ProductsRange,3,FALSE)="Special Offer",SpecialOffer(K298,8,"FY-1"),MIN(K184,K199*capacity))</f>
        <v>10823.8492543104</v>
      </c>
      <c r="L307" s="268">
        <f>IF(VLOOKUP(L298,ProductsRange,3,FALSE)="Special Offer",SpecialOffer(L298,8,"FY-1"),MIN(L184,L199*capacity))</f>
        <v>51.9956941855926</v>
      </c>
      <c r="M307" s="293"/>
      <c r="N307" s="307"/>
      <c r="O307" s="317"/>
      <c r="P307" s="317"/>
      <c r="R307" s="318"/>
      <c r="S307" s="318"/>
    </row>
    <row r="308" s="140" customFormat="1" hidden="1" spans="1:19">
      <c r="A308" s="302"/>
      <c r="B308" s="312" t="s">
        <v>103</v>
      </c>
      <c r="C308" s="96" t="s">
        <v>264</v>
      </c>
      <c r="D308" s="268">
        <f>IF(VLOOKUP(D298,ProductsRange,3,FALSE)="Special Offer",SpecialOffer(D298,9,"FY-1"),MIN(D185,D200*capacity))</f>
        <v>2310.24159166272</v>
      </c>
      <c r="E308" s="268">
        <f>IF(VLOOKUP(E298,ProductsRange,3,FALSE)="Special Offer",SpecialOffer(E298,9,"FY-1"),MIN(E185,E200*capacity))</f>
        <v>2764.155051504</v>
      </c>
      <c r="F308" s="268">
        <f>IF(VLOOKUP(F298,ProductsRange,3,FALSE)="Special Offer",SpecialOffer(F298,9,"FY-1"),MIN(F185,F200*capacity))</f>
        <v>1240</v>
      </c>
      <c r="G308" s="268">
        <f>IF(VLOOKUP(G298,ProductsRange,3,FALSE)="Special Offer",SpecialOffer(G298,9,"FY-1"),MIN(G185,G200*capacity))</f>
        <v>1240</v>
      </c>
      <c r="H308" s="268">
        <f>IF(VLOOKUP(H298,ProductsRange,3,FALSE)="Special Offer",SpecialOffer(H298,9,"FY-1"),MIN(H185,H200*capacity))</f>
        <v>1240</v>
      </c>
      <c r="I308" s="268">
        <f>IF(VLOOKUP(I298,ProductsRange,3,FALSE)="Special Offer",SpecialOffer(I298,9,"FY-1"),MIN(I185,I200*capacity))</f>
        <v>1240</v>
      </c>
      <c r="J308" s="268">
        <f>IF(VLOOKUP(J298,ProductsRange,3,FALSE)="Special Offer",SpecialOffer(J298,9,"FY-1"),MIN(J185,J200*capacity))</f>
        <v>8849.75840833728</v>
      </c>
      <c r="K308" s="268">
        <f>IF(VLOOKUP(K298,ProductsRange,3,FALSE)="Special Offer",SpecialOffer(K298,9,"FY-1"),MIN(K185,K200*capacity))</f>
        <v>10823.8492543104</v>
      </c>
      <c r="L308" s="268">
        <f>IF(VLOOKUP(L298,ProductsRange,3,FALSE)="Special Offer",SpecialOffer(L298,9,"FY-1"),MIN(L185,L200*capacity))</f>
        <v>51.9956941855926</v>
      </c>
      <c r="M308" s="293"/>
      <c r="N308" s="307"/>
      <c r="O308" s="317"/>
      <c r="P308" s="317"/>
      <c r="R308" s="318"/>
      <c r="S308" s="318"/>
    </row>
    <row r="309" s="140" customFormat="1" hidden="1" spans="1:19">
      <c r="A309" s="302"/>
      <c r="B309" s="312" t="s">
        <v>103</v>
      </c>
      <c r="C309" s="96" t="s">
        <v>265</v>
      </c>
      <c r="D309" s="268">
        <f>IF(VLOOKUP(D298,ProductsRange,3,FALSE)="Special Offer",SpecialOffer(D298,10,"FY-1"),MIN(D186,D201*capacity))</f>
        <v>2198.85366472229</v>
      </c>
      <c r="E309" s="268">
        <f>IF(VLOOKUP(E298,ProductsRange,3,FALSE)="Special Offer",SpecialOffer(E298,10,"FY-1"),MIN(E186,E201*capacity))</f>
        <v>2701.83486238532</v>
      </c>
      <c r="F309" s="268">
        <f>IF(VLOOKUP(F298,ProductsRange,3,FALSE)="Special Offer",SpecialOffer(F298,10,"FY-1"),MIN(F186,F201*capacity))</f>
        <v>1240</v>
      </c>
      <c r="G309" s="268">
        <f>IF(VLOOKUP(G298,ProductsRange,3,FALSE)="Special Offer",SpecialOffer(G298,10,"FY-1"),MIN(G186,G201*capacity))</f>
        <v>1240</v>
      </c>
      <c r="H309" s="268">
        <f>IF(VLOOKUP(H298,ProductsRange,3,FALSE)="Special Offer",SpecialOffer(H298,10,"FY-1"),MIN(H186,H201*capacity))</f>
        <v>1240</v>
      </c>
      <c r="I309" s="268">
        <f>IF(VLOOKUP(I298,ProductsRange,3,FALSE)="Special Offer",SpecialOffer(I298,10,"FY-1"),MIN(I186,I201*capacity))</f>
        <v>1240</v>
      </c>
      <c r="J309" s="268">
        <f>IF(VLOOKUP(J298,ProductsRange,3,FALSE)="Special Offer",SpecialOffer(J298,10,"FY-1"),MIN(J186,J201*capacity))</f>
        <v>7721.14633527771</v>
      </c>
      <c r="K309" s="268">
        <f>IF(VLOOKUP(K298,ProductsRange,3,FALSE)="Special Offer",SpecialOffer(K298,10,"FY-1"),MIN(K186,K201*capacity))</f>
        <v>9698.16513761468</v>
      </c>
      <c r="L309" s="268">
        <f>IF(VLOOKUP(L298,ProductsRange,3,FALSE)="Special Offer",SpecialOffer(L298,10,"FY-1"),MIN(L186,L201*capacity))</f>
        <v>0</v>
      </c>
      <c r="M309" s="293"/>
      <c r="O309" s="308"/>
      <c r="P309" s="308"/>
      <c r="R309" s="308"/>
      <c r="S309" s="308"/>
    </row>
    <row r="310" s="140" customFormat="1" hidden="1" spans="1:19">
      <c r="A310" s="298"/>
      <c r="B310" s="312" t="s">
        <v>103</v>
      </c>
      <c r="C310" s="96" t="s">
        <v>266</v>
      </c>
      <c r="D310" s="268">
        <f>IF(VLOOKUP(D298,ProductsRange,3,FALSE)="Special Offer",SpecialOffer(D298,11,"FY-1"),MIN(D187,D202*capacity))</f>
        <v>1478.93013100437</v>
      </c>
      <c r="E310" s="268">
        <f>IF(VLOOKUP(E298,ProductsRange,3,FALSE)="Special Offer",SpecialOffer(E298,11,"FY-1"),MIN(E187,E202*capacity))</f>
        <v>1621.10091743119</v>
      </c>
      <c r="F310" s="268">
        <f>IF(VLOOKUP(F298,ProductsRange,3,FALSE)="Special Offer",SpecialOffer(F298,11,"FY-1"),MIN(F187,F202*capacity))</f>
        <v>0</v>
      </c>
      <c r="G310" s="268">
        <f>IF(VLOOKUP(G298,ProductsRange,3,FALSE)="Special Offer",SpecialOffer(G298,11,"FY-1"),MIN(G187,G202*capacity))</f>
        <v>0</v>
      </c>
      <c r="H310" s="268">
        <f>IF(VLOOKUP(H298,ProductsRange,3,FALSE)="Special Offer",SpecialOffer(H298,11,"FY-1"),MIN(H187,H202*capacity))</f>
        <v>0</v>
      </c>
      <c r="I310" s="268">
        <f>IF(VLOOKUP(I298,ProductsRange,3,FALSE)="Special Offer",SpecialOffer(I298,11,"FY-1"),MIN(I187,I202*capacity))</f>
        <v>0</v>
      </c>
      <c r="J310" s="268">
        <f>IF(VLOOKUP(J298,ProductsRange,3,FALSE)="Special Offer",SpecialOffer(J298,11,"FY-1"),MIN(J187,J202*capacity))</f>
        <v>4721.06986899563</v>
      </c>
      <c r="K310" s="268">
        <f>IF(VLOOKUP(K298,ProductsRange,3,FALSE)="Special Offer",SpecialOffer(K298,11,"FY-1"),MIN(K187,K202*capacity))</f>
        <v>5818.89908256881</v>
      </c>
      <c r="L310" s="268">
        <f>IF(VLOOKUP(L298,ProductsRange,3,FALSE)="Special Offer",SpecialOffer(L298,11,"FY-1"),MIN(L187,L202*capacity))</f>
        <v>0</v>
      </c>
      <c r="M310" s="293"/>
      <c r="O310" s="308"/>
      <c r="P310" s="308"/>
      <c r="R310" s="308"/>
      <c r="S310" s="308"/>
    </row>
    <row r="311" s="140" customFormat="1" hidden="1" spans="1:19">
      <c r="A311" s="298"/>
      <c r="B311" s="312" t="s">
        <v>103</v>
      </c>
      <c r="C311" s="96" t="s">
        <v>267</v>
      </c>
      <c r="D311" s="268">
        <f>IF(VLOOKUP(D298,ProductsRange,3,FALSE)="Special Offer",SpecialOffer(D298,12,"FY-1"),MIN(D188,D203*capacity))</f>
        <v>1478.93013100437</v>
      </c>
      <c r="E311" s="268">
        <f>IF(VLOOKUP(E298,ProductsRange,3,FALSE)="Special Offer",SpecialOffer(E298,12,"FY-1"),MIN(E188,E203*capacity))</f>
        <v>1520.84101807451</v>
      </c>
      <c r="F311" s="268">
        <f>IF(VLOOKUP(F298,ProductsRange,3,FALSE)="Special Offer",SpecialOffer(F298,12,"FY-1"),MIN(F188,F203*capacity))</f>
        <v>0</v>
      </c>
      <c r="G311" s="268">
        <f>IF(VLOOKUP(G298,ProductsRange,3,FALSE)="Special Offer",SpecialOffer(G298,12,"FY-1"),MIN(G188,G203*capacity))</f>
        <v>0</v>
      </c>
      <c r="H311" s="268">
        <f>IF(VLOOKUP(H298,ProductsRange,3,FALSE)="Special Offer",SpecialOffer(H298,12,"FY-1"),MIN(H188,H203*capacity))</f>
        <v>0</v>
      </c>
      <c r="I311" s="268">
        <f>IF(VLOOKUP(I298,ProductsRange,3,FALSE)="Special Offer",SpecialOffer(I298,12,"FY-1"),MIN(I188,I203*capacity))</f>
        <v>0</v>
      </c>
      <c r="J311" s="268">
        <f>IF(VLOOKUP(J298,ProductsRange,3,FALSE)="Special Offer",SpecialOffer(J298,12,"FY-1"),MIN(J188,J203*capacity))</f>
        <v>4721.06986899563</v>
      </c>
      <c r="K311" s="268">
        <f>IF(VLOOKUP(K298,ProductsRange,3,FALSE)="Special Offer",SpecialOffer(K298,12,"FY-1"),MIN(K188,K203*capacity))</f>
        <v>4679.15898192549</v>
      </c>
      <c r="L311" s="268">
        <f>IF(VLOOKUP(L298,ProductsRange,3,FALSE)="Special Offer",SpecialOffer(L298,12,"FY-1"),MIN(L188,L203*capacity))</f>
        <v>0</v>
      </c>
      <c r="M311" s="268"/>
      <c r="O311" s="308"/>
      <c r="P311" s="308"/>
      <c r="R311" s="308"/>
      <c r="S311" s="308"/>
    </row>
    <row r="312" s="140" customFormat="1" hidden="1" spans="1:19">
      <c r="A312" s="298"/>
      <c r="B312" s="312" t="s">
        <v>104</v>
      </c>
      <c r="C312" s="262" t="s">
        <v>256</v>
      </c>
      <c r="D312" s="268">
        <f>IF(VLOOKUP(D298,ProductsRange,3,FALSE)="Special Offer",SpecialOffer(D298,1,"FY-2"),MIN(D222,D237*capacity))</f>
        <v>1797.59244639744</v>
      </c>
      <c r="E312" s="268">
        <f>IF(VLOOKUP(E298,ProductsRange,3,FALSE)="Special Offer",SpecialOffer(E298,1,"FY-2"),MIN(E222,E237*capacity))</f>
        <v>1476.59379525504</v>
      </c>
      <c r="F312" s="268">
        <f>IF(VLOOKUP(F298,ProductsRange,3,FALSE)="Special Offer",SpecialOffer(F298,1,"FY-2"),MIN(F222,F237*capacity))</f>
        <v>0</v>
      </c>
      <c r="G312" s="268">
        <f>IF(VLOOKUP(G298,ProductsRange,3,FALSE)="Special Offer",SpecialOffer(G298,1,"FY-2"),MIN(G222,G237*capacity))</f>
        <v>0</v>
      </c>
      <c r="H312" s="268">
        <f>IF(VLOOKUP(H298,ProductsRange,3,FALSE)="Special Offer",SpecialOffer(H298,1,"FY-2"),MIN(H222,H237*capacity))</f>
        <v>0</v>
      </c>
      <c r="I312" s="268">
        <f>IF(VLOOKUP(I298,ProductsRange,3,FALSE)="Special Offer",SpecialOffer(I298,1,"FY-2"),MIN(I222,I237*capacity))</f>
        <v>0</v>
      </c>
      <c r="J312" s="268">
        <f>IF(VLOOKUP(J298,ProductsRange,3,FALSE)="Special Offer",SpecialOffer(J298,1,"FY-2"),MIN(J222,J237*capacity))</f>
        <v>4189.8771307008</v>
      </c>
      <c r="K312" s="268">
        <f>IF(VLOOKUP(K298,ProductsRange,3,FALSE)="Special Offer",SpecialOffer(K298,1,"FY-2"),MIN(K222,K237*capacity))</f>
        <v>4539.0335582592</v>
      </c>
      <c r="L312" s="268">
        <f>IF(VLOOKUP(L298,ProductsRange,3,FALSE)="Special Offer",SpecialOffer(L298,1,"FY-2"),MIN(L222,L237*capacity))</f>
        <v>396.903069387517</v>
      </c>
      <c r="M312" s="268"/>
      <c r="O312" s="308"/>
      <c r="P312" s="308"/>
      <c r="R312" s="308"/>
      <c r="S312" s="308"/>
    </row>
    <row r="313" s="140" customFormat="1" hidden="1" spans="1:19">
      <c r="A313" s="303"/>
      <c r="B313" s="312" t="s">
        <v>104</v>
      </c>
      <c r="C313" s="262" t="s">
        <v>257</v>
      </c>
      <c r="D313" s="268">
        <f>IF(VLOOKUP(D298,ProductsRange,3,FALSE)="Special Offer",SpecialOffer(D298,2,"FY-2"),MIN(D223,D238*capacity))</f>
        <v>1797.59244639744</v>
      </c>
      <c r="E313" s="268">
        <f>IF(VLOOKUP(E298,ProductsRange,3,FALSE)="Special Offer",SpecialOffer(E298,2,"FY-2"),MIN(E223,E238*capacity))</f>
        <v>1476.59379525504</v>
      </c>
      <c r="F313" s="268">
        <f>IF(VLOOKUP(F298,ProductsRange,3,FALSE)="Special Offer",SpecialOffer(F298,2,"FY-2"),MIN(F223,F238*capacity))</f>
        <v>0</v>
      </c>
      <c r="G313" s="268">
        <f>IF(VLOOKUP(G298,ProductsRange,3,FALSE)="Special Offer",SpecialOffer(G298,2,"FY-2"),MIN(G223,G238*capacity))</f>
        <v>0</v>
      </c>
      <c r="H313" s="268">
        <f>IF(VLOOKUP(H298,ProductsRange,3,FALSE)="Special Offer",SpecialOffer(H298,2,"FY-2"),MIN(H223,H238*capacity))</f>
        <v>0</v>
      </c>
      <c r="I313" s="268">
        <f>IF(VLOOKUP(I298,ProductsRange,3,FALSE)="Special Offer",SpecialOffer(I298,2,"FY-2"),MIN(I223,I238*capacity))</f>
        <v>0</v>
      </c>
      <c r="J313" s="268">
        <f>IF(VLOOKUP(J298,ProductsRange,3,FALSE)="Special Offer",SpecialOffer(J298,2,"FY-2"),MIN(J223,J238*capacity))</f>
        <v>4189.8771307008</v>
      </c>
      <c r="K313" s="268">
        <f>IF(VLOOKUP(K298,ProductsRange,3,FALSE)="Special Offer",SpecialOffer(K298,2,"FY-2"),MIN(K223,K238*capacity))</f>
        <v>4539.0335582592</v>
      </c>
      <c r="L313" s="268">
        <f>IF(VLOOKUP(L298,ProductsRange,3,FALSE)="Special Offer",SpecialOffer(L298,2,"FY-2"),MIN(L223,L238*capacity))</f>
        <v>396.903069387517</v>
      </c>
      <c r="M313" s="293"/>
      <c r="N313" s="307"/>
      <c r="O313" s="317"/>
      <c r="P313" s="317"/>
      <c r="R313" s="318"/>
      <c r="S313" s="318"/>
    </row>
    <row r="314" s="140" customFormat="1" hidden="1" spans="1:19">
      <c r="A314" s="303"/>
      <c r="B314" s="312" t="s">
        <v>104</v>
      </c>
      <c r="C314" s="96" t="s">
        <v>258</v>
      </c>
      <c r="D314" s="268">
        <f>IF(VLOOKUP(D298,ProductsRange,3,FALSE)="Special Offer",SpecialOffer(D298,3,"FY-2"),MIN(D224,D239*capacity))</f>
        <v>1632.87128712871</v>
      </c>
      <c r="E314" s="268">
        <f>IF(VLOOKUP(E298,ProductsRange,3,FALSE)="Special Offer",SpecialOffer(E298,3,"FY-2"),MIN(E224,E239*capacity))</f>
        <v>1322.30356271352</v>
      </c>
      <c r="F314" s="268">
        <f>IF(VLOOKUP(F298,ProductsRange,3,FALSE)="Special Offer",SpecialOffer(F298,3,"FY-2"),MIN(F224,F239*capacity))</f>
        <v>0</v>
      </c>
      <c r="G314" s="268">
        <f>IF(VLOOKUP(G298,ProductsRange,3,FALSE)="Special Offer",SpecialOffer(G298,3,"FY-2"),MIN(G224,G239*capacity))</f>
        <v>0</v>
      </c>
      <c r="H314" s="268">
        <f>IF(VLOOKUP(H298,ProductsRange,3,FALSE)="Special Offer",SpecialOffer(H298,3,"FY-2"),MIN(H224,H239*capacity))</f>
        <v>0</v>
      </c>
      <c r="I314" s="268">
        <f>IF(VLOOKUP(I298,ProductsRange,3,FALSE)="Special Offer",SpecialOffer(I298,3,"FY-2"),MIN(I224,I239*capacity))</f>
        <v>0</v>
      </c>
      <c r="J314" s="268">
        <f>IF(VLOOKUP(J298,ProductsRange,3,FALSE)="Special Offer",SpecialOffer(J298,3,"FY-2"),MIN(J224,J239*capacity))</f>
        <v>4567.12871287129</v>
      </c>
      <c r="K314" s="268">
        <f>IF(VLOOKUP(K298,ProductsRange,3,FALSE)="Special Offer",SpecialOffer(K298,3,"FY-2"),MIN(K224,K239*capacity))</f>
        <v>4877.69643728648</v>
      </c>
      <c r="L314" s="268">
        <f>IF(VLOOKUP(L298,ProductsRange,3,FALSE)="Special Offer",SpecialOffer(L298,3,"FY-2"),MIN(L224,L239*capacity))</f>
        <v>0</v>
      </c>
      <c r="M314" s="293"/>
      <c r="N314" s="307"/>
      <c r="O314" s="317"/>
      <c r="P314" s="317"/>
      <c r="R314" s="318"/>
      <c r="S314" s="318"/>
    </row>
    <row r="315" s="140" customFormat="1" hidden="1" spans="1:19">
      <c r="A315" s="303"/>
      <c r="B315" s="312" t="s">
        <v>104</v>
      </c>
      <c r="C315" s="96" t="s">
        <v>259</v>
      </c>
      <c r="D315" s="268">
        <f>IF(VLOOKUP(D298,ProductsRange,3,FALSE)="Special Offer",SpecialOffer(D298,4,"FY-2"),MIN(D225,D240*capacity))</f>
        <v>1745.18518518519</v>
      </c>
      <c r="E315" s="268">
        <f>IF(VLOOKUP(E298,ProductsRange,3,FALSE)="Special Offer",SpecialOffer(E298,4,"FY-2"),MIN(E225,E240*capacity))</f>
        <v>1586.76427525622</v>
      </c>
      <c r="F315" s="268">
        <f>IF(VLOOKUP(F298,ProductsRange,3,FALSE)="Special Offer",SpecialOffer(F298,4,"FY-2"),MIN(F225,F240*capacity))</f>
        <v>1048.59559373184</v>
      </c>
      <c r="G315" s="268">
        <f>IF(VLOOKUP(G298,ProductsRange,3,FALSE)="Special Offer",SpecialOffer(G298,4,"FY-2"),MIN(G225,G240*capacity))</f>
        <v>0</v>
      </c>
      <c r="H315" s="268">
        <f>IF(VLOOKUP(H298,ProductsRange,3,FALSE)="Special Offer",SpecialOffer(H298,4,"FY-2"),MIN(H225,H240*capacity))</f>
        <v>0</v>
      </c>
      <c r="I315" s="268">
        <f>IF(VLOOKUP(I298,ProductsRange,3,FALSE)="Special Offer",SpecialOffer(I298,4,"FY-2"),MIN(I225,I240*capacity))</f>
        <v>0</v>
      </c>
      <c r="J315" s="268">
        <f>IF(VLOOKUP(J298,ProductsRange,3,FALSE)="Special Offer",SpecialOffer(J298,4,"FY-2"),MIN(J225,J240*capacity))</f>
        <v>5694.81481481481</v>
      </c>
      <c r="K315" s="268">
        <f>IF(VLOOKUP(K298,ProductsRange,3,FALSE)="Special Offer",SpecialOffer(K298,4,"FY-2"),MIN(K225,K240*capacity))</f>
        <v>5853.23572474378</v>
      </c>
      <c r="L315" s="268">
        <f>IF(VLOOKUP(L298,ProductsRange,3,FALSE)="Special Offer",SpecialOffer(L298,4,"FY-2"),MIN(L225,L240*capacity))</f>
        <v>191.404406268157</v>
      </c>
      <c r="M315" s="293"/>
      <c r="N315" s="307"/>
      <c r="O315" s="317"/>
      <c r="P315" s="317"/>
      <c r="R315" s="318"/>
      <c r="S315" s="318"/>
    </row>
    <row r="316" s="140" customFormat="1" hidden="1" spans="1:19">
      <c r="A316" s="303"/>
      <c r="B316" s="312" t="s">
        <v>104</v>
      </c>
      <c r="C316" s="96" t="s">
        <v>260</v>
      </c>
      <c r="D316" s="268">
        <f>IF(VLOOKUP(D298,ProductsRange,3,FALSE)="Special Offer",SpecialOffer(D298,5,"FY-2"),MIN(D226,D241*capacity))</f>
        <v>2036.04938271605</v>
      </c>
      <c r="E316" s="268">
        <f>IF(VLOOKUP(E298,ProductsRange,3,FALSE)="Special Offer",SpecialOffer(E298,5,"FY-2"),MIN(E226,E241*capacity))</f>
        <v>1851.22498779893</v>
      </c>
      <c r="F316" s="268">
        <f>IF(VLOOKUP(F298,ProductsRange,3,FALSE)="Special Offer",SpecialOffer(F298,5,"FY-2"),MIN(F226,F241*capacity))</f>
        <v>1198.39496426496</v>
      </c>
      <c r="G316" s="268">
        <f>IF(VLOOKUP(G298,ProductsRange,3,FALSE)="Special Offer",SpecialOffer(G298,5,"FY-2"),MIN(G226,G241*capacity))</f>
        <v>1112.79532396032</v>
      </c>
      <c r="H316" s="268">
        <f>IF(VLOOKUP(H298,ProductsRange,3,FALSE)="Special Offer",SpecialOffer(H298,5,"FY-2"),MIN(H226,H241*capacity))</f>
        <v>1112.79532396032</v>
      </c>
      <c r="I316" s="268">
        <f>IF(VLOOKUP(I298,ProductsRange,3,FALSE)="Special Offer",SpecialOffer(I298,5,"FY-2"),MIN(I226,I241*capacity))</f>
        <v>1112.79532396032</v>
      </c>
      <c r="J316" s="268">
        <f>IF(VLOOKUP(J298,ProductsRange,3,FALSE)="Special Offer",SpecialOffer(J298,5,"FY-2"),MIN(J226,J241*capacity))</f>
        <v>6643.95061728395</v>
      </c>
      <c r="K316" s="268">
        <f>IF(VLOOKUP(K298,ProductsRange,3,FALSE)="Special Offer",SpecialOffer(K298,5,"FY-2"),MIN(K226,K241*capacity))</f>
        <v>6828.77501220107</v>
      </c>
      <c r="L316" s="268">
        <f>IF(VLOOKUP(L298,ProductsRange,3,FALSE)="Special Offer",SpecialOffer(L298,5,"FY-2"),MIN(L226,L241*capacity))</f>
        <v>423.219063854078</v>
      </c>
      <c r="M316" s="293"/>
      <c r="N316" s="307"/>
      <c r="O316" s="317"/>
      <c r="P316" s="317"/>
      <c r="R316" s="318"/>
      <c r="S316" s="318"/>
    </row>
    <row r="317" s="140" customFormat="1" hidden="1" spans="1:19">
      <c r="A317" s="303"/>
      <c r="B317" s="312" t="s">
        <v>104</v>
      </c>
      <c r="C317" s="96" t="s">
        <v>261</v>
      </c>
      <c r="D317" s="268">
        <f>IF(VLOOKUP(D298,ProductsRange,3,FALSE)="Special Offer",SpecialOffer(D298,6,"FY-2"),MIN(D227,D242*capacity))</f>
        <v>2567.9892091392</v>
      </c>
      <c r="E317" s="268">
        <f>IF(VLOOKUP(E298,ProductsRange,3,FALSE)="Special Offer",SpecialOffer(E298,6,"FY-2"),MIN(E227,E242*capacity))</f>
        <v>2380.14641288433</v>
      </c>
      <c r="F317" s="268">
        <f>IF(VLOOKUP(F298,ProductsRange,3,FALSE)="Special Offer",SpecialOffer(F298,6,"FY-2"),MIN(F227,F242*capacity))</f>
        <v>1240</v>
      </c>
      <c r="G317" s="268">
        <f>IF(VLOOKUP(G298,ProductsRange,3,FALSE)="Special Offer",SpecialOffer(G298,6,"FY-2"),MIN(G227,G242*capacity))</f>
        <v>1240</v>
      </c>
      <c r="H317" s="268">
        <f>IF(VLOOKUP(H298,ProductsRange,3,FALSE)="Special Offer",SpecialOffer(H298,6,"FY-2"),MIN(H227,H242*capacity))</f>
        <v>1240</v>
      </c>
      <c r="I317" s="268">
        <f>IF(VLOOKUP(I298,ProductsRange,3,FALSE)="Special Offer",SpecialOffer(I298,6,"FY-2"),MIN(I227,I242*capacity))</f>
        <v>1240</v>
      </c>
      <c r="J317" s="268">
        <f>IF(VLOOKUP(J298,ProductsRange,3,FALSE)="Special Offer",SpecialOffer(J298,6,"FY-2"),MIN(J227,J242*capacity))</f>
        <v>8379.7542614016</v>
      </c>
      <c r="K317" s="268">
        <f>IF(VLOOKUP(K298,ProductsRange,3,FALSE)="Special Offer",SpecialOffer(K298,6,"FY-2"),MIN(K227,K242*capacity))</f>
        <v>8779.85358711567</v>
      </c>
      <c r="L317" s="268">
        <f>IF(VLOOKUP(L298,ProductsRange,3,FALSE)="Special Offer",SpecialOffer(L298,6,"FY-2"),MIN(L227,L242*capacity))</f>
        <v>212.256529459199</v>
      </c>
      <c r="M317" s="293"/>
      <c r="N317" s="307"/>
      <c r="O317" s="317"/>
      <c r="P317" s="317"/>
      <c r="R317" s="318"/>
      <c r="S317" s="318"/>
    </row>
    <row r="318" s="140" customFormat="1" hidden="1" spans="1:19">
      <c r="A318" s="303"/>
      <c r="B318" s="312" t="s">
        <v>104</v>
      </c>
      <c r="C318" s="96" t="s">
        <v>262</v>
      </c>
      <c r="D318" s="268">
        <f>IF(VLOOKUP(D298,ProductsRange,3,FALSE)="Special Offer",SpecialOffer(D298,7,"FY-2"),MIN(D228,D243*capacity))</f>
        <v>2567.9892091392</v>
      </c>
      <c r="E318" s="268">
        <f>IF(VLOOKUP(E298,ProductsRange,3,FALSE)="Special Offer",SpecialOffer(E298,7,"FY-2"),MIN(E228,E243*capacity))</f>
        <v>2380.14641288433</v>
      </c>
      <c r="F318" s="268">
        <f>IF(VLOOKUP(F298,ProductsRange,3,FALSE)="Special Offer",SpecialOffer(F298,7,"FY-2"),MIN(F228,F243*capacity))</f>
        <v>1240</v>
      </c>
      <c r="G318" s="268">
        <f>IF(VLOOKUP(G298,ProductsRange,3,FALSE)="Special Offer",SpecialOffer(G298,7,"FY-2"),MIN(G228,G243*capacity))</f>
        <v>1240</v>
      </c>
      <c r="H318" s="268">
        <f>IF(VLOOKUP(H298,ProductsRange,3,FALSE)="Special Offer",SpecialOffer(H298,7,"FY-2"),MIN(H228,H243*capacity))</f>
        <v>1240</v>
      </c>
      <c r="I318" s="268">
        <f>IF(VLOOKUP(I298,ProductsRange,3,FALSE)="Special Offer",SpecialOffer(I298,7,"FY-2"),MIN(I228,I243*capacity))</f>
        <v>1240</v>
      </c>
      <c r="J318" s="268">
        <f>IF(VLOOKUP(J298,ProductsRange,3,FALSE)="Special Offer",SpecialOffer(J298,7,"FY-2"),MIN(J228,J243*capacity))</f>
        <v>8379.7542614016</v>
      </c>
      <c r="K318" s="268">
        <f>IF(VLOOKUP(K298,ProductsRange,3,FALSE)="Special Offer",SpecialOffer(K298,7,"FY-2"),MIN(K228,K243*capacity))</f>
        <v>8779.85358711567</v>
      </c>
      <c r="L318" s="268">
        <f>IF(VLOOKUP(L298,ProductsRange,3,FALSE)="Special Offer",SpecialOffer(L298,7,"FY-2"),MIN(L228,L243*capacity))</f>
        <v>212.256529459199</v>
      </c>
      <c r="M318" s="293"/>
      <c r="N318" s="307"/>
      <c r="O318" s="317"/>
      <c r="P318" s="317"/>
      <c r="R318" s="318"/>
      <c r="S318" s="318"/>
    </row>
    <row r="319" s="140" customFormat="1" hidden="1" spans="1:19">
      <c r="A319" s="303"/>
      <c r="B319" s="312" t="s">
        <v>104</v>
      </c>
      <c r="C319" s="96" t="s">
        <v>263</v>
      </c>
      <c r="D319" s="268">
        <f>IF(VLOOKUP(D298,ProductsRange,3,FALSE)="Special Offer",SpecialOffer(D298,8,"FY-2"),MIN(D229,D244*capacity))</f>
        <v>2522.48394004283</v>
      </c>
      <c r="E319" s="268">
        <f>IF(VLOOKUP(E298,ProductsRange,3,FALSE)="Special Offer",SpecialOffer(E298,8,"FY-2"),MIN(E229,E244*capacity))</f>
        <v>2707.08862463424</v>
      </c>
      <c r="F319" s="268">
        <f>IF(VLOOKUP(F298,ProductsRange,3,FALSE)="Special Offer",SpecialOffer(F298,8,"FY-2"),MIN(F229,F244*capacity))</f>
        <v>1240</v>
      </c>
      <c r="G319" s="268">
        <f>IF(VLOOKUP(G298,ProductsRange,3,FALSE)="Special Offer",SpecialOffer(G298,8,"FY-2"),MIN(G229,G244*capacity))</f>
        <v>1240</v>
      </c>
      <c r="H319" s="268">
        <f>IF(VLOOKUP(H298,ProductsRange,3,FALSE)="Special Offer",SpecialOffer(H298,8,"FY-2"),MIN(H229,H244*capacity))</f>
        <v>1240</v>
      </c>
      <c r="I319" s="268">
        <f>IF(VLOOKUP(I298,ProductsRange,3,FALSE)="Special Offer",SpecialOffer(I298,8,"FY-2"),MIN(I229,I244*capacity))</f>
        <v>1240</v>
      </c>
      <c r="J319" s="268">
        <f>IF(VLOOKUP(J298,ProductsRange,3,FALSE)="Special Offer",SpecialOffer(J298,8,"FY-2"),MIN(J229,J244*capacity))</f>
        <v>9877.51605995717</v>
      </c>
      <c r="K319" s="268">
        <f>IF(VLOOKUP(K298,ProductsRange,3,FALSE)="Special Offer",SpecialOffer(K298,8,"FY-2"),MIN(K229,K244*capacity))</f>
        <v>10893.6805398221</v>
      </c>
      <c r="L319" s="268">
        <f>IF(VLOOKUP(L298,ProductsRange,3,FALSE)="Special Offer",SpecialOffer(L298,8,"FY-2"),MIN(L229,L244*capacity))</f>
        <v>39.2308355436799</v>
      </c>
      <c r="M319" s="293"/>
      <c r="N319" s="307"/>
      <c r="O319" s="317"/>
      <c r="P319" s="317"/>
      <c r="R319" s="318"/>
      <c r="S319" s="318"/>
    </row>
    <row r="320" s="140" customFormat="1" hidden="1" spans="1:19">
      <c r="A320" s="303"/>
      <c r="B320" s="312" t="s">
        <v>104</v>
      </c>
      <c r="C320" s="96" t="s">
        <v>264</v>
      </c>
      <c r="D320" s="268">
        <f>IF(VLOOKUP(D298,ProductsRange,3,FALSE)="Special Offer",SpecialOffer(D298,9,"FY-2"),MIN(D230,D245*capacity))</f>
        <v>2522.48394004283</v>
      </c>
      <c r="E320" s="268">
        <f>IF(VLOOKUP(E298,ProductsRange,3,FALSE)="Special Offer",SpecialOffer(E298,9,"FY-2"),MIN(E230,E245*capacity))</f>
        <v>2707.08862463424</v>
      </c>
      <c r="F320" s="268">
        <f>IF(VLOOKUP(F298,ProductsRange,3,FALSE)="Special Offer",SpecialOffer(F298,9,"FY-2"),MIN(F230,F245*capacity))</f>
        <v>1240</v>
      </c>
      <c r="G320" s="268">
        <f>IF(VLOOKUP(G298,ProductsRange,3,FALSE)="Special Offer",SpecialOffer(G298,9,"FY-2"),MIN(G230,G245*capacity))</f>
        <v>1240</v>
      </c>
      <c r="H320" s="268">
        <f>IF(VLOOKUP(H298,ProductsRange,3,FALSE)="Special Offer",SpecialOffer(H298,9,"FY-2"),MIN(H230,H245*capacity))</f>
        <v>1240</v>
      </c>
      <c r="I320" s="268">
        <f>IF(VLOOKUP(I298,ProductsRange,3,FALSE)="Special Offer",SpecialOffer(I298,9,"FY-2"),MIN(I230,I245*capacity))</f>
        <v>1240</v>
      </c>
      <c r="J320" s="268">
        <f>IF(VLOOKUP(J298,ProductsRange,3,FALSE)="Special Offer",SpecialOffer(J298,9,"FY-2"),MIN(J230,J245*capacity))</f>
        <v>9877.51605995717</v>
      </c>
      <c r="K320" s="268">
        <f>IF(VLOOKUP(K298,ProductsRange,3,FALSE)="Special Offer",SpecialOffer(K298,9,"FY-2"),MIN(K230,K245*capacity))</f>
        <v>10893.6805398221</v>
      </c>
      <c r="L320" s="268">
        <f>IF(VLOOKUP(L298,ProductsRange,3,FALSE)="Special Offer",SpecialOffer(L298,9,"FY-2"),MIN(L230,L245*capacity))</f>
        <v>39.2308355436799</v>
      </c>
      <c r="M320" s="293"/>
      <c r="N320" s="307"/>
      <c r="O320" s="317"/>
      <c r="P320" s="317"/>
      <c r="R320" s="318"/>
      <c r="S320" s="318"/>
    </row>
    <row r="321" s="140" customFormat="1" hidden="1" spans="1:19">
      <c r="A321" s="303"/>
      <c r="B321" s="312" t="s">
        <v>104</v>
      </c>
      <c r="C321" s="96" t="s">
        <v>265</v>
      </c>
      <c r="D321" s="268">
        <f>IF(VLOOKUP(D298,ProductsRange,3,FALSE)="Special Offer",SpecialOffer(D298,10,"FY-2"),MIN(D231,D246*capacity))</f>
        <v>2431.65137614679</v>
      </c>
      <c r="E321" s="268">
        <f>IF(VLOOKUP(E298,ProductsRange,3,FALSE)="Special Offer",SpecialOffer(E298,10,"FY-2"),MIN(E231,E246*capacity))</f>
        <v>2644.60712542704</v>
      </c>
      <c r="F321" s="268">
        <f>IF(VLOOKUP(F298,ProductsRange,3,FALSE)="Special Offer",SpecialOffer(F298,10,"FY-2"),MIN(F231,F246*capacity))</f>
        <v>1240</v>
      </c>
      <c r="G321" s="268">
        <f>IF(VLOOKUP(G298,ProductsRange,3,FALSE)="Special Offer",SpecialOffer(G298,10,"FY-2"),MIN(G231,G246*capacity))</f>
        <v>1240</v>
      </c>
      <c r="H321" s="268">
        <f>IF(VLOOKUP(H298,ProductsRange,3,FALSE)="Special Offer",SpecialOffer(H298,10,"FY-2"),MIN(H231,H246*capacity))</f>
        <v>1240</v>
      </c>
      <c r="I321" s="268">
        <f>IF(VLOOKUP(I298,ProductsRange,3,FALSE)="Special Offer",SpecialOffer(I298,10,"FY-2"),MIN(I231,I246*capacity))</f>
        <v>1240</v>
      </c>
      <c r="J321" s="268">
        <f>IF(VLOOKUP(J298,ProductsRange,3,FALSE)="Special Offer",SpecialOffer(J298,10,"FY-2"),MIN(J231,J246*capacity))</f>
        <v>8728.34862385321</v>
      </c>
      <c r="K321" s="268">
        <f>IF(VLOOKUP(K298,ProductsRange,3,FALSE)="Special Offer",SpecialOffer(K298,10,"FY-2"),MIN(K231,K246*capacity))</f>
        <v>9755.39287457296</v>
      </c>
      <c r="L321" s="268">
        <f>IF(VLOOKUP(L298,ProductsRange,3,FALSE)="Special Offer",SpecialOffer(L298,10,"FY-2"),MIN(L231,L246*capacity))</f>
        <v>0</v>
      </c>
      <c r="M321" s="293"/>
      <c r="N321" s="307"/>
      <c r="O321" s="317"/>
      <c r="P321" s="317"/>
      <c r="R321" s="318"/>
      <c r="S321" s="318"/>
    </row>
    <row r="322" s="140" customFormat="1" hidden="1" spans="1:19">
      <c r="A322" s="303"/>
      <c r="B322" s="312" t="s">
        <v>104</v>
      </c>
      <c r="C322" s="96" t="s">
        <v>266</v>
      </c>
      <c r="D322" s="268">
        <f>IF(VLOOKUP(D298,ProductsRange,3,FALSE)="Special Offer",SpecialOffer(D298,11,"FY-2"),MIN(D232,D247*capacity))</f>
        <v>1745.18518518519</v>
      </c>
      <c r="E322" s="268">
        <f>IF(VLOOKUP(E298,ProductsRange,3,FALSE)="Special Offer",SpecialOffer(E298,11,"FY-2"),MIN(E232,E247*capacity))</f>
        <v>1586.76427525622</v>
      </c>
      <c r="F322" s="268">
        <f>IF(VLOOKUP(F298,ProductsRange,3,FALSE)="Special Offer",SpecialOffer(F298,11,"FY-2"),MIN(F232,F247*capacity))</f>
        <v>1048.59559373184</v>
      </c>
      <c r="G322" s="268">
        <f>IF(VLOOKUP(G298,ProductsRange,3,FALSE)="Special Offer",SpecialOffer(G298,11,"FY-2"),MIN(G232,G247*capacity))</f>
        <v>0</v>
      </c>
      <c r="H322" s="268">
        <f>IF(VLOOKUP(H298,ProductsRange,3,FALSE)="Special Offer",SpecialOffer(H298,11,"FY-2"),MIN(H232,H247*capacity))</f>
        <v>0</v>
      </c>
      <c r="I322" s="268">
        <f>IF(VLOOKUP(I298,ProductsRange,3,FALSE)="Special Offer",SpecialOffer(I298,11,"FY-2"),MIN(I232,I247*capacity))</f>
        <v>0</v>
      </c>
      <c r="J322" s="268">
        <f>IF(VLOOKUP(J298,ProductsRange,3,FALSE)="Special Offer",SpecialOffer(J298,11,"FY-2"),MIN(J232,J247*capacity))</f>
        <v>5694.81481481481</v>
      </c>
      <c r="K322" s="268">
        <f>IF(VLOOKUP(K298,ProductsRange,3,FALSE)="Special Offer",SpecialOffer(K298,11,"FY-2"),MIN(K232,K247*capacity))</f>
        <v>5853.23572474378</v>
      </c>
      <c r="L322" s="268">
        <f>IF(VLOOKUP(L298,ProductsRange,3,FALSE)="Special Offer",SpecialOffer(L298,11,"FY-2"),MIN(L232,L247*capacity))</f>
        <v>191.404406268157</v>
      </c>
      <c r="M322" s="293"/>
      <c r="N322" s="307"/>
      <c r="O322" s="317"/>
      <c r="P322" s="317"/>
      <c r="R322" s="318"/>
      <c r="S322" s="318"/>
    </row>
    <row r="323" s="140" customFormat="1" hidden="1" spans="1:19">
      <c r="A323" s="303"/>
      <c r="B323" s="312" t="s">
        <v>104</v>
      </c>
      <c r="C323" s="96" t="s">
        <v>267</v>
      </c>
      <c r="D323" s="268">
        <f>IF(VLOOKUP(D298,ProductsRange,3,FALSE)="Special Offer",SpecialOffer(D298,12,"FY-2"),MIN(D233,D248*capacity))</f>
        <v>1745.18518518519</v>
      </c>
      <c r="E323" s="268">
        <f>IF(VLOOKUP(E298,ProductsRange,3,FALSE)="Special Offer",SpecialOffer(E298,12,"FY-2"),MIN(E233,E248*capacity))</f>
        <v>1586.76427525622</v>
      </c>
      <c r="F323" s="268">
        <f>IF(VLOOKUP(F298,ProductsRange,3,FALSE)="Special Offer",SpecialOffer(F298,12,"FY-2"),MIN(F233,F248*capacity))</f>
        <v>1048.59559373184</v>
      </c>
      <c r="G323" s="268">
        <f>IF(VLOOKUP(G298,ProductsRange,3,FALSE)="Special Offer",SpecialOffer(G298,12,"FY-2"),MIN(G233,G248*capacity))</f>
        <v>0</v>
      </c>
      <c r="H323" s="268">
        <f>IF(VLOOKUP(H298,ProductsRange,3,FALSE)="Special Offer",SpecialOffer(H298,12,"FY-2"),MIN(H233,H248*capacity))</f>
        <v>0</v>
      </c>
      <c r="I323" s="268">
        <f>IF(VLOOKUP(I298,ProductsRange,3,FALSE)="Special Offer",SpecialOffer(I298,12,"FY-2"),MIN(I233,I248*capacity))</f>
        <v>0</v>
      </c>
      <c r="J323" s="268">
        <f>IF(VLOOKUP(J298,ProductsRange,3,FALSE)="Special Offer",SpecialOffer(J298,12,"FY-2"),MIN(J233,J248*capacity))</f>
        <v>5694.81481481481</v>
      </c>
      <c r="K323" s="268">
        <f>IF(VLOOKUP(K298,ProductsRange,3,FALSE)="Special Offer",SpecialOffer(K298,12,"FY-2"),MIN(K233,K248*capacity))</f>
        <v>5853.23572474378</v>
      </c>
      <c r="L323" s="268">
        <f>IF(VLOOKUP(L298,ProductsRange,3,FALSE)="Special Offer",SpecialOffer(L298,12,"FY-2"),MIN(L233,L248*capacity))</f>
        <v>191.404406268157</v>
      </c>
      <c r="M323" s="293"/>
      <c r="N323" s="307"/>
      <c r="O323" s="317"/>
      <c r="P323" s="317"/>
      <c r="R323" s="318"/>
      <c r="S323" s="318"/>
    </row>
    <row r="324" s="140" customFormat="1" hidden="1" spans="1:19">
      <c r="A324" s="303"/>
      <c r="B324" s="312" t="s">
        <v>105</v>
      </c>
      <c r="C324" s="262" t="s">
        <v>256</v>
      </c>
      <c r="D324" s="268">
        <f>IF(VLOOKUP(D298,ProductsRange,3,FALSE)="Special Offer",SpecialOffer(D298,1,"FY-3"),MIN(D267,D282*capacity))</f>
        <v>1648.70618462103</v>
      </c>
      <c r="E324" s="268">
        <f>IF(VLOOKUP(E298,ProductsRange,3,FALSE)="Special Offer",SpecialOffer(E298,1,"FY-3"),MIN(E267,E282*capacity))</f>
        <v>1419.73785659214</v>
      </c>
      <c r="F324" s="268">
        <f>IF(VLOOKUP(F298,ProductsRange,3,FALSE)="Special Offer",SpecialOffer(F298,1,"FY-3"),MIN(F267,F282*capacity))</f>
        <v>0</v>
      </c>
      <c r="G324" s="268">
        <f>IF(VLOOKUP(G298,ProductsRange,3,FALSE)="Special Offer",SpecialOffer(G298,1,"FY-3"),MIN(G267,G282*capacity))</f>
        <v>0</v>
      </c>
      <c r="H324" s="268">
        <f>IF(VLOOKUP(H298,ProductsRange,3,FALSE)="Special Offer",SpecialOffer(H298,1,"FY-3"),MIN(H267,H282*capacity))</f>
        <v>0</v>
      </c>
      <c r="I324" s="268">
        <f>IF(VLOOKUP(I298,ProductsRange,3,FALSE)="Special Offer",SpecialOffer(I298,1,"FY-3"),MIN(I267,I282*capacity))</f>
        <v>0</v>
      </c>
      <c r="J324" s="268">
        <f>IF(VLOOKUP(J298,ProductsRange,3,FALSE)="Special Offer",SpecialOffer(J298,1,"FY-3"),MIN(J267,J282*capacity))</f>
        <v>4551.29381537897</v>
      </c>
      <c r="K324" s="268">
        <f>IF(VLOOKUP(K298,ProductsRange,3,FALSE)="Special Offer",SpecialOffer(K298,1,"FY-3"),MIN(K267,K282*capacity))</f>
        <v>4780.26214340786</v>
      </c>
      <c r="L324" s="268">
        <f>IF(VLOOKUP(L298,ProductsRange,3,FALSE)="Special Offer",SpecialOffer(L298,1,"FY-3"),MIN(L267,L282*capacity))</f>
        <v>0</v>
      </c>
      <c r="M324" s="293"/>
      <c r="N324" s="307"/>
      <c r="O324" s="317"/>
      <c r="P324" s="317"/>
      <c r="R324" s="318"/>
      <c r="S324" s="318"/>
    </row>
    <row r="325" s="140" customFormat="1" hidden="1" spans="1:19">
      <c r="A325" s="302"/>
      <c r="B325" s="312" t="s">
        <v>105</v>
      </c>
      <c r="C325" s="262" t="s">
        <v>257</v>
      </c>
      <c r="D325" s="268">
        <f>IF(VLOOKUP(D298,ProductsRange,3,FALSE)="Special Offer",SpecialOffer(D298,2,"FY-3"),MIN(D268,D283*capacity))</f>
        <v>1648.70618462103</v>
      </c>
      <c r="E325" s="268">
        <f>IF(VLOOKUP(E298,ProductsRange,3,FALSE)="Special Offer",SpecialOffer(E298,2,"FY-3"),MIN(E268,E283*capacity))</f>
        <v>1419.73785659214</v>
      </c>
      <c r="F325" s="268">
        <f>IF(VLOOKUP(F298,ProductsRange,3,FALSE)="Special Offer",SpecialOffer(F298,2,"FY-3"),MIN(F268,F283*capacity))</f>
        <v>0</v>
      </c>
      <c r="G325" s="268">
        <f>IF(VLOOKUP(G298,ProductsRange,3,FALSE)="Special Offer",SpecialOffer(G298,2,"FY-3"),MIN(G268,G283*capacity))</f>
        <v>0</v>
      </c>
      <c r="H325" s="268">
        <f>IF(VLOOKUP(H298,ProductsRange,3,FALSE)="Special Offer",SpecialOffer(H298,2,"FY-3"),MIN(H268,H283*capacity))</f>
        <v>0</v>
      </c>
      <c r="I325" s="268">
        <f>IF(VLOOKUP(I298,ProductsRange,3,FALSE)="Special Offer",SpecialOffer(I298,2,"FY-3"),MIN(I268,I283*capacity))</f>
        <v>0</v>
      </c>
      <c r="J325" s="268">
        <f>IF(VLOOKUP(J298,ProductsRange,3,FALSE)="Special Offer",SpecialOffer(J298,2,"FY-3"),MIN(J268,J283*capacity))</f>
        <v>4551.29381537897</v>
      </c>
      <c r="K325" s="268">
        <f>IF(VLOOKUP(K298,ProductsRange,3,FALSE)="Special Offer",SpecialOffer(K298,2,"FY-3"),MIN(K268,K283*capacity))</f>
        <v>4780.26214340786</v>
      </c>
      <c r="L325" s="268">
        <f>IF(VLOOKUP(L298,ProductsRange,3,FALSE)="Special Offer",SpecialOffer(L298,2,"FY-3"),MIN(L268,L283*capacity))</f>
        <v>0</v>
      </c>
      <c r="M325" s="293"/>
      <c r="N325" s="307"/>
      <c r="O325" s="317"/>
      <c r="P325" s="317"/>
      <c r="R325" s="318"/>
      <c r="S325" s="318"/>
    </row>
    <row r="326" s="140" customFormat="1" hidden="1" spans="1:19">
      <c r="A326" s="302"/>
      <c r="B326" s="312" t="s">
        <v>105</v>
      </c>
      <c r="C326" s="96" t="s">
        <v>258</v>
      </c>
      <c r="D326" s="268">
        <f>IF(VLOOKUP(D298,ProductsRange,3,FALSE)="Special Offer",SpecialOffer(D298,3,"FY-3"),MIN(D269,D284*capacity))</f>
        <v>1725.16562650024</v>
      </c>
      <c r="E326" s="268">
        <f>IF(VLOOKUP(E298,ProductsRange,3,FALSE)="Special Offer",SpecialOffer(E298,3,"FY-3"),MIN(E269,E284*capacity))</f>
        <v>1459.69912940544</v>
      </c>
      <c r="F326" s="268">
        <f>IF(VLOOKUP(F298,ProductsRange,3,FALSE)="Special Offer",SpecialOffer(F298,3,"FY-3"),MIN(F269,F284*capacity))</f>
        <v>995.2494064128</v>
      </c>
      <c r="G326" s="268">
        <f>IF(VLOOKUP(G298,ProductsRange,3,FALSE)="Special Offer",SpecialOffer(G298,3,"FY-3"),MIN(G269,G284*capacity))</f>
        <v>0</v>
      </c>
      <c r="H326" s="268">
        <f>IF(VLOOKUP(H298,ProductsRange,3,FALSE)="Special Offer",SpecialOffer(H298,3,"FY-3"),MIN(H269,H284*capacity))</f>
        <v>0</v>
      </c>
      <c r="I326" s="268">
        <f>IF(VLOOKUP(I298,ProductsRange,3,FALSE)="Special Offer",SpecialOffer(I298,3,"FY-3"),MIN(I269,I284*capacity))</f>
        <v>0</v>
      </c>
      <c r="J326" s="268">
        <f>IF(VLOOKUP(J298,ProductsRange,3,FALSE)="Special Offer",SpecialOffer(J298,3,"FY-3"),MIN(J269,J284*capacity))</f>
        <v>5714.83437349976</v>
      </c>
      <c r="K326" s="268">
        <f>IF(VLOOKUP(K298,ProductsRange,3,FALSE)="Special Offer",SpecialOffer(K298,3,"FY-3"),MIN(K269,K284*capacity))</f>
        <v>5897.774260224</v>
      </c>
      <c r="L326" s="268">
        <f>IF(VLOOKUP(L298,ProductsRange,3,FALSE)="Special Offer",SpecialOffer(L298,3,"FY-3"),MIN(L269,L284*capacity))</f>
        <v>327.277203957759</v>
      </c>
      <c r="M326" s="293"/>
      <c r="O326" s="308"/>
      <c r="P326" s="308"/>
      <c r="R326" s="308"/>
      <c r="S326" s="308"/>
    </row>
    <row r="327" s="140" customFormat="1" hidden="1" spans="1:19">
      <c r="A327" s="298"/>
      <c r="B327" s="312" t="s">
        <v>105</v>
      </c>
      <c r="C327" s="96" t="s">
        <v>259</v>
      </c>
      <c r="D327" s="268">
        <f>IF(VLOOKUP(D298,ProductsRange,3,FALSE)="Special Offer",SpecialOffer(D298,4,"FY-3"),MIN(D270,D285*capacity))</f>
        <v>1780.39060480512</v>
      </c>
      <c r="E327" s="268">
        <f>IF(VLOOKUP(E298,ProductsRange,3,FALSE)="Special Offer",SpecialOffer(E298,4,"FY-3"),MIN(E270,E285*capacity))</f>
        <v>1702.98231763968</v>
      </c>
      <c r="F327" s="268">
        <f>IF(VLOOKUP(F298,ProductsRange,3,FALSE)="Special Offer",SpecialOffer(F298,4,"FY-3"),MIN(F270,F285*capacity))</f>
        <v>1161.1243074816</v>
      </c>
      <c r="G327" s="268">
        <f>IF(VLOOKUP(G298,ProductsRange,3,FALSE)="Special Offer",SpecialOffer(G298,4,"FY-3"),MIN(G270,G285*capacity))</f>
        <v>1006.30773315072</v>
      </c>
      <c r="H327" s="268">
        <f>IF(VLOOKUP(H298,ProductsRange,3,FALSE)="Special Offer",SpecialOffer(H298,4,"FY-3"),MIN(H270,H285*capacity))</f>
        <v>1006.30773315072</v>
      </c>
      <c r="I327" s="268">
        <f>IF(VLOOKUP(I298,ProductsRange,3,FALSE)="Special Offer",SpecialOffer(I298,4,"FY-3"),MIN(I270,I285*capacity))</f>
        <v>1083.71602031616</v>
      </c>
      <c r="J327" s="268">
        <f>IF(VLOOKUP(J298,ProductsRange,3,FALSE)="Special Offer",SpecialOffer(J298,4,"FY-3"),MIN(J270,J285*capacity))</f>
        <v>6880.736636928</v>
      </c>
      <c r="K327" s="268">
        <f>IF(VLOOKUP(K298,ProductsRange,3,FALSE)="Special Offer",SpecialOffer(K298,4,"FY-3"),MIN(K270,K285*capacity))</f>
        <v>6880.736636928</v>
      </c>
      <c r="L327" s="268">
        <f>IF(VLOOKUP(L298,ProductsRange,3,FALSE)="Special Offer",SpecialOffer(L298,4,"FY-3"),MIN(L270,L285*capacity))</f>
        <v>817.698009599993</v>
      </c>
      <c r="M327" s="293"/>
      <c r="O327" s="308"/>
      <c r="P327" s="308"/>
      <c r="R327" s="308"/>
      <c r="S327" s="308"/>
    </row>
    <row r="328" s="140" customFormat="1" hidden="1" spans="1:19">
      <c r="A328" s="298"/>
      <c r="B328" s="312" t="s">
        <v>105</v>
      </c>
      <c r="C328" s="96" t="s">
        <v>260</v>
      </c>
      <c r="D328" s="268">
        <f>IF(VLOOKUP(D298,ProductsRange,3,FALSE)="Special Offer",SpecialOffer(D298,5,"FY-3"),MIN(D271,D286*capacity))</f>
        <v>2034.73211977728</v>
      </c>
      <c r="E328" s="268">
        <f>IF(VLOOKUP(E298,ProductsRange,3,FALSE)="Special Offer",SpecialOffer(E298,5,"FY-3"),MIN(E271,E286*capacity))</f>
        <v>1946.26550587392</v>
      </c>
      <c r="F328" s="268">
        <f>IF(VLOOKUP(F298,ProductsRange,3,FALSE)="Special Offer",SpecialOffer(F298,5,"FY-3"),MIN(F271,F286*capacity))</f>
        <v>1240</v>
      </c>
      <c r="G328" s="268">
        <f>IF(VLOOKUP(G298,ProductsRange,3,FALSE)="Special Offer",SpecialOffer(G298,5,"FY-3"),MIN(G271,G286*capacity))</f>
        <v>1150.06598074368</v>
      </c>
      <c r="H328" s="268">
        <f>IF(VLOOKUP(H298,ProductsRange,3,FALSE)="Special Offer",SpecialOffer(H298,5,"FY-3"),MIN(H271,H286*capacity))</f>
        <v>1150.06598074368</v>
      </c>
      <c r="I328" s="268">
        <f>IF(VLOOKUP(I298,ProductsRange,3,FALSE)="Special Offer",SpecialOffer(I298,5,"FY-3"),MIN(I271,I286*capacity))</f>
        <v>1238.53259464704</v>
      </c>
      <c r="J328" s="268">
        <f>IF(VLOOKUP(J298,ProductsRange,3,FALSE)="Special Offer",SpecialOffer(J298,5,"FY-3"),MIN(J271,J286*capacity))</f>
        <v>7863.699013632</v>
      </c>
      <c r="K328" s="268">
        <f>IF(VLOOKUP(K298,ProductsRange,3,FALSE)="Special Offer",SpecialOffer(K298,5,"FY-3"),MIN(K271,K286*capacity))</f>
        <v>7863.699013632</v>
      </c>
      <c r="L328" s="268">
        <f>IF(VLOOKUP(L298,ProductsRange,3,FALSE)="Special Offer",SpecialOffer(L298,5,"FY-3"),MIN(L271,L286*capacity))</f>
        <v>312.939790950397</v>
      </c>
      <c r="M328" s="268"/>
      <c r="O328" s="308"/>
      <c r="P328" s="308"/>
      <c r="R328" s="308"/>
      <c r="S328" s="308"/>
    </row>
    <row r="329" s="140" customFormat="1" hidden="1" spans="1:19">
      <c r="A329" s="298"/>
      <c r="B329" s="312" t="s">
        <v>105</v>
      </c>
      <c r="C329" s="96" t="s">
        <v>261</v>
      </c>
      <c r="D329" s="268">
        <f>IF(VLOOKUP(D298,ProductsRange,3,FALSE)="Special Offer",SpecialOffer(D298,6,"FY-3"),MIN(D272,D287*capacity))</f>
        <v>2543.4151497216</v>
      </c>
      <c r="E329" s="268">
        <f>IF(VLOOKUP(E298,ProductsRange,3,FALSE)="Special Offer",SpecialOffer(E298,6,"FY-3"),MIN(E272,E287*capacity))</f>
        <v>2432.8318823424</v>
      </c>
      <c r="F329" s="268">
        <f>IF(VLOOKUP(F298,ProductsRange,3,FALSE)="Special Offer",SpecialOffer(F298,6,"FY-3"),MIN(F272,F287*capacity))</f>
        <v>1240</v>
      </c>
      <c r="G329" s="268">
        <f>IF(VLOOKUP(G298,ProductsRange,3,FALSE)="Special Offer",SpecialOffer(G298,6,"FY-3"),MIN(G272,G287*capacity))</f>
        <v>1240</v>
      </c>
      <c r="H329" s="268">
        <f>IF(VLOOKUP(H298,ProductsRange,3,FALSE)="Special Offer",SpecialOffer(H298,6,"FY-3"),MIN(H272,H287*capacity))</f>
        <v>1240</v>
      </c>
      <c r="I329" s="268">
        <f>IF(VLOOKUP(I298,ProductsRange,3,FALSE)="Special Offer",SpecialOffer(I298,6,"FY-3"),MIN(I272,I287*capacity))</f>
        <v>1240</v>
      </c>
      <c r="J329" s="268">
        <f>IF(VLOOKUP(J298,ProductsRange,3,FALSE)="Special Offer",SpecialOffer(J298,6,"FY-3"),MIN(J272,J287*capacity))</f>
        <v>9829.62376704</v>
      </c>
      <c r="K329" s="268">
        <f>IF(VLOOKUP(K298,ProductsRange,3,FALSE)="Special Offer",SpecialOffer(K298,6,"FY-3"),MIN(K272,K287*capacity))</f>
        <v>9829.62376704</v>
      </c>
      <c r="L329" s="268">
        <f>IF(VLOOKUP(L298,ProductsRange,3,FALSE)="Special Offer",SpecialOffer(L298,6,"FY-3"),MIN(L272,L287*capacity))</f>
        <v>164.505433855993</v>
      </c>
      <c r="M329" s="268"/>
      <c r="O329" s="308"/>
      <c r="P329" s="308"/>
      <c r="R329" s="308"/>
      <c r="S329" s="308"/>
    </row>
    <row r="330" s="140" customFormat="1" hidden="1" spans="1:19">
      <c r="A330" s="303"/>
      <c r="B330" s="312" t="s">
        <v>105</v>
      </c>
      <c r="C330" s="96" t="s">
        <v>262</v>
      </c>
      <c r="D330" s="268">
        <f>IF(VLOOKUP(D298,ProductsRange,3,FALSE)="Special Offer",SpecialOffer(D298,7,"FY-3"),MIN(D273,D288*capacity))</f>
        <v>2543.4151497216</v>
      </c>
      <c r="E330" s="268">
        <f>IF(VLOOKUP(E298,ProductsRange,3,FALSE)="Special Offer",SpecialOffer(E298,7,"FY-3"),MIN(E273,E288*capacity))</f>
        <v>2432.8318823424</v>
      </c>
      <c r="F330" s="268">
        <f>IF(VLOOKUP(F298,ProductsRange,3,FALSE)="Special Offer",SpecialOffer(F298,7,"FY-3"),MIN(F273,F288*capacity))</f>
        <v>1240</v>
      </c>
      <c r="G330" s="268">
        <f>IF(VLOOKUP(G298,ProductsRange,3,FALSE)="Special Offer",SpecialOffer(G298,7,"FY-3"),MIN(G273,G288*capacity))</f>
        <v>1240</v>
      </c>
      <c r="H330" s="268">
        <f>IF(VLOOKUP(H298,ProductsRange,3,FALSE)="Special Offer",SpecialOffer(H298,7,"FY-3"),MIN(H273,H288*capacity))</f>
        <v>1240</v>
      </c>
      <c r="I330" s="268">
        <f>IF(VLOOKUP(I298,ProductsRange,3,FALSE)="Special Offer",SpecialOffer(I298,7,"FY-3"),MIN(I273,I288*capacity))</f>
        <v>1240</v>
      </c>
      <c r="J330" s="268">
        <f>IF(VLOOKUP(J298,ProductsRange,3,FALSE)="Special Offer",SpecialOffer(J298,7,"FY-3"),MIN(J273,J288*capacity))</f>
        <v>9829.62376704</v>
      </c>
      <c r="K330" s="268">
        <f>IF(VLOOKUP(K298,ProductsRange,3,FALSE)="Special Offer",SpecialOffer(K298,7,"FY-3"),MIN(K273,K288*capacity))</f>
        <v>9829.62376704</v>
      </c>
      <c r="L330" s="268">
        <f>IF(VLOOKUP(L298,ProductsRange,3,FALSE)="Special Offer",SpecialOffer(L298,7,"FY-3"),MIN(L273,L288*capacity))</f>
        <v>164.505433855993</v>
      </c>
      <c r="M330" s="293"/>
      <c r="N330" s="307"/>
      <c r="O330" s="317"/>
      <c r="P330" s="317"/>
      <c r="R330" s="318"/>
      <c r="S330" s="318"/>
    </row>
    <row r="331" s="140" customFormat="1" hidden="1" spans="1:19">
      <c r="A331" s="303"/>
      <c r="B331" s="312" t="s">
        <v>105</v>
      </c>
      <c r="C331" s="96" t="s">
        <v>263</v>
      </c>
      <c r="D331" s="268">
        <f>IF(VLOOKUP(D298,ProductsRange,3,FALSE)="Special Offer",SpecialOffer(D298,8,"FY-3"),MIN(D274,D289*capacity))</f>
        <v>2419.43444730077</v>
      </c>
      <c r="E331" s="268">
        <f>IF(VLOOKUP(E298,ProductsRange,3,FALSE)="Special Offer",SpecialOffer(E298,8,"FY-3"),MIN(E274,E289*capacity))</f>
        <v>2522.32297503821</v>
      </c>
      <c r="F331" s="268">
        <f>IF(VLOOKUP(F298,ProductsRange,3,FALSE)="Special Offer",SpecialOffer(F298,8,"FY-3"),MIN(F274,F289*capacity))</f>
        <v>1240</v>
      </c>
      <c r="G331" s="268">
        <f>IF(VLOOKUP(G298,ProductsRange,3,FALSE)="Special Offer",SpecialOffer(G298,8,"FY-3"),MIN(G274,G289*capacity))</f>
        <v>1240</v>
      </c>
      <c r="H331" s="268">
        <f>IF(VLOOKUP(H298,ProductsRange,3,FALSE)="Special Offer",SpecialOffer(H298,8,"FY-3"),MIN(H274,H289*capacity))</f>
        <v>1240</v>
      </c>
      <c r="I331" s="268">
        <f>IF(VLOOKUP(I298,ProductsRange,3,FALSE)="Special Offer",SpecialOffer(I298,8,"FY-3"),MIN(I274,I289*capacity))</f>
        <v>1240</v>
      </c>
      <c r="J331" s="268">
        <f>IF(VLOOKUP(J298,ProductsRange,3,FALSE)="Special Offer",SpecialOffer(J298,8,"FY-3"),MIN(J274,J289*capacity))</f>
        <v>11220.5655526992</v>
      </c>
      <c r="K331" s="268">
        <f>IF(VLOOKUP(K298,ProductsRange,3,FALSE)="Special Offer",SpecialOffer(K298,8,"FY-3"),MIN(K274,K289*capacity))</f>
        <v>11117.6770249618</v>
      </c>
      <c r="L331" s="268">
        <f>IF(VLOOKUP(L298,ProductsRange,3,FALSE)="Special Offer",SpecialOffer(L298,8,"FY-3"),MIN(L274,L289*capacity))</f>
        <v>0</v>
      </c>
      <c r="M331" s="293"/>
      <c r="N331" s="307"/>
      <c r="O331" s="317"/>
      <c r="P331" s="317"/>
      <c r="R331" s="318"/>
      <c r="S331" s="318"/>
    </row>
    <row r="332" s="140" customFormat="1" hidden="1" spans="1:19">
      <c r="A332" s="303"/>
      <c r="B332" s="312" t="s">
        <v>105</v>
      </c>
      <c r="C332" s="96" t="s">
        <v>264</v>
      </c>
      <c r="D332" s="268">
        <f>IF(VLOOKUP(D298,ProductsRange,3,FALSE)="Special Offer",SpecialOffer(D298,9,"FY-3"),MIN(D275,D290*capacity))</f>
        <v>2419.43444730077</v>
      </c>
      <c r="E332" s="268">
        <f>IF(VLOOKUP(E298,ProductsRange,3,FALSE)="Special Offer",SpecialOffer(E298,9,"FY-3"),MIN(E275,E290*capacity))</f>
        <v>2522.32297503821</v>
      </c>
      <c r="F332" s="268">
        <f>IF(VLOOKUP(F298,ProductsRange,3,FALSE)="Special Offer",SpecialOffer(F298,9,"FY-3"),MIN(F275,F290*capacity))</f>
        <v>1240</v>
      </c>
      <c r="G332" s="268">
        <f>IF(VLOOKUP(G298,ProductsRange,3,FALSE)="Special Offer",SpecialOffer(G298,9,"FY-3"),MIN(G275,G290*capacity))</f>
        <v>1240</v>
      </c>
      <c r="H332" s="268">
        <f>IF(VLOOKUP(H298,ProductsRange,3,FALSE)="Special Offer",SpecialOffer(H298,9,"FY-3"),MIN(H275,H290*capacity))</f>
        <v>1240</v>
      </c>
      <c r="I332" s="268">
        <f>IF(VLOOKUP(I298,ProductsRange,3,FALSE)="Special Offer",SpecialOffer(I298,9,"FY-3"),MIN(I275,I290*capacity))</f>
        <v>1240</v>
      </c>
      <c r="J332" s="268">
        <f>IF(VLOOKUP(J298,ProductsRange,3,FALSE)="Special Offer",SpecialOffer(J298,9,"FY-3"),MIN(J275,J290*capacity))</f>
        <v>11220.5655526992</v>
      </c>
      <c r="K332" s="268">
        <f>IF(VLOOKUP(K298,ProductsRange,3,FALSE)="Special Offer",SpecialOffer(K298,9,"FY-3"),MIN(K275,K290*capacity))</f>
        <v>11117.6770249618</v>
      </c>
      <c r="L332" s="268">
        <f>IF(VLOOKUP(L298,ProductsRange,3,FALSE)="Special Offer",SpecialOffer(L298,9,"FY-3"),MIN(L275,L290*capacity))</f>
        <v>0</v>
      </c>
      <c r="M332" s="293"/>
      <c r="N332" s="307"/>
      <c r="O332" s="317"/>
      <c r="P332" s="317"/>
      <c r="R332" s="318"/>
      <c r="S332" s="318"/>
    </row>
    <row r="333" s="140" customFormat="1" hidden="1" spans="1:19">
      <c r="A333" s="303"/>
      <c r="B333" s="312" t="s">
        <v>105</v>
      </c>
      <c r="C333" s="96" t="s">
        <v>265</v>
      </c>
      <c r="D333" s="268">
        <f>IF(VLOOKUP(D298,ProductsRange,3,FALSE)="Special Offer",SpecialOffer(D298,10,"FY-3"),MIN(D276,D291*capacity))</f>
        <v>2361.36154553818</v>
      </c>
      <c r="E333" s="268">
        <f>IF(VLOOKUP(E298,ProductsRange,3,FALSE)="Special Offer",SpecialOffer(E298,10,"FY-3"),MIN(E276,E291*capacity))</f>
        <v>2676.11507057664</v>
      </c>
      <c r="F333" s="268">
        <f>IF(VLOOKUP(F298,ProductsRange,3,FALSE)="Special Offer",SpecialOffer(F298,10,"FY-3"),MIN(F276,F291*capacity))</f>
        <v>1240</v>
      </c>
      <c r="G333" s="268">
        <f>IF(VLOOKUP(G298,ProductsRange,3,FALSE)="Special Offer",SpecialOffer(G298,10,"FY-3"),MIN(G276,G291*capacity))</f>
        <v>1240</v>
      </c>
      <c r="H333" s="268">
        <f>IF(VLOOKUP(H298,ProductsRange,3,FALSE)="Special Offer",SpecialOffer(H298,10,"FY-3"),MIN(H276,H291*capacity))</f>
        <v>1240</v>
      </c>
      <c r="I333" s="268">
        <f>IF(VLOOKUP(I298,ProductsRange,3,FALSE)="Special Offer",SpecialOffer(I298,10,"FY-3"),MIN(I276,I291*capacity))</f>
        <v>1240</v>
      </c>
      <c r="J333" s="268">
        <f>IF(VLOOKUP(J298,ProductsRange,3,FALSE)="Special Offer",SpecialOffer(J298,10,"FY-3"),MIN(J276,J291*capacity))</f>
        <v>10038.6384544618</v>
      </c>
      <c r="K333" s="268">
        <f>IF(VLOOKUP(K298,ProductsRange,3,FALSE)="Special Offer",SpecialOffer(K298,10,"FY-3"),MIN(K276,K291*capacity))</f>
        <v>10812.586143744</v>
      </c>
      <c r="L333" s="268">
        <f>IF(VLOOKUP(L298,ProductsRange,3,FALSE)="Special Offer",SpecialOffer(L298,10,"FY-3"),MIN(L276,L291*capacity))</f>
        <v>151.298785679355</v>
      </c>
      <c r="M333" s="293"/>
      <c r="N333" s="307"/>
      <c r="O333" s="317"/>
      <c r="P333" s="317"/>
      <c r="R333" s="318"/>
      <c r="S333" s="318"/>
    </row>
    <row r="334" s="140" customFormat="1" hidden="1" spans="1:19">
      <c r="A334" s="303"/>
      <c r="B334" s="312" t="s">
        <v>105</v>
      </c>
      <c r="C334" s="96" t="s">
        <v>266</v>
      </c>
      <c r="D334" s="268">
        <f>IF(VLOOKUP(D298,ProductsRange,3,FALSE)="Special Offer",SpecialOffer(D298,11,"FY-3"),MIN(D277,D292*capacity))</f>
        <v>1780.39060480512</v>
      </c>
      <c r="E334" s="268">
        <f>IF(VLOOKUP(E298,ProductsRange,3,FALSE)="Special Offer",SpecialOffer(E298,11,"FY-3"),MIN(E277,E292*capacity))</f>
        <v>1702.98231763968</v>
      </c>
      <c r="F334" s="268">
        <f>IF(VLOOKUP(F298,ProductsRange,3,FALSE)="Special Offer",SpecialOffer(F298,11,"FY-3"),MIN(F277,F292*capacity))</f>
        <v>1161.1243074816</v>
      </c>
      <c r="G334" s="268">
        <f>IF(VLOOKUP(G298,ProductsRange,3,FALSE)="Special Offer",SpecialOffer(G298,11,"FY-3"),MIN(G277,G292*capacity))</f>
        <v>1006.30773315072</v>
      </c>
      <c r="H334" s="268">
        <f>IF(VLOOKUP(H298,ProductsRange,3,FALSE)="Special Offer",SpecialOffer(H298,11,"FY-3"),MIN(H277,H292*capacity))</f>
        <v>1006.30773315072</v>
      </c>
      <c r="I334" s="268">
        <f>IF(VLOOKUP(I298,ProductsRange,3,FALSE)="Special Offer",SpecialOffer(I298,11,"FY-3"),MIN(I277,I292*capacity))</f>
        <v>1083.71602031616</v>
      </c>
      <c r="J334" s="268">
        <f>IF(VLOOKUP(J298,ProductsRange,3,FALSE)="Special Offer",SpecialOffer(J298,11,"FY-3"),MIN(J277,J292*capacity))</f>
        <v>6880.736636928</v>
      </c>
      <c r="K334" s="268">
        <f>IF(VLOOKUP(K298,ProductsRange,3,FALSE)="Special Offer",SpecialOffer(K298,11,"FY-3"),MIN(K277,K292*capacity))</f>
        <v>6880.736636928</v>
      </c>
      <c r="L334" s="268">
        <f>IF(VLOOKUP(L298,ProductsRange,3,FALSE)="Special Offer",SpecialOffer(L298,11,"FY-3"),MIN(L277,L292*capacity))</f>
        <v>817.698009599993</v>
      </c>
      <c r="M334" s="293"/>
      <c r="N334" s="307"/>
      <c r="O334" s="317"/>
      <c r="P334" s="317"/>
      <c r="R334" s="318"/>
      <c r="S334" s="318"/>
    </row>
    <row r="335" s="140" customFormat="1" hidden="1" spans="1:19">
      <c r="A335" s="303"/>
      <c r="B335" s="312" t="s">
        <v>105</v>
      </c>
      <c r="C335" s="96" t="s">
        <v>267</v>
      </c>
      <c r="D335" s="268">
        <f>IF(VLOOKUP(D298,ProductsRange,3,FALSE)="Special Offer",SpecialOffer(D298,12,"FY-3"),MIN(D278,D293*capacity))</f>
        <v>1780.39060480512</v>
      </c>
      <c r="E335" s="268">
        <f>IF(VLOOKUP(E298,ProductsRange,3,FALSE)="Special Offer",SpecialOffer(E298,12,"FY-3"),MIN(E278,E293*capacity))</f>
        <v>1702.98231763968</v>
      </c>
      <c r="F335" s="268">
        <f>IF(VLOOKUP(F298,ProductsRange,3,FALSE)="Special Offer",SpecialOffer(F298,12,"FY-3"),MIN(F278,F293*capacity))</f>
        <v>1161.1243074816</v>
      </c>
      <c r="G335" s="268">
        <f>IF(VLOOKUP(G298,ProductsRange,3,FALSE)="Special Offer",SpecialOffer(G298,12,"FY-3"),MIN(G278,G293*capacity))</f>
        <v>1006.30773315072</v>
      </c>
      <c r="H335" s="268">
        <f>IF(VLOOKUP(H298,ProductsRange,3,FALSE)="Special Offer",SpecialOffer(H298,12,"FY-3"),MIN(H278,H293*capacity))</f>
        <v>1006.30773315072</v>
      </c>
      <c r="I335" s="268">
        <f>IF(VLOOKUP(I298,ProductsRange,3,FALSE)="Special Offer",SpecialOffer(I298,12,"FY-3"),MIN(I278,I293*capacity))</f>
        <v>1083.71602031616</v>
      </c>
      <c r="J335" s="268">
        <f>IF(VLOOKUP(J298,ProductsRange,3,FALSE)="Special Offer",SpecialOffer(J298,12,"FY-3"),MIN(J278,J293*capacity))</f>
        <v>6880.736636928</v>
      </c>
      <c r="K335" s="268">
        <f>IF(VLOOKUP(K298,ProductsRange,3,FALSE)="Special Offer",SpecialOffer(K298,12,"FY-3"),MIN(K278,K293*capacity))</f>
        <v>6880.736636928</v>
      </c>
      <c r="L335" s="268">
        <f>IF(VLOOKUP(L298,ProductsRange,3,FALSE)="Special Offer",SpecialOffer(L298,12,"FY-3"),MIN(L278,L293*capacity))</f>
        <v>817.698009599993</v>
      </c>
      <c r="M335" s="293"/>
      <c r="N335" s="307"/>
      <c r="O335" s="317"/>
      <c r="P335" s="317"/>
      <c r="R335" s="318"/>
      <c r="S335" s="318"/>
    </row>
    <row r="336" s="140" customFormat="1" hidden="1" spans="1:19">
      <c r="A336" s="303"/>
      <c r="D336" s="268"/>
      <c r="E336" s="268"/>
      <c r="F336" s="268"/>
      <c r="G336" s="268"/>
      <c r="H336" s="268"/>
      <c r="I336" s="268"/>
      <c r="J336" s="293"/>
      <c r="K336" s="322"/>
      <c r="L336" s="293"/>
      <c r="M336" s="293"/>
      <c r="N336" s="307"/>
      <c r="O336" s="317"/>
      <c r="P336" s="317"/>
      <c r="R336" s="318"/>
      <c r="S336" s="318"/>
    </row>
    <row r="337" s="140" customFormat="1" hidden="1" spans="1:19">
      <c r="A337" s="303"/>
      <c r="D337" s="268"/>
      <c r="E337" s="268"/>
      <c r="F337" s="268"/>
      <c r="G337" s="268"/>
      <c r="H337" s="268"/>
      <c r="I337" s="268"/>
      <c r="J337" s="293"/>
      <c r="K337" s="322"/>
      <c r="L337" s="293"/>
      <c r="M337" s="293"/>
      <c r="N337" s="307"/>
      <c r="O337" s="317"/>
      <c r="P337" s="317"/>
      <c r="R337" s="318"/>
      <c r="S337" s="318"/>
    </row>
    <row r="338" s="140" customFormat="1" hidden="1" spans="1:19">
      <c r="A338" s="303"/>
      <c r="D338" s="268"/>
      <c r="E338" s="268"/>
      <c r="F338" s="268"/>
      <c r="G338" s="268"/>
      <c r="H338" s="268"/>
      <c r="I338" s="268"/>
      <c r="J338" s="293"/>
      <c r="K338" s="322"/>
      <c r="L338" s="293"/>
      <c r="M338" s="293"/>
      <c r="N338" s="307"/>
      <c r="O338" s="317"/>
      <c r="P338" s="317"/>
      <c r="R338" s="318"/>
      <c r="S338" s="318"/>
    </row>
    <row r="339" s="140" customFormat="1" hidden="1" spans="1:21">
      <c r="A339" s="303"/>
      <c r="D339" s="303"/>
      <c r="O339" s="308"/>
      <c r="P339" s="308"/>
      <c r="R339" s="308"/>
      <c r="S339" s="308"/>
      <c r="T339" s="203"/>
      <c r="U339" s="203"/>
    </row>
    <row r="340" s="140" customFormat="1" ht="15.75" hidden="1" spans="1:21">
      <c r="A340" s="1471">
        <v>7</v>
      </c>
      <c r="B340" s="1428" t="s">
        <v>275</v>
      </c>
      <c r="C340" s="1428"/>
      <c r="D340" s="1481"/>
      <c r="E340" s="1471"/>
      <c r="F340" s="1471"/>
      <c r="G340" s="1471"/>
      <c r="H340" s="1438"/>
      <c r="I340" s="1438"/>
      <c r="O340" s="308"/>
      <c r="P340" s="308"/>
      <c r="R340" s="308"/>
      <c r="S340" s="308"/>
      <c r="T340" s="203"/>
      <c r="U340" s="203"/>
    </row>
    <row r="341" s="140" customFormat="1" hidden="1" spans="1:21">
      <c r="A341" s="1476"/>
      <c r="B341" s="203"/>
      <c r="C341" s="203"/>
      <c r="D341" s="1475"/>
      <c r="E341" s="1476"/>
      <c r="F341" s="1476"/>
      <c r="G341" s="1476"/>
      <c r="H341" s="203"/>
      <c r="I341" s="203"/>
      <c r="J341" s="203"/>
      <c r="K341" s="203"/>
      <c r="O341" s="308"/>
      <c r="P341" s="308"/>
      <c r="R341" s="308"/>
      <c r="S341" s="308"/>
      <c r="T341" s="203"/>
      <c r="U341" s="203"/>
    </row>
    <row r="342" s="140" customFormat="1" hidden="1" spans="1:21">
      <c r="A342" s="259">
        <v>7.1</v>
      </c>
      <c r="B342" s="298" t="s">
        <v>276</v>
      </c>
      <c r="C342" s="298"/>
      <c r="D342" s="1475"/>
      <c r="E342" s="1476"/>
      <c r="F342" s="1476"/>
      <c r="G342" s="1476"/>
      <c r="H342" s="203"/>
      <c r="I342" s="203"/>
      <c r="J342" s="203"/>
      <c r="K342" s="203"/>
      <c r="O342" s="308"/>
      <c r="P342" s="308"/>
      <c r="R342" s="308"/>
      <c r="S342" s="308"/>
      <c r="T342" s="203"/>
      <c r="U342" s="203"/>
    </row>
    <row r="343" s="140" customFormat="1" hidden="1" spans="1:21">
      <c r="A343" s="1476"/>
      <c r="B343" s="203"/>
      <c r="C343" s="203"/>
      <c r="D343" s="1475"/>
      <c r="E343" s="1476"/>
      <c r="F343" s="1476"/>
      <c r="G343" s="1476"/>
      <c r="O343" s="315"/>
      <c r="P343" s="315"/>
      <c r="Q343" s="203"/>
      <c r="R343" s="315"/>
      <c r="S343" s="315"/>
      <c r="T343" s="205"/>
      <c r="U343" s="205"/>
    </row>
    <row r="344" s="140" customFormat="1" hidden="1" spans="1:21">
      <c r="A344" s="1482"/>
      <c r="B344" s="1483" t="s">
        <v>277</v>
      </c>
      <c r="C344" s="1484" t="s">
        <v>117</v>
      </c>
      <c r="D344" s="1485">
        <v>1240</v>
      </c>
      <c r="E344" s="1476"/>
      <c r="F344" s="203"/>
      <c r="G344" s="203"/>
      <c r="O344" s="315"/>
      <c r="P344" s="315"/>
      <c r="Q344" s="203"/>
      <c r="R344" s="315"/>
      <c r="S344" s="315"/>
      <c r="T344" s="205"/>
      <c r="U344" s="205"/>
    </row>
    <row r="345" s="140" customFormat="1" hidden="1" spans="1:21">
      <c r="A345" s="1486"/>
      <c r="B345" s="1483" t="s">
        <v>277</v>
      </c>
      <c r="C345" s="1484" t="s">
        <v>270</v>
      </c>
      <c r="D345" s="1487">
        <v>10</v>
      </c>
      <c r="E345" s="1476"/>
      <c r="F345" s="203"/>
      <c r="G345" s="203"/>
      <c r="O345" s="315"/>
      <c r="P345" s="315"/>
      <c r="Q345" s="203"/>
      <c r="R345" s="315"/>
      <c r="S345" s="315"/>
      <c r="T345" s="205"/>
      <c r="U345" s="205"/>
    </row>
    <row r="346" s="140" customFormat="1" hidden="1" spans="1:21">
      <c r="A346" s="1488"/>
      <c r="B346" s="1489" t="s">
        <v>278</v>
      </c>
      <c r="C346" s="1484" t="s">
        <v>117</v>
      </c>
      <c r="D346" s="1485">
        <v>124</v>
      </c>
      <c r="E346" s="1476"/>
      <c r="F346" s="203"/>
      <c r="G346" s="203"/>
      <c r="O346" s="315"/>
      <c r="P346" s="315"/>
      <c r="Q346" s="203"/>
      <c r="R346" s="315"/>
      <c r="S346" s="315"/>
      <c r="T346" s="205"/>
      <c r="U346" s="205"/>
    </row>
    <row r="347" s="140" customFormat="1" hidden="1" spans="1:19">
      <c r="A347" s="203"/>
      <c r="B347" s="1475"/>
      <c r="C347" s="1476"/>
      <c r="D347" s="1490"/>
      <c r="E347" s="1476"/>
      <c r="F347" s="203"/>
      <c r="G347" s="203"/>
      <c r="O347" s="315"/>
      <c r="P347" s="315"/>
      <c r="Q347" s="203"/>
      <c r="R347" s="315"/>
      <c r="S347" s="315"/>
    </row>
    <row r="348" s="140" customFormat="1" hidden="1" spans="1:19">
      <c r="A348" s="203"/>
      <c r="B348" s="1475"/>
      <c r="C348" s="1476"/>
      <c r="D348" s="1491"/>
      <c r="E348" s="1476"/>
      <c r="F348" s="203"/>
      <c r="G348" s="203"/>
      <c r="O348" s="315"/>
      <c r="P348" s="315"/>
      <c r="Q348" s="203"/>
      <c r="R348" s="315"/>
      <c r="S348" s="315"/>
    </row>
    <row r="349" s="140" customFormat="1" hidden="1" spans="1:19">
      <c r="A349" s="259">
        <v>7.2</v>
      </c>
      <c r="B349" s="1475"/>
      <c r="C349" s="1476"/>
      <c r="D349" s="1477"/>
      <c r="E349" s="1476"/>
      <c r="F349" s="203"/>
      <c r="G349" s="203"/>
      <c r="O349" s="315"/>
      <c r="P349" s="315"/>
      <c r="Q349" s="203"/>
      <c r="R349" s="315"/>
      <c r="S349" s="315"/>
    </row>
    <row r="350" s="140" customFormat="1" ht="13.5" hidden="1" spans="1:19">
      <c r="A350" s="203"/>
      <c r="B350" s="203"/>
      <c r="C350" s="203"/>
      <c r="D350" s="203"/>
      <c r="E350" s="203"/>
      <c r="F350" s="203"/>
      <c r="G350" s="203"/>
      <c r="H350" s="203"/>
      <c r="O350" s="315"/>
      <c r="P350" s="315"/>
      <c r="Q350" s="203"/>
      <c r="R350" s="315"/>
      <c r="S350" s="315"/>
    </row>
    <row r="351" s="140" customFormat="1" hidden="1" spans="2:7">
      <c r="B351" s="1492" t="s">
        <v>279</v>
      </c>
      <c r="C351" s="1493"/>
      <c r="D351" s="1494"/>
      <c r="E351" s="1492" t="s">
        <v>280</v>
      </c>
      <c r="F351" s="1495"/>
      <c r="G351" s="1496"/>
    </row>
    <row r="352" s="140" customFormat="1" hidden="1" spans="2:7">
      <c r="B352" s="1497" t="s">
        <v>281</v>
      </c>
      <c r="C352" s="1498" t="s">
        <v>282</v>
      </c>
      <c r="D352" s="1499" t="s">
        <v>283</v>
      </c>
      <c r="E352" s="1500" t="s">
        <v>284</v>
      </c>
      <c r="F352" s="1498" t="s">
        <v>285</v>
      </c>
      <c r="G352" s="1499" t="s">
        <v>286</v>
      </c>
    </row>
    <row r="353" s="140" customFormat="1" hidden="1" spans="2:7">
      <c r="B353" s="1501"/>
      <c r="C353" s="1502"/>
      <c r="D353" s="1503"/>
      <c r="E353" s="1504" t="s">
        <v>287</v>
      </c>
      <c r="F353" s="1502" t="s">
        <v>288</v>
      </c>
      <c r="G353" s="1503" t="s">
        <v>289</v>
      </c>
    </row>
    <row r="354" s="140" customFormat="1" hidden="1" spans="2:7">
      <c r="B354" s="1505">
        <v>1</v>
      </c>
      <c r="C354" s="1506">
        <v>155</v>
      </c>
      <c r="D354" s="1507">
        <v>1240</v>
      </c>
      <c r="E354" s="1508">
        <v>1240</v>
      </c>
      <c r="F354" s="1509">
        <v>4960</v>
      </c>
      <c r="G354" s="1507">
        <v>59520</v>
      </c>
    </row>
    <row r="355" s="140" customFormat="1" hidden="1" spans="2:7">
      <c r="B355" s="1505">
        <v>2</v>
      </c>
      <c r="C355" s="1506">
        <v>155</v>
      </c>
      <c r="D355" s="1507">
        <v>1240</v>
      </c>
      <c r="E355" s="1508">
        <v>1240</v>
      </c>
      <c r="F355" s="1509">
        <v>4960</v>
      </c>
      <c r="G355" s="1507">
        <v>59520</v>
      </c>
    </row>
    <row r="356" s="140" customFormat="1" hidden="1" spans="2:7">
      <c r="B356" s="1505">
        <v>3</v>
      </c>
      <c r="C356" s="1506">
        <v>155</v>
      </c>
      <c r="D356" s="1507">
        <v>1240</v>
      </c>
      <c r="E356" s="1508">
        <v>1240</v>
      </c>
      <c r="F356" s="1509">
        <v>4960</v>
      </c>
      <c r="G356" s="1507">
        <v>59520</v>
      </c>
    </row>
    <row r="357" s="140" customFormat="1" hidden="1" spans="2:7">
      <c r="B357" s="1505">
        <v>4</v>
      </c>
      <c r="C357" s="1506">
        <v>155</v>
      </c>
      <c r="D357" s="1507">
        <v>1240</v>
      </c>
      <c r="E357" s="1508">
        <v>1240</v>
      </c>
      <c r="F357" s="1509">
        <v>4960</v>
      </c>
      <c r="G357" s="1507">
        <v>59520</v>
      </c>
    </row>
    <row r="358" s="140" customFormat="1" hidden="1" spans="2:7">
      <c r="B358" s="1505">
        <v>5</v>
      </c>
      <c r="C358" s="1506">
        <v>155</v>
      </c>
      <c r="D358" s="1507">
        <v>1240</v>
      </c>
      <c r="E358" s="1508">
        <v>1240</v>
      </c>
      <c r="F358" s="1509">
        <v>4960</v>
      </c>
      <c r="G358" s="1507">
        <v>59520</v>
      </c>
    </row>
    <row r="359" s="140" customFormat="1" hidden="1" spans="2:7">
      <c r="B359" s="1505">
        <v>6</v>
      </c>
      <c r="C359" s="1506">
        <v>155</v>
      </c>
      <c r="D359" s="1507">
        <v>1240</v>
      </c>
      <c r="E359" s="1508">
        <v>1240</v>
      </c>
      <c r="F359" s="1509">
        <v>4960</v>
      </c>
      <c r="G359" s="1507">
        <v>59520</v>
      </c>
    </row>
    <row r="360" s="140" customFormat="1" hidden="1" spans="2:7">
      <c r="B360" s="1505">
        <v>7</v>
      </c>
      <c r="C360" s="1506">
        <v>155</v>
      </c>
      <c r="D360" s="1507">
        <v>1240</v>
      </c>
      <c r="E360" s="1508">
        <v>1240</v>
      </c>
      <c r="F360" s="1509">
        <v>4960</v>
      </c>
      <c r="G360" s="1507">
        <v>59520</v>
      </c>
    </row>
    <row r="361" s="140" customFormat="1" hidden="1" spans="2:7">
      <c r="B361" s="1505">
        <v>8</v>
      </c>
      <c r="C361" s="1506">
        <v>155</v>
      </c>
      <c r="D361" s="1507">
        <v>1240</v>
      </c>
      <c r="E361" s="1508">
        <v>1240</v>
      </c>
      <c r="F361" s="1509">
        <v>4960</v>
      </c>
      <c r="G361" s="1507">
        <v>59520</v>
      </c>
    </row>
    <row r="362" s="140" customFormat="1" ht="13.5" hidden="1"/>
    <row r="363" s="140" customFormat="1" ht="13.5" hidden="1" spans="2:7">
      <c r="B363" s="1510" t="s">
        <v>142</v>
      </c>
      <c r="C363" s="1511">
        <f>SUM(C354:C362)</f>
        <v>1240</v>
      </c>
      <c r="D363" s="1511">
        <f>SUM(D354:D362)</f>
        <v>9920</v>
      </c>
      <c r="E363" s="1511">
        <f>SUM(E354:E362)</f>
        <v>9920</v>
      </c>
      <c r="F363" s="1511">
        <f>SUM(F354:F362)</f>
        <v>39680</v>
      </c>
      <c r="G363" s="1512">
        <f>SUM(G354:G362)</f>
        <v>476160</v>
      </c>
    </row>
    <row r="364" s="140" customFormat="1" hidden="1"/>
    <row r="365" s="140" customFormat="1" hidden="1"/>
    <row r="366" s="140" customFormat="1" hidden="1"/>
    <row r="367" s="140" customFormat="1" hidden="1"/>
    <row r="368" s="140" customFormat="1"/>
    <row r="369" s="140" customFormat="1"/>
    <row r="370" s="140" customFormat="1"/>
    <row r="371" s="140" customFormat="1"/>
    <row r="372" s="140" customFormat="1"/>
    <row r="373" s="140" customFormat="1"/>
    <row r="374" s="140" customFormat="1"/>
    <row r="375" s="140" customFormat="1"/>
    <row r="376" s="140" customFormat="1"/>
    <row r="377" s="140" customFormat="1"/>
    <row r="378" s="140" customFormat="1"/>
    <row r="379" s="140" customFormat="1"/>
    <row r="380" s="140" customFormat="1"/>
    <row r="381" s="140" customFormat="1"/>
    <row r="382" s="140" customFormat="1"/>
    <row r="383" s="140" customFormat="1"/>
    <row r="384" s="140" customFormat="1"/>
    <row r="385" s="140" customFormat="1"/>
    <row r="386" s="140" customFormat="1"/>
    <row r="387" s="140" customFormat="1"/>
    <row r="388" s="140" customFormat="1"/>
    <row r="389" s="140" customFormat="1"/>
    <row r="390" s="140" customFormat="1"/>
    <row r="391" s="140" customFormat="1"/>
    <row r="392" s="140" customFormat="1"/>
    <row r="393" s="140" customFormat="1"/>
    <row r="394" s="140" customFormat="1"/>
    <row r="395" s="140" customFormat="1"/>
    <row r="396" s="140" customFormat="1"/>
    <row r="397" s="140" customFormat="1"/>
    <row r="398" s="140" customFormat="1"/>
    <row r="399" s="140" customFormat="1"/>
    <row r="400" s="140" customFormat="1"/>
    <row r="401" s="140" customFormat="1"/>
    <row r="402" s="140" customFormat="1"/>
    <row r="403" s="140" customFormat="1"/>
    <row r="404" s="140" customFormat="1"/>
    <row r="405" s="140" customFormat="1"/>
    <row r="406" s="140" customFormat="1"/>
    <row r="407" s="140" customFormat="1"/>
    <row r="408" s="140" customFormat="1"/>
    <row r="409" s="140" customFormat="1"/>
    <row r="410" s="140" customFormat="1"/>
    <row r="411" s="140" customFormat="1"/>
    <row r="412" s="140" customFormat="1"/>
    <row r="413" s="140" customFormat="1"/>
    <row r="414" s="140" customFormat="1"/>
    <row r="415" s="140" customFormat="1"/>
    <row r="416" s="140" customFormat="1"/>
    <row r="417" s="140" customFormat="1"/>
    <row r="418" s="140" customFormat="1"/>
    <row r="419" s="140" customFormat="1"/>
    <row r="420" s="140" customFormat="1"/>
    <row r="421" s="140" customFormat="1"/>
    <row r="422" s="140" customFormat="1"/>
    <row r="423" s="140" customFormat="1"/>
    <row r="424" s="140" customFormat="1"/>
    <row r="425" s="140" customFormat="1"/>
    <row r="426" s="140" customFormat="1"/>
    <row r="427" s="140" customFormat="1"/>
    <row r="428" s="140" customFormat="1"/>
    <row r="429" s="140" customFormat="1"/>
    <row r="430" s="140" customFormat="1"/>
    <row r="431" s="140" customFormat="1"/>
    <row r="432" s="140" customFormat="1"/>
    <row r="433" s="140" customFormat="1"/>
    <row r="434" s="140" customFormat="1"/>
    <row r="435" s="140" customFormat="1"/>
    <row r="436" s="140" customFormat="1"/>
    <row r="437" s="140" customFormat="1"/>
    <row r="438" s="140" customFormat="1"/>
    <row r="439" s="140" customFormat="1"/>
    <row r="440" s="140" customFormat="1"/>
    <row r="441" s="140" customFormat="1"/>
    <row r="442" s="140" customFormat="1"/>
    <row r="443" s="140" customFormat="1"/>
    <row r="444" s="140" customFormat="1"/>
    <row r="445" s="140" customFormat="1"/>
    <row r="446" s="140" customFormat="1"/>
    <row r="447" s="140" customFormat="1"/>
    <row r="448" s="140" customFormat="1"/>
    <row r="449" s="140" customFormat="1"/>
    <row r="450" s="140" customFormat="1"/>
    <row r="451" s="140" customFormat="1"/>
    <row r="452" s="140" customFormat="1"/>
    <row r="453" s="140" customFormat="1"/>
    <row r="454" s="140" customFormat="1"/>
    <row r="455" s="140" customFormat="1"/>
    <row r="456" s="140" customFormat="1"/>
    <row r="457" s="140" customFormat="1"/>
    <row r="458" s="140" customFormat="1"/>
    <row r="459" s="140" customFormat="1"/>
    <row r="460" s="140" customFormat="1"/>
    <row r="461" s="140" customFormat="1"/>
    <row r="462" s="140" customFormat="1"/>
    <row r="463" s="140" customFormat="1"/>
    <row r="464" s="140" customFormat="1"/>
    <row r="465" s="140" customFormat="1"/>
    <row r="466" s="140" customFormat="1"/>
    <row r="467" s="140" customFormat="1"/>
    <row r="468" s="140" customFormat="1"/>
    <row r="469" s="140" customFormat="1"/>
    <row r="470" s="140" customFormat="1"/>
    <row r="471" s="140" customFormat="1"/>
    <row r="472" s="140" customFormat="1"/>
    <row r="473" s="140" customFormat="1"/>
    <row r="474" s="140" customFormat="1"/>
    <row r="475" s="140" customFormat="1"/>
    <row r="476" s="140" customFormat="1"/>
    <row r="477" s="140" customFormat="1"/>
    <row r="478" s="140" customFormat="1"/>
    <row r="479" s="140" customFormat="1"/>
    <row r="480" s="140" customFormat="1"/>
    <row r="481" s="140" customFormat="1"/>
    <row r="482" s="140" customFormat="1"/>
    <row r="483" s="140" customFormat="1"/>
    <row r="484" s="140" customFormat="1"/>
    <row r="485" s="140" customFormat="1"/>
    <row r="486" s="140" customFormat="1"/>
    <row r="487" s="140" customFormat="1"/>
    <row r="488" s="140" customFormat="1"/>
    <row r="489" s="140" customFormat="1"/>
    <row r="490" s="140" customFormat="1"/>
    <row r="491" s="140" customFormat="1"/>
    <row r="492" s="140" customFormat="1"/>
    <row r="493" s="140" customFormat="1"/>
    <row r="494" s="140" customFormat="1"/>
    <row r="495" s="140" customFormat="1"/>
    <row r="496" s="140" customFormat="1"/>
    <row r="497" s="140" customFormat="1"/>
    <row r="498" s="140" customFormat="1"/>
    <row r="499" s="140" customFormat="1"/>
    <row r="500" s="140" customFormat="1"/>
    <row r="501" s="140" customFormat="1"/>
    <row r="502" s="140" customFormat="1"/>
    <row r="503" s="140" customFormat="1"/>
    <row r="504" s="140" customFormat="1"/>
    <row r="505" s="140" customFormat="1"/>
    <row r="506" s="140" customFormat="1"/>
    <row r="507" s="140" customFormat="1"/>
    <row r="508" s="140" customFormat="1"/>
    <row r="509" s="140" customFormat="1"/>
    <row r="510" s="140" customFormat="1"/>
    <row r="511" s="140" customFormat="1"/>
    <row r="512" s="140" customFormat="1"/>
    <row r="513" s="140" customFormat="1"/>
    <row r="514" s="140" customFormat="1"/>
    <row r="515" s="140" customFormat="1"/>
    <row r="516" s="140" customFormat="1"/>
    <row r="517" s="140" customFormat="1"/>
    <row r="518" s="140" customFormat="1"/>
    <row r="519" s="140" customFormat="1"/>
    <row r="520" s="140" customFormat="1"/>
    <row r="521" s="140" customFormat="1"/>
    <row r="522" s="140" customFormat="1"/>
    <row r="523" s="140" customFormat="1"/>
    <row r="524" s="140" customFormat="1"/>
    <row r="525" s="140" customFormat="1"/>
    <row r="526" s="140" customFormat="1"/>
    <row r="527" s="140" customFormat="1"/>
    <row r="528" s="140" customFormat="1"/>
    <row r="529" s="140" customFormat="1"/>
    <row r="530" s="140" customFormat="1"/>
    <row r="531" s="140" customFormat="1"/>
    <row r="532" s="140" customFormat="1"/>
    <row r="533" s="140" customFormat="1"/>
    <row r="534" s="140" customFormat="1"/>
    <row r="535" s="140" customFormat="1"/>
    <row r="536" s="140" customFormat="1"/>
    <row r="537" s="140" customFormat="1"/>
    <row r="538" s="140" customFormat="1"/>
    <row r="539" s="140" customFormat="1"/>
    <row r="540" s="140" customFormat="1"/>
    <row r="541" s="140" customFormat="1"/>
    <row r="542" s="140" customFormat="1"/>
    <row r="543" s="140" customFormat="1"/>
    <row r="544" s="140" customFormat="1"/>
    <row r="545" s="140" customFormat="1"/>
    <row r="546" s="140" customFormat="1"/>
    <row r="547" s="140" customFormat="1"/>
    <row r="548" s="140" customFormat="1"/>
    <row r="549" s="140" customFormat="1"/>
    <row r="550" s="140" customFormat="1"/>
    <row r="551" s="140" customFormat="1"/>
    <row r="552" s="140" customFormat="1"/>
    <row r="553" s="140" customFormat="1"/>
    <row r="554" s="140" customFormat="1"/>
    <row r="555" s="140" customFormat="1"/>
    <row r="556" s="140" customFormat="1"/>
    <row r="557" s="140" customFormat="1"/>
    <row r="558" s="140" customFormat="1"/>
    <row r="559" s="140" customFormat="1"/>
    <row r="560" s="140" customFormat="1"/>
    <row r="561" s="140" customFormat="1"/>
    <row r="562" s="140" customFormat="1"/>
    <row r="563" s="140" customFormat="1"/>
    <row r="564" s="140" customFormat="1"/>
    <row r="565" s="140" customFormat="1"/>
    <row r="566" s="140" customFormat="1"/>
    <row r="567" s="140" customFormat="1"/>
    <row r="568" s="140" customFormat="1"/>
    <row r="569" s="140" customFormat="1"/>
    <row r="570" s="140" customFormat="1"/>
    <row r="571" s="140" customFormat="1"/>
    <row r="572" s="140" customFormat="1"/>
    <row r="573" s="140" customFormat="1"/>
    <row r="574" s="140" customFormat="1"/>
    <row r="575" s="140" customFormat="1"/>
    <row r="576" s="140" customFormat="1"/>
    <row r="577" s="140" customFormat="1"/>
    <row r="578" s="140" customFormat="1"/>
    <row r="579" s="140" customFormat="1"/>
    <row r="580" s="140" customFormat="1"/>
    <row r="581" s="140" customFormat="1"/>
    <row r="582" s="140" customFormat="1"/>
    <row r="583" s="140" customFormat="1"/>
    <row r="584" s="140" customFormat="1"/>
    <row r="585" s="140" customFormat="1"/>
    <row r="586" s="140" customFormat="1"/>
    <row r="587" s="140" customFormat="1"/>
    <row r="588" s="140" customFormat="1"/>
    <row r="589" s="140" customFormat="1"/>
    <row r="590" s="140" customFormat="1"/>
    <row r="591" s="140" customFormat="1"/>
    <row r="592" s="140" customFormat="1"/>
    <row r="593" s="140" customFormat="1"/>
    <row r="594" s="140" customFormat="1"/>
    <row r="595" s="140" customFormat="1"/>
    <row r="596" s="140" customFormat="1"/>
    <row r="597" s="140" customFormat="1"/>
    <row r="598" s="140" customFormat="1"/>
    <row r="599" s="140" customFormat="1"/>
    <row r="600" s="140" customFormat="1"/>
    <row r="601" s="140" customFormat="1"/>
    <row r="602" s="140" customFormat="1"/>
    <row r="603" s="140" customFormat="1"/>
    <row r="604" s="140" customFormat="1"/>
    <row r="605" s="140" customFormat="1"/>
    <row r="606" s="140" customFormat="1"/>
    <row r="607" s="140" customFormat="1"/>
    <row r="608" s="140" customFormat="1"/>
    <row r="609" s="140" customFormat="1"/>
    <row r="610" s="140" customFormat="1"/>
    <row r="611" s="140" customFormat="1"/>
    <row r="612" s="140" customFormat="1"/>
    <row r="613" s="140" customFormat="1"/>
    <row r="614" s="140" customFormat="1"/>
    <row r="615" s="140" customFormat="1"/>
    <row r="616" s="140" customFormat="1"/>
    <row r="617" s="140" customFormat="1"/>
    <row r="618" s="140" customFormat="1"/>
    <row r="619" s="140" customFormat="1"/>
    <row r="620" s="140" customFormat="1"/>
    <row r="621" s="140" customFormat="1"/>
    <row r="622" s="140" customFormat="1"/>
    <row r="623" s="140" customFormat="1"/>
    <row r="624" s="140" customFormat="1"/>
    <row r="625" s="140" customFormat="1"/>
    <row r="626" s="140" customFormat="1"/>
    <row r="627" s="140" customFormat="1"/>
    <row r="628" s="140" customFormat="1"/>
    <row r="629" s="140" customFormat="1"/>
    <row r="630" s="140" customFormat="1"/>
    <row r="631" s="140" customFormat="1"/>
    <row r="632" s="140" customFormat="1"/>
    <row r="633" s="140" customFormat="1"/>
    <row r="634" s="140" customFormat="1"/>
    <row r="635" s="140" customFormat="1"/>
    <row r="636" s="140" customFormat="1"/>
    <row r="637" s="140" customFormat="1"/>
    <row r="638" s="140" customFormat="1"/>
    <row r="639" s="140" customFormat="1"/>
    <row r="640" s="140" customFormat="1"/>
    <row r="641" s="140" customFormat="1"/>
    <row r="642" s="140" customFormat="1"/>
    <row r="643" s="140" customFormat="1"/>
    <row r="644" s="140" customFormat="1"/>
    <row r="645" s="140" customFormat="1"/>
    <row r="646" s="140" customFormat="1"/>
    <row r="647" s="140" customFormat="1"/>
    <row r="648" s="140" customFormat="1"/>
    <row r="649" s="140" customFormat="1"/>
    <row r="650" s="140" customFormat="1"/>
    <row r="651" s="140" customFormat="1"/>
    <row r="652" s="140" customFormat="1"/>
    <row r="653" s="140" customFormat="1"/>
    <row r="654" s="140" customFormat="1"/>
    <row r="655" s="140" customFormat="1"/>
    <row r="656" s="140" customFormat="1"/>
    <row r="657" s="140" customFormat="1"/>
    <row r="658" s="140" customFormat="1"/>
    <row r="659" s="140" customFormat="1"/>
    <row r="660" s="140" customFormat="1"/>
    <row r="661" s="140" customFormat="1"/>
    <row r="662" s="140" customFormat="1"/>
    <row r="663" s="140" customFormat="1"/>
  </sheetData>
  <sheetProtection algorithmName="SHA-512" hashValue="q9p6CRe0Sy4IIpw1RXzXWMEz/KN/i1vnhMq69zI5UYCwGUX7JpsrpI2gma+CiWTsy3ls6HEw93rlJQqTlrNV3A==" saltValue="TtVv2UiB+sn25604N1sPqw==" spinCount="100000" sheet="1" selectLockedCells="1" objects="1" scenarios="1"/>
  <mergeCells count="8">
    <mergeCell ref="F42:G42"/>
    <mergeCell ref="E63:F63"/>
    <mergeCell ref="E76:F76"/>
    <mergeCell ref="F85:G85"/>
    <mergeCell ref="B95:C95"/>
    <mergeCell ref="E125:G125"/>
    <mergeCell ref="M125:O125"/>
    <mergeCell ref="B140:G140"/>
  </mergeCells>
  <conditionalFormatting sqref="D143 F144 H143 J144 L143 N144">
    <cfRule type="cellIs" dxfId="0" priority="4" operator="notEqual">
      <formula>1</formula>
    </cfRule>
  </conditionalFormatting>
  <conditionalFormatting sqref="D160:L161">
    <cfRule type="containsErrors" dxfId="1" priority="1">
      <formula>ISERROR(D160)</formula>
    </cfRule>
  </conditionalFormatting>
  <conditionalFormatting sqref="D220:K220 D265:K265 D175:K175">
    <cfRule type="cellIs" dxfId="0" priority="3" operator="notEqual">
      <formula>1</formula>
    </cfRule>
  </conditionalFormatting>
  <conditionalFormatting sqref="L220 L265 L175">
    <cfRule type="cellIs" dxfId="0" priority="2" operator="notEqual">
      <formula>1</formula>
    </cfRule>
  </conditionalFormatting>
  <pageMargins left="0.75" right="0.75" top="1" bottom="1" header="0.5" footer="0.5"/>
  <pageSetup paperSize="1" scale="70" orientation="landscape"/>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1"/>
  <legacyDrawing r:id="rId2"/>
  <controls>
    <mc:AlternateContent xmlns:mc="http://schemas.openxmlformats.org/markup-compatibility/2006">
      <mc:Choice Requires="x14">
        <control shapeId="7205" r:id="rId3" name="ComboBox1">
          <controlPr defaultSize="0" r:id="rId4">
            <anchor moveWithCells="1">
              <from>
                <xdr:col>3</xdr:col>
                <xdr:colOff>253365</xdr:colOff>
                <xdr:row>0</xdr:row>
                <xdr:rowOff>86995</xdr:rowOff>
              </from>
              <to>
                <xdr:col>6</xdr:col>
                <xdr:colOff>295910</xdr:colOff>
                <xdr:row>0</xdr:row>
                <xdr:rowOff>339090</xdr:rowOff>
              </to>
            </anchor>
          </controlPr>
        </control>
      </mc:Choice>
      <mc:Fallback>
        <control shapeId="7205" r:id="rId3" name="ComboBox1"/>
      </mc:Fallback>
    </mc:AlternateContent>
    <mc:AlternateContent xmlns:mc="http://schemas.openxmlformats.org/markup-compatibility/2006">
      <mc:Choice Requires="x14">
        <control shapeId="7206" name="Check Box 38" r:id="rId5">
          <controlPr defaultSize="0">
            <anchor moveWithCells="1">
              <from>
                <xdr:col>1</xdr:col>
                <xdr:colOff>142875</xdr:colOff>
                <xdr:row>1</xdr:row>
                <xdr:rowOff>0</xdr:rowOff>
              </from>
              <to>
                <xdr:col>1</xdr:col>
                <xdr:colOff>447675</xdr:colOff>
                <xdr:row>1</xdr:row>
                <xdr:rowOff>218440</xdr:rowOff>
              </to>
            </anchor>
          </controlPr>
        </control>
      </mc:Choice>
    </mc:AlternateContent>
    <mc:AlternateContent xmlns:mc="http://schemas.openxmlformats.org/markup-compatibility/2006">
      <mc:Choice Requires="x14">
        <control shapeId="7207" name="Check Box 39" r:id="rId6">
          <controlPr defaultSize="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name="Check Box 40" r:id="rId7">
          <controlPr defaultSize="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name="Check Box 41" r:id="rId8">
          <controlPr defaultSize="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name="Check Box 42" r:id="rId9">
          <controlPr defaultSize="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00B0F0"/>
    <pageSetUpPr fitToPage="1"/>
  </sheetPr>
  <dimension ref="A1:AW400"/>
  <sheetViews>
    <sheetView showGridLines="0" showRowColHeaders="0" zoomScalePageLayoutView="10" workbookViewId="0">
      <pane ySplit="1" topLeftCell="A2" activePane="bottomLeft" state="frozen"/>
      <selection/>
      <selection pane="bottomLeft" activeCell="D45" sqref="D45"/>
    </sheetView>
  </sheetViews>
  <sheetFormatPr defaultColWidth="9.56666666666667" defaultRowHeight="11.25"/>
  <cols>
    <col min="1" max="1" width="9.56666666666667" style="1226"/>
    <col min="2" max="2" width="23.8583333333333" style="1226" customWidth="1"/>
    <col min="3" max="3" width="19.1416666666667" style="1226" customWidth="1"/>
    <col min="4" max="4" width="10.1416666666667" style="1226" customWidth="1"/>
    <col min="5" max="5" width="8.85833333333333" style="1226" customWidth="1"/>
    <col min="6" max="6" width="8.56666666666667" style="1226" customWidth="1"/>
    <col min="7" max="7" width="10.5666666666667" style="1226" customWidth="1"/>
    <col min="8" max="8" width="9.56666666666667" style="1226" customWidth="1"/>
    <col min="9" max="10" width="9.14166666666667" style="1226" customWidth="1"/>
    <col min="11" max="11" width="8.56666666666667" style="1226" customWidth="1"/>
    <col min="12" max="12" width="11" style="1226" customWidth="1"/>
    <col min="13" max="13" width="8.425" style="1226" customWidth="1"/>
    <col min="14" max="14" width="8.56666666666667" style="1226" customWidth="1"/>
    <col min="15" max="15" width="9.14166666666667" style="1226" customWidth="1"/>
    <col min="16" max="16" width="10.425" style="1226" customWidth="1"/>
    <col min="17" max="17" width="9" style="1226" customWidth="1"/>
    <col min="18" max="18" width="7.425" style="1226" customWidth="1"/>
    <col min="19" max="19" width="7.56666666666667" style="1226" customWidth="1"/>
    <col min="20" max="22" width="7.85833333333333" style="1226" customWidth="1"/>
    <col min="23" max="23" width="7.56666666666667" style="1226" customWidth="1"/>
    <col min="24" max="24" width="8" style="1226" customWidth="1"/>
    <col min="25" max="25" width="7.85833333333333" style="1226" customWidth="1"/>
    <col min="26" max="26" width="7.56666666666667" style="1226" customWidth="1"/>
    <col min="27" max="27" width="8.425" style="1226" customWidth="1"/>
    <col min="28" max="31" width="7.56666666666667" style="1226" customWidth="1"/>
    <col min="32" max="32" width="8" style="1226" customWidth="1"/>
    <col min="33" max="33" width="8.425" style="1226" customWidth="1"/>
    <col min="34" max="38" width="7.56666666666667" style="1226" customWidth="1"/>
    <col min="39" max="39" width="7.85833333333333" style="1226" customWidth="1"/>
    <col min="40" max="40" width="7.56666666666667" style="1226" customWidth="1"/>
    <col min="41" max="41" width="8" style="1226" customWidth="1"/>
    <col min="42" max="42" width="7.85833333333333" style="1226" customWidth="1"/>
    <col min="43" max="43" width="9" style="1226" customWidth="1"/>
    <col min="44" max="46" width="9.425" style="1226" customWidth="1"/>
    <col min="47" max="47" width="9.14166666666667" style="1226" customWidth="1"/>
    <col min="48" max="48" width="13.1416666666667" style="1226" customWidth="1"/>
    <col min="49" max="16384" width="9.56666666666667" style="1226"/>
  </cols>
  <sheetData>
    <row r="1" s="1" customFormat="1" ht="32.1" customHeight="1" spans="11:25">
      <c r="K1" s="1283" t="str">
        <f>"Current Cycle "&amp;CurrentCycle</f>
        <v>Current Cycle 12</v>
      </c>
      <c r="L1" s="1284" t="str">
        <f>"Cycle in Calculation "&amp;CycleInCalculation</f>
        <v>Cycle in Calculation 12</v>
      </c>
      <c r="Q1" s="20"/>
      <c r="R1" s="20"/>
      <c r="S1" s="20"/>
      <c r="T1" s="20"/>
      <c r="U1" s="20"/>
      <c r="V1" s="20"/>
      <c r="W1" s="20"/>
      <c r="X1" s="20"/>
      <c r="Y1" s="20"/>
    </row>
    <row r="2" s="1" customFormat="1" ht="41.25" customHeight="1" spans="12:25">
      <c r="L2" s="20"/>
      <c r="Q2" s="20"/>
      <c r="R2" s="20"/>
      <c r="S2" s="20"/>
      <c r="T2" s="20"/>
      <c r="U2" s="20"/>
      <c r="V2" s="20"/>
      <c r="W2" s="20"/>
      <c r="X2" s="20"/>
      <c r="Y2" s="20"/>
    </row>
    <row r="3" s="1" customFormat="1" ht="12.75" customHeight="1" spans="17:25">
      <c r="Q3" s="20"/>
      <c r="R3" s="20"/>
      <c r="S3" s="20"/>
      <c r="T3" s="20"/>
      <c r="U3" s="20"/>
      <c r="V3" s="20"/>
      <c r="W3" s="20"/>
      <c r="X3" s="20"/>
      <c r="Y3" s="20"/>
    </row>
    <row r="4" s="21" customFormat="1" ht="15.75" spans="2:23">
      <c r="B4" s="326"/>
      <c r="C4" s="326"/>
      <c r="D4" s="1227"/>
      <c r="E4" s="326"/>
      <c r="F4" s="1228"/>
      <c r="G4" s="327"/>
      <c r="H4" s="327"/>
      <c r="I4" s="327"/>
      <c r="J4" s="1228"/>
      <c r="K4" s="327"/>
      <c r="L4" s="327"/>
      <c r="M4" s="327"/>
      <c r="N4" s="327"/>
      <c r="O4" s="327"/>
      <c r="P4" s="327"/>
      <c r="Q4" s="326"/>
      <c r="R4" s="326"/>
      <c r="S4" s="326"/>
      <c r="T4" s="326"/>
      <c r="U4" s="326"/>
      <c r="V4" s="326"/>
      <c r="W4" s="326"/>
    </row>
    <row r="5" s="21" customFormat="1" ht="15.75" spans="1:23">
      <c r="A5" s="1229">
        <v>1</v>
      </c>
      <c r="B5" s="1230" t="s">
        <v>73</v>
      </c>
      <c r="C5" s="1231"/>
      <c r="D5" s="326"/>
      <c r="E5" s="1232"/>
      <c r="F5" s="326"/>
      <c r="G5" s="326"/>
      <c r="H5" s="326"/>
      <c r="I5" s="326"/>
      <c r="J5" s="1232"/>
      <c r="K5" s="326"/>
      <c r="L5" s="326"/>
      <c r="M5" s="326"/>
      <c r="N5" s="326"/>
      <c r="O5" s="326"/>
      <c r="P5" s="326"/>
      <c r="Q5" s="326"/>
      <c r="R5" s="1304"/>
      <c r="S5" s="1304"/>
      <c r="T5" s="1304"/>
      <c r="U5" s="1304"/>
      <c r="V5" s="1304"/>
      <c r="W5" s="326"/>
    </row>
    <row r="6" s="21" customFormat="1" spans="2:23">
      <c r="B6" s="326"/>
      <c r="C6" s="326"/>
      <c r="D6" s="1232" t="s">
        <v>290</v>
      </c>
      <c r="E6" s="326"/>
      <c r="F6" s="326"/>
      <c r="G6" s="326"/>
      <c r="H6" s="326"/>
      <c r="I6" s="1232"/>
      <c r="J6" s="326"/>
      <c r="K6" s="326"/>
      <c r="L6" s="326"/>
      <c r="M6" s="326"/>
      <c r="N6" s="326"/>
      <c r="O6" s="326"/>
      <c r="P6" s="326"/>
      <c r="Q6" s="1304"/>
      <c r="S6" s="1304"/>
      <c r="T6" s="1304"/>
      <c r="U6" s="1304"/>
      <c r="V6" s="1304"/>
      <c r="W6" s="326"/>
    </row>
    <row r="7" s="21" customFormat="1" ht="12" spans="2:23">
      <c r="B7" s="327"/>
      <c r="C7" s="326"/>
      <c r="D7" s="326"/>
      <c r="E7" s="326"/>
      <c r="F7" s="326"/>
      <c r="G7" s="326"/>
      <c r="H7" s="326"/>
      <c r="I7" s="1232"/>
      <c r="J7" s="326"/>
      <c r="K7" s="326"/>
      <c r="L7" s="326"/>
      <c r="M7" s="326"/>
      <c r="N7" s="326"/>
      <c r="O7" s="326"/>
      <c r="P7" s="568"/>
      <c r="Q7" s="4"/>
      <c r="S7" s="4"/>
      <c r="T7" s="4"/>
      <c r="U7" s="4"/>
      <c r="V7" s="4"/>
      <c r="W7" s="7"/>
    </row>
    <row r="8" s="21" customFormat="1" ht="12.75" customHeight="1" spans="2:23">
      <c r="B8" s="1233" t="s">
        <v>291</v>
      </c>
      <c r="C8" s="1234"/>
      <c r="D8" s="1235" t="s">
        <v>256</v>
      </c>
      <c r="E8" s="1236" t="s">
        <v>257</v>
      </c>
      <c r="F8" s="1236" t="s">
        <v>258</v>
      </c>
      <c r="G8" s="1236" t="s">
        <v>259</v>
      </c>
      <c r="H8" s="1236" t="s">
        <v>260</v>
      </c>
      <c r="I8" s="1236" t="s">
        <v>261</v>
      </c>
      <c r="J8" s="1236" t="s">
        <v>262</v>
      </c>
      <c r="K8" s="1236" t="s">
        <v>263</v>
      </c>
      <c r="L8" s="1236" t="s">
        <v>264</v>
      </c>
      <c r="M8" s="1236" t="s">
        <v>265</v>
      </c>
      <c r="N8" s="1236" t="s">
        <v>266</v>
      </c>
      <c r="O8" s="1285" t="s">
        <v>267</v>
      </c>
      <c r="P8" s="1286" t="s">
        <v>292</v>
      </c>
      <c r="Q8" s="7"/>
      <c r="S8" s="7"/>
      <c r="T8" s="7"/>
      <c r="U8" s="7"/>
      <c r="V8" s="7"/>
      <c r="W8" s="7"/>
    </row>
    <row r="9" s="21" customFormat="1" spans="2:23">
      <c r="B9" s="1237"/>
      <c r="C9" s="1238"/>
      <c r="D9" s="563"/>
      <c r="E9" s="563"/>
      <c r="F9" s="563"/>
      <c r="G9" s="563"/>
      <c r="H9" s="563"/>
      <c r="I9" s="563"/>
      <c r="J9" s="563"/>
      <c r="K9" s="563"/>
      <c r="L9" s="563"/>
      <c r="M9" s="563"/>
      <c r="N9" s="563"/>
      <c r="O9" s="563"/>
      <c r="P9" s="1286"/>
      <c r="Q9" s="1305"/>
      <c r="S9" s="4"/>
      <c r="T9" s="4"/>
      <c r="U9" s="4"/>
      <c r="V9" s="4"/>
      <c r="W9" s="366"/>
    </row>
    <row r="10" s="21" customFormat="1" spans="2:23">
      <c r="B10" s="1239" t="s">
        <v>293</v>
      </c>
      <c r="C10" s="1240" t="s">
        <v>103</v>
      </c>
      <c r="D10" s="1241">
        <v>412.921728739295</v>
      </c>
      <c r="E10" s="1241">
        <v>412.921728739295</v>
      </c>
      <c r="F10" s="1241">
        <v>412.921728739295</v>
      </c>
      <c r="G10" s="1241">
        <v>442.26480824064</v>
      </c>
      <c r="H10" s="1241">
        <v>1219.37153419593</v>
      </c>
      <c r="I10" s="1241">
        <v>1270.0462836918</v>
      </c>
      <c r="J10" s="1241">
        <v>1270.0462836918</v>
      </c>
      <c r="K10" s="1241">
        <v>1292.56857855362</v>
      </c>
      <c r="L10" s="1241">
        <v>1292.56857855362</v>
      </c>
      <c r="M10" s="1241">
        <v>1040.5047318612</v>
      </c>
      <c r="N10" s="1241">
        <v>642.393767705383</v>
      </c>
      <c r="O10" s="1241">
        <v>642.393767705383</v>
      </c>
      <c r="P10" s="1287">
        <f>SUM(D10:O10)</f>
        <v>10350.9235204173</v>
      </c>
      <c r="Q10" s="1306" t="s">
        <v>103</v>
      </c>
      <c r="S10" s="1307"/>
      <c r="T10" s="1307"/>
      <c r="U10" s="1307"/>
      <c r="V10" s="1307"/>
      <c r="W10" s="1308"/>
    </row>
    <row r="11" s="21" customFormat="1" spans="2:23">
      <c r="B11" s="1239"/>
      <c r="C11" s="1242" t="s">
        <v>104</v>
      </c>
      <c r="D11" s="1243">
        <v>391.184905660377</v>
      </c>
      <c r="E11" s="1243">
        <v>391.184905660377</v>
      </c>
      <c r="F11" s="1243">
        <v>391.184905660377</v>
      </c>
      <c r="G11" s="1243">
        <v>470.79802167552</v>
      </c>
      <c r="H11" s="1243">
        <v>1318.04195804196</v>
      </c>
      <c r="I11" s="1243">
        <v>1332.44215938303</v>
      </c>
      <c r="J11" s="1243">
        <v>1332.44215938303</v>
      </c>
      <c r="K11" s="1243">
        <v>1374.44902769593</v>
      </c>
      <c r="L11" s="1243">
        <v>1374.44902769593</v>
      </c>
      <c r="M11" s="1243">
        <v>1123.24195470799</v>
      </c>
      <c r="N11" s="1243">
        <v>612.154546988358</v>
      </c>
      <c r="O11" s="1243">
        <v>612.154546988358</v>
      </c>
      <c r="P11" s="1288">
        <f>SUM(D11:O11)</f>
        <v>10723.7281195412</v>
      </c>
      <c r="Q11" s="1309" t="s">
        <v>104</v>
      </c>
      <c r="S11" s="1307"/>
      <c r="T11" s="1307"/>
      <c r="U11" s="1307"/>
      <c r="V11" s="1307"/>
      <c r="W11" s="1308"/>
    </row>
    <row r="12" s="1223" customFormat="1" spans="2:23">
      <c r="B12" s="1239"/>
      <c r="C12" s="1240" t="s">
        <v>105</v>
      </c>
      <c r="D12" s="1241">
        <v>663.4996042752</v>
      </c>
      <c r="E12" s="1241">
        <v>663.4996042752</v>
      </c>
      <c r="F12" s="1241">
        <v>663.4996042752</v>
      </c>
      <c r="G12" s="1241">
        <v>645.224839400428</v>
      </c>
      <c r="H12" s="1241">
        <v>1927.8310940499</v>
      </c>
      <c r="I12" s="1241">
        <v>1880.3120124805</v>
      </c>
      <c r="J12" s="1241">
        <v>1880.3120124805</v>
      </c>
      <c r="K12" s="1241">
        <v>1969.41176470588</v>
      </c>
      <c r="L12" s="1241">
        <v>1969.41176470588</v>
      </c>
      <c r="M12" s="1241">
        <v>1649.26108374384</v>
      </c>
      <c r="N12" s="1241">
        <v>1050.94170403587</v>
      </c>
      <c r="O12" s="1241">
        <v>1050.94170403587</v>
      </c>
      <c r="P12" s="1287">
        <f>SUM(D12:O12)</f>
        <v>16014.1467924643</v>
      </c>
      <c r="Q12" s="1306" t="s">
        <v>105</v>
      </c>
      <c r="S12" s="1307"/>
      <c r="T12" s="1307"/>
      <c r="U12" s="1307"/>
      <c r="V12" s="1307"/>
      <c r="W12" s="1308"/>
    </row>
    <row r="13" s="21" customFormat="1" spans="2:23">
      <c r="B13" s="1239" t="s">
        <v>294</v>
      </c>
      <c r="C13" s="1242" t="s">
        <v>103</v>
      </c>
      <c r="D13" s="1243">
        <v>488.290155440415</v>
      </c>
      <c r="E13" s="1243">
        <v>420.714285714286</v>
      </c>
      <c r="F13" s="1243">
        <v>488.290155440415</v>
      </c>
      <c r="G13" s="1243">
        <v>621.704233095107</v>
      </c>
      <c r="H13" s="1243">
        <v>1216.22822266176</v>
      </c>
      <c r="I13" s="1243">
        <v>1198.30180748214</v>
      </c>
      <c r="J13" s="1243">
        <v>1198.30180748214</v>
      </c>
      <c r="K13" s="1243">
        <v>1127.32721121315</v>
      </c>
      <c r="L13" s="1243">
        <v>1127.32721121315</v>
      </c>
      <c r="M13" s="1243">
        <v>1216.22822266176</v>
      </c>
      <c r="N13" s="1243">
        <v>488.290155440415</v>
      </c>
      <c r="O13" s="1243">
        <v>420.714285714286</v>
      </c>
      <c r="P13" s="1288">
        <f>SUM(D13:O13)</f>
        <v>10011.717753559</v>
      </c>
      <c r="Q13" s="1309" t="s">
        <v>103</v>
      </c>
      <c r="S13" s="1307"/>
      <c r="T13" s="1307"/>
      <c r="U13" s="1307"/>
      <c r="V13" s="1307"/>
      <c r="W13" s="1308"/>
    </row>
    <row r="14" s="21" customFormat="1" spans="2:23">
      <c r="B14" s="1239"/>
      <c r="C14" s="1240" t="s">
        <v>104</v>
      </c>
      <c r="D14" s="1241">
        <v>510.660098522167</v>
      </c>
      <c r="E14" s="1241">
        <v>440.673354871621</v>
      </c>
      <c r="F14" s="1241">
        <v>510.660098522167</v>
      </c>
      <c r="G14" s="1241">
        <v>655.202780996524</v>
      </c>
      <c r="H14" s="1241">
        <v>1280.85667215815</v>
      </c>
      <c r="I14" s="1241">
        <v>1261.04314955564</v>
      </c>
      <c r="J14" s="1241">
        <v>1261.04314955564</v>
      </c>
      <c r="K14" s="1241">
        <v>1294.69455960768</v>
      </c>
      <c r="L14" s="1241">
        <v>1294.69455960768</v>
      </c>
      <c r="M14" s="1241">
        <v>1280.85667215815</v>
      </c>
      <c r="N14" s="1241">
        <v>510.660098522167</v>
      </c>
      <c r="O14" s="1241">
        <v>440.673354871621</v>
      </c>
      <c r="P14" s="1287">
        <f>SUM(D14:O14)</f>
        <v>10741.7185489492</v>
      </c>
      <c r="Q14" s="1306" t="s">
        <v>104</v>
      </c>
      <c r="S14" s="1307"/>
      <c r="T14" s="1307"/>
      <c r="U14" s="1307"/>
      <c r="V14" s="1307"/>
      <c r="W14" s="1308"/>
    </row>
    <row r="15" s="21" customFormat="1" spans="2:23">
      <c r="B15" s="1239"/>
      <c r="C15" s="1242" t="s">
        <v>105</v>
      </c>
      <c r="D15" s="1243">
        <v>984.705882352941</v>
      </c>
      <c r="E15" s="1243">
        <v>858.461538461538</v>
      </c>
      <c r="F15" s="1243">
        <v>984.705882352941</v>
      </c>
      <c r="G15" s="1243">
        <v>997.748344370861</v>
      </c>
      <c r="H15" s="1243">
        <v>1891.52542372881</v>
      </c>
      <c r="I15" s="1243">
        <v>1843.70463078849</v>
      </c>
      <c r="J15" s="1243">
        <v>1843.70463078849</v>
      </c>
      <c r="K15" s="1243">
        <v>1931.84549356223</v>
      </c>
      <c r="L15" s="1243">
        <v>1931.84549356223</v>
      </c>
      <c r="M15" s="1243">
        <v>1891.52542372881</v>
      </c>
      <c r="N15" s="1243">
        <v>984.705882352941</v>
      </c>
      <c r="O15" s="1243">
        <v>858.461538461538</v>
      </c>
      <c r="P15" s="1288">
        <f>SUM(D15:O15)</f>
        <v>17002.9401645118</v>
      </c>
      <c r="Q15" s="1309" t="s">
        <v>105</v>
      </c>
      <c r="S15" s="1307"/>
      <c r="T15" s="1307"/>
      <c r="U15" s="1307"/>
      <c r="V15" s="1307"/>
      <c r="W15" s="1308"/>
    </row>
    <row r="16" s="1223" customFormat="1" spans="2:23">
      <c r="B16" s="1239" t="s">
        <v>295</v>
      </c>
      <c r="C16" s="1244" t="s">
        <v>103</v>
      </c>
      <c r="D16" s="1241">
        <v>0</v>
      </c>
      <c r="E16" s="1241">
        <v>0</v>
      </c>
      <c r="F16" s="1241">
        <v>0</v>
      </c>
      <c r="G16" s="1241">
        <v>0</v>
      </c>
      <c r="H16" s="1241">
        <v>995.09581854144</v>
      </c>
      <c r="I16" s="1241">
        <v>1085.55907477248</v>
      </c>
      <c r="J16" s="1241">
        <v>1085.55907477248</v>
      </c>
      <c r="K16" s="1241">
        <v>1085.55907477248</v>
      </c>
      <c r="L16" s="1241">
        <v>1085.55907477248</v>
      </c>
      <c r="M16" s="1241">
        <v>995.09581854144</v>
      </c>
      <c r="N16" s="1241">
        <v>1240</v>
      </c>
      <c r="O16" s="1241">
        <v>0</v>
      </c>
      <c r="P16" s="1287">
        <f>SUM(D16:O16)</f>
        <v>7572.4279361728</v>
      </c>
      <c r="Q16" s="1306" t="s">
        <v>103</v>
      </c>
      <c r="S16" s="4"/>
      <c r="T16" s="4"/>
      <c r="U16" s="4"/>
      <c r="V16" s="4"/>
      <c r="W16" s="1310"/>
    </row>
    <row r="17" s="1223" customFormat="1" spans="2:23">
      <c r="B17" s="1239"/>
      <c r="C17" s="1245" t="s">
        <v>104</v>
      </c>
      <c r="D17" s="1243">
        <v>0</v>
      </c>
      <c r="E17" s="1243">
        <v>0</v>
      </c>
      <c r="F17" s="1243">
        <v>0</v>
      </c>
      <c r="G17" s="1243">
        <v>0</v>
      </c>
      <c r="H17" s="1243">
        <v>1059.29554876992</v>
      </c>
      <c r="I17" s="1243">
        <v>1155.59514411264</v>
      </c>
      <c r="J17" s="1243">
        <v>1155.59514411264</v>
      </c>
      <c r="K17" s="1243">
        <v>1155.59514411264</v>
      </c>
      <c r="L17" s="1243">
        <v>1155.59514411264</v>
      </c>
      <c r="M17" s="1243">
        <v>1059.29554876992</v>
      </c>
      <c r="N17" s="1243">
        <v>1240</v>
      </c>
      <c r="O17" s="1243">
        <v>0</v>
      </c>
      <c r="P17" s="1288">
        <f>SUM(D17:O17)</f>
        <v>7980.9716739904</v>
      </c>
      <c r="Q17" s="1309" t="s">
        <v>104</v>
      </c>
      <c r="S17" s="4"/>
      <c r="T17" s="4"/>
      <c r="U17" s="4"/>
      <c r="V17" s="4"/>
      <c r="W17" s="1310"/>
    </row>
    <row r="18" s="1223" customFormat="1" spans="2:23">
      <c r="B18" s="1239"/>
      <c r="C18" s="1244" t="s">
        <v>105</v>
      </c>
      <c r="D18" s="1241">
        <v>0</v>
      </c>
      <c r="E18" s="1241">
        <v>0</v>
      </c>
      <c r="F18" s="1241">
        <v>0</v>
      </c>
      <c r="G18" s="1241">
        <v>0</v>
      </c>
      <c r="H18" s="1241">
        <v>1094.77434705408</v>
      </c>
      <c r="I18" s="1241">
        <v>995.2494064128</v>
      </c>
      <c r="J18" s="1241">
        <v>995.2494064128</v>
      </c>
      <c r="K18" s="1241">
        <v>995.2494064128</v>
      </c>
      <c r="L18" s="1241">
        <v>995.2494064128</v>
      </c>
      <c r="M18" s="1241">
        <v>995.2494064128</v>
      </c>
      <c r="N18" s="1241">
        <v>1194.29928769536</v>
      </c>
      <c r="O18" s="1241">
        <v>0</v>
      </c>
      <c r="P18" s="1287">
        <f>SUM(D18:O18)</f>
        <v>7265.32066681344</v>
      </c>
      <c r="Q18" s="1306" t="s">
        <v>105</v>
      </c>
      <c r="S18" s="4"/>
      <c r="T18" s="4"/>
      <c r="U18" s="4"/>
      <c r="V18" s="4"/>
      <c r="W18" s="1310"/>
    </row>
    <row r="19" s="1223" customFormat="1" spans="2:23">
      <c r="B19" s="1239" t="s">
        <v>296</v>
      </c>
      <c r="C19" s="1245" t="s">
        <v>103</v>
      </c>
      <c r="D19" s="1243">
        <v>1155.9193851744</v>
      </c>
      <c r="E19" s="1243">
        <v>1155.9193851744</v>
      </c>
      <c r="F19" s="1243">
        <v>1240</v>
      </c>
      <c r="G19" s="1243">
        <v>1240</v>
      </c>
      <c r="H19" s="1243">
        <v>1240</v>
      </c>
      <c r="I19" s="1243">
        <v>2311.8387703488</v>
      </c>
      <c r="J19" s="1243">
        <v>2311.8387703488</v>
      </c>
      <c r="K19" s="1243">
        <v>2480</v>
      </c>
      <c r="L19" s="1243">
        <v>2480</v>
      </c>
      <c r="M19" s="1243">
        <v>2480</v>
      </c>
      <c r="N19" s="1243">
        <v>1240</v>
      </c>
      <c r="O19" s="1243">
        <v>1240</v>
      </c>
      <c r="P19" s="1288">
        <f>SUM(D19:O19)</f>
        <v>20575.5163110464</v>
      </c>
      <c r="Q19" s="1309" t="s">
        <v>103</v>
      </c>
      <c r="S19" s="4"/>
      <c r="T19" s="4"/>
      <c r="U19" s="4"/>
      <c r="V19" s="4"/>
      <c r="W19" s="1310"/>
    </row>
    <row r="20" s="1223" customFormat="1" spans="2:23">
      <c r="B20" s="1239"/>
      <c r="C20" s="1244" t="s">
        <v>104</v>
      </c>
      <c r="D20" s="1241">
        <v>1230.4948293792</v>
      </c>
      <c r="E20" s="1241">
        <v>1230.4948293792</v>
      </c>
      <c r="F20" s="1241">
        <v>1240</v>
      </c>
      <c r="G20" s="1241">
        <v>1240</v>
      </c>
      <c r="H20" s="1241">
        <v>1968.79172700672</v>
      </c>
      <c r="I20" s="1241">
        <v>2460.9896587584</v>
      </c>
      <c r="J20" s="1241">
        <v>2460.9896587584</v>
      </c>
      <c r="K20" s="1241">
        <v>2480</v>
      </c>
      <c r="L20" s="1241">
        <v>2480</v>
      </c>
      <c r="M20" s="1241">
        <v>2480</v>
      </c>
      <c r="N20" s="1241">
        <v>1240</v>
      </c>
      <c r="O20" s="1241">
        <v>1240</v>
      </c>
      <c r="P20" s="1287">
        <f>SUM(D20:O20)</f>
        <v>21751.7607032819</v>
      </c>
      <c r="Q20" s="1306" t="s">
        <v>104</v>
      </c>
      <c r="S20" s="4"/>
      <c r="T20" s="4"/>
      <c r="U20" s="4"/>
      <c r="V20" s="4"/>
      <c r="W20" s="1310"/>
    </row>
    <row r="21" s="1223" customFormat="1" spans="2:23">
      <c r="B21" s="1239"/>
      <c r="C21" s="1245" t="s">
        <v>105</v>
      </c>
      <c r="D21" s="1243">
        <v>1105.832673792</v>
      </c>
      <c r="E21" s="1243">
        <v>1105.832673792</v>
      </c>
      <c r="F21" s="1243">
        <v>1240</v>
      </c>
      <c r="G21" s="1243">
        <v>1240</v>
      </c>
      <c r="H21" s="1243">
        <v>1240</v>
      </c>
      <c r="I21" s="1243">
        <v>2211.665347584</v>
      </c>
      <c r="J21" s="1243">
        <v>2211.665347584</v>
      </c>
      <c r="K21" s="1243">
        <v>2480</v>
      </c>
      <c r="L21" s="1243">
        <v>2480</v>
      </c>
      <c r="M21" s="1243">
        <v>2432.8318823424</v>
      </c>
      <c r="N21" s="1243">
        <v>1240</v>
      </c>
      <c r="O21" s="1243">
        <v>1240</v>
      </c>
      <c r="P21" s="1288">
        <f>SUM(D21:O21)</f>
        <v>20227.8279250944</v>
      </c>
      <c r="Q21" s="1309" t="s">
        <v>105</v>
      </c>
      <c r="S21" s="4"/>
      <c r="T21" s="4"/>
      <c r="U21" s="4"/>
      <c r="V21" s="4"/>
      <c r="W21" s="1310"/>
    </row>
    <row r="22" s="1223" customFormat="1" spans="2:23">
      <c r="B22" s="1239" t="s">
        <v>297</v>
      </c>
      <c r="C22" s="1244" t="s">
        <v>103</v>
      </c>
      <c r="D22" s="1241">
        <v>1155.9193851744</v>
      </c>
      <c r="E22" s="1241">
        <v>1155.9193851744</v>
      </c>
      <c r="F22" s="1241">
        <v>1240</v>
      </c>
      <c r="G22" s="1241">
        <v>1240</v>
      </c>
      <c r="H22" s="1241">
        <v>1240</v>
      </c>
      <c r="I22" s="1241">
        <v>2311.8387703488</v>
      </c>
      <c r="J22" s="1241">
        <v>2311.8387703488</v>
      </c>
      <c r="K22" s="1241">
        <v>2480</v>
      </c>
      <c r="L22" s="1241">
        <v>2480</v>
      </c>
      <c r="M22" s="1241">
        <v>2480</v>
      </c>
      <c r="N22" s="1241">
        <v>1240</v>
      </c>
      <c r="O22" s="1241">
        <v>1240</v>
      </c>
      <c r="P22" s="1287">
        <f>SUM(D22:O22)</f>
        <v>20575.5163110464</v>
      </c>
      <c r="Q22" s="1306" t="s">
        <v>103</v>
      </c>
      <c r="S22" s="4"/>
      <c r="T22" s="4"/>
      <c r="U22" s="4"/>
      <c r="V22" s="4"/>
      <c r="W22" s="1310"/>
    </row>
    <row r="23" s="1223" customFormat="1" spans="2:23">
      <c r="B23" s="1239"/>
      <c r="C23" s="1245" t="s">
        <v>104</v>
      </c>
      <c r="D23" s="1243">
        <v>1230.4948293792</v>
      </c>
      <c r="E23" s="1243">
        <v>1230.4948293792</v>
      </c>
      <c r="F23" s="1243">
        <v>1240</v>
      </c>
      <c r="G23" s="1243">
        <v>1240</v>
      </c>
      <c r="H23" s="1243">
        <v>1968.79172700672</v>
      </c>
      <c r="I23" s="1243">
        <v>2460.9896587584</v>
      </c>
      <c r="J23" s="1243">
        <v>2460.9896587584</v>
      </c>
      <c r="K23" s="1243">
        <v>2480</v>
      </c>
      <c r="L23" s="1243">
        <v>2480</v>
      </c>
      <c r="M23" s="1243">
        <v>2480</v>
      </c>
      <c r="N23" s="1243">
        <v>1240</v>
      </c>
      <c r="O23" s="1243">
        <v>1240</v>
      </c>
      <c r="P23" s="1288">
        <f>SUM(D23:O23)</f>
        <v>21751.7607032819</v>
      </c>
      <c r="Q23" s="1309" t="s">
        <v>104</v>
      </c>
      <c r="S23" s="4"/>
      <c r="T23" s="4"/>
      <c r="U23" s="4"/>
      <c r="V23" s="4"/>
      <c r="W23" s="1310"/>
    </row>
    <row r="24" s="1223" customFormat="1" spans="2:23">
      <c r="B24" s="1239"/>
      <c r="C24" s="1244" t="s">
        <v>105</v>
      </c>
      <c r="D24" s="1241">
        <v>1105.832673792</v>
      </c>
      <c r="E24" s="1241">
        <v>1105.832673792</v>
      </c>
      <c r="F24" s="1241">
        <v>1240</v>
      </c>
      <c r="G24" s="1241">
        <v>1240</v>
      </c>
      <c r="H24" s="1241">
        <v>1240</v>
      </c>
      <c r="I24" s="1241">
        <v>2211.665347584</v>
      </c>
      <c r="J24" s="1241">
        <v>2211.665347584</v>
      </c>
      <c r="K24" s="1241">
        <v>2480</v>
      </c>
      <c r="L24" s="1241">
        <v>2480</v>
      </c>
      <c r="M24" s="1241">
        <v>2432.8318823424</v>
      </c>
      <c r="N24" s="1241">
        <v>1240</v>
      </c>
      <c r="O24" s="1241">
        <v>1240</v>
      </c>
      <c r="P24" s="1287">
        <f>SUM(D24:O24)</f>
        <v>20227.8279250944</v>
      </c>
      <c r="Q24" s="1306" t="s">
        <v>105</v>
      </c>
      <c r="S24" s="4"/>
      <c r="T24" s="4"/>
      <c r="U24" s="4"/>
      <c r="V24" s="4"/>
      <c r="W24" s="1310"/>
    </row>
    <row r="25" s="1223" customFormat="1" spans="2:23">
      <c r="B25" s="1239" t="s">
        <v>298</v>
      </c>
      <c r="C25" s="1245" t="s">
        <v>103</v>
      </c>
      <c r="D25" s="1243">
        <v>1155.9193851744</v>
      </c>
      <c r="E25" s="1243">
        <v>1155.9193851744</v>
      </c>
      <c r="F25" s="1243">
        <v>1240</v>
      </c>
      <c r="G25" s="1243">
        <v>1240</v>
      </c>
      <c r="H25" s="1243">
        <v>1240</v>
      </c>
      <c r="I25" s="1243">
        <v>2311.8387703488</v>
      </c>
      <c r="J25" s="1243">
        <v>2311.8387703488</v>
      </c>
      <c r="K25" s="1243">
        <v>2480</v>
      </c>
      <c r="L25" s="1243">
        <v>2480</v>
      </c>
      <c r="M25" s="1243">
        <v>2480</v>
      </c>
      <c r="N25" s="1243">
        <v>1240</v>
      </c>
      <c r="O25" s="1243">
        <v>1240</v>
      </c>
      <c r="P25" s="1288">
        <f>SUM(D25:O25)</f>
        <v>20575.5163110464</v>
      </c>
      <c r="Q25" s="1309" t="s">
        <v>103</v>
      </c>
      <c r="S25" s="4"/>
      <c r="T25" s="4"/>
      <c r="U25" s="4"/>
      <c r="V25" s="4"/>
      <c r="W25" s="1310"/>
    </row>
    <row r="26" s="1223" customFormat="1" spans="2:23">
      <c r="B26" s="1239"/>
      <c r="C26" s="1244" t="s">
        <v>104</v>
      </c>
      <c r="D26" s="1241">
        <v>1230.4948293792</v>
      </c>
      <c r="E26" s="1241">
        <v>1230.4948293792</v>
      </c>
      <c r="F26" s="1241">
        <v>1240</v>
      </c>
      <c r="G26" s="1241">
        <v>1240</v>
      </c>
      <c r="H26" s="1241">
        <v>1968.79172700672</v>
      </c>
      <c r="I26" s="1241">
        <v>2460.9896587584</v>
      </c>
      <c r="J26" s="1241">
        <v>2460.9896587584</v>
      </c>
      <c r="K26" s="1241">
        <v>2480</v>
      </c>
      <c r="L26" s="1241">
        <v>2480</v>
      </c>
      <c r="M26" s="1241">
        <v>2480</v>
      </c>
      <c r="N26" s="1241">
        <v>1240</v>
      </c>
      <c r="O26" s="1241">
        <v>1240</v>
      </c>
      <c r="P26" s="1287">
        <f>SUM(D26:O26)</f>
        <v>21751.7607032819</v>
      </c>
      <c r="Q26" s="1306" t="s">
        <v>104</v>
      </c>
      <c r="S26" s="4"/>
      <c r="T26" s="4"/>
      <c r="U26" s="4"/>
      <c r="V26" s="4"/>
      <c r="W26" s="1310"/>
    </row>
    <row r="27" s="1223" customFormat="1" spans="2:23">
      <c r="B27" s="1239"/>
      <c r="C27" s="1245" t="s">
        <v>105</v>
      </c>
      <c r="D27" s="1243">
        <v>1105.832673792</v>
      </c>
      <c r="E27" s="1243">
        <v>1105.832673792</v>
      </c>
      <c r="F27" s="1243">
        <v>1240</v>
      </c>
      <c r="G27" s="1243">
        <v>1240</v>
      </c>
      <c r="H27" s="1243">
        <v>1240</v>
      </c>
      <c r="I27" s="1243">
        <v>2211.665347584</v>
      </c>
      <c r="J27" s="1243">
        <v>2211.665347584</v>
      </c>
      <c r="K27" s="1243">
        <v>2480</v>
      </c>
      <c r="L27" s="1243">
        <v>2480</v>
      </c>
      <c r="M27" s="1243">
        <v>2432.8318823424</v>
      </c>
      <c r="N27" s="1243">
        <v>1240</v>
      </c>
      <c r="O27" s="1243">
        <v>1240</v>
      </c>
      <c r="P27" s="1288">
        <f>SUM(D27:O27)</f>
        <v>20227.8279250944</v>
      </c>
      <c r="Q27" s="1309" t="s">
        <v>105</v>
      </c>
      <c r="S27" s="4"/>
      <c r="T27" s="4"/>
      <c r="U27" s="4"/>
      <c r="V27" s="4"/>
      <c r="W27" s="1310"/>
    </row>
    <row r="28" s="1223" customFormat="1" spans="2:23">
      <c r="B28" s="1239" t="s">
        <v>299</v>
      </c>
      <c r="C28" s="1244" t="s">
        <v>103</v>
      </c>
      <c r="D28" s="1241">
        <v>2067.0782712607</v>
      </c>
      <c r="E28" s="1241">
        <v>2067.0782712607</v>
      </c>
      <c r="F28" s="1241">
        <v>2067.0782712607</v>
      </c>
      <c r="G28" s="1241">
        <v>8117.8869407328</v>
      </c>
      <c r="H28" s="1241">
        <v>7460.62846580407</v>
      </c>
      <c r="I28" s="1241">
        <v>9889.95371630819</v>
      </c>
      <c r="J28" s="1241">
        <v>9889.95371630819</v>
      </c>
      <c r="K28" s="1241">
        <v>8627.43142144638</v>
      </c>
      <c r="L28" s="1241">
        <v>8627.43142144638</v>
      </c>
      <c r="M28" s="1241">
        <v>7639.4952681388</v>
      </c>
      <c r="N28" s="1241">
        <v>1837.60623229462</v>
      </c>
      <c r="O28" s="1241">
        <v>1837.60623229462</v>
      </c>
      <c r="P28" s="1287">
        <f>SUM(D28:O28)</f>
        <v>70129.2282285562</v>
      </c>
      <c r="Q28" s="1306" t="s">
        <v>103</v>
      </c>
      <c r="S28" s="4"/>
      <c r="T28" s="4"/>
      <c r="U28" s="4"/>
      <c r="V28" s="4"/>
      <c r="W28" s="1310"/>
    </row>
    <row r="29" s="1223" customFormat="1" spans="2:23">
      <c r="B29" s="1239"/>
      <c r="C29" s="1245" t="s">
        <v>104</v>
      </c>
      <c r="D29" s="1243">
        <v>2088.81509433962</v>
      </c>
      <c r="E29" s="1243">
        <v>2088.81509433962</v>
      </c>
      <c r="F29" s="1243">
        <v>2088.81509433962</v>
      </c>
      <c r="G29" s="1243">
        <v>9217.72968754176</v>
      </c>
      <c r="H29" s="1243">
        <v>8601.95804195804</v>
      </c>
      <c r="I29" s="1243">
        <v>11067.557840617</v>
      </c>
      <c r="J29" s="1243">
        <v>11067.557840617</v>
      </c>
      <c r="K29" s="1243">
        <v>9785.55097230406</v>
      </c>
      <c r="L29" s="1243">
        <v>9785.55097230406</v>
      </c>
      <c r="M29" s="1243">
        <v>8796.75804529201</v>
      </c>
      <c r="N29" s="1243">
        <v>1867.84545301164</v>
      </c>
      <c r="O29" s="1243">
        <v>1867.84545301164</v>
      </c>
      <c r="P29" s="1288">
        <f>SUM(D29:O29)</f>
        <v>78324.799589676</v>
      </c>
      <c r="Q29" s="1309" t="s">
        <v>104</v>
      </c>
      <c r="S29" s="4"/>
      <c r="T29" s="4"/>
      <c r="U29" s="4"/>
      <c r="V29" s="4"/>
      <c r="W29" s="1310"/>
    </row>
    <row r="30" s="1223" customFormat="1" spans="2:23">
      <c r="B30" s="1239"/>
      <c r="C30" s="1244" t="s">
        <v>105</v>
      </c>
      <c r="D30" s="1241">
        <v>2948.887130112</v>
      </c>
      <c r="E30" s="1241">
        <v>2948.887130112</v>
      </c>
      <c r="F30" s="1241">
        <v>2948.887130112</v>
      </c>
      <c r="G30" s="1241">
        <v>10514.7751605996</v>
      </c>
      <c r="H30" s="1241">
        <v>10472.1689059501</v>
      </c>
      <c r="I30" s="1241">
        <v>12999.6879875195</v>
      </c>
      <c r="J30" s="1241">
        <v>12999.6879875195</v>
      </c>
      <c r="K30" s="1241">
        <v>11670.5882352941</v>
      </c>
      <c r="L30" s="1241">
        <v>11670.5882352941</v>
      </c>
      <c r="M30" s="1241">
        <v>10750.7389162562</v>
      </c>
      <c r="N30" s="1241">
        <v>2669.05829596413</v>
      </c>
      <c r="O30" s="1241">
        <v>2669.05829596413</v>
      </c>
      <c r="P30" s="1287">
        <f>SUM(D30:O30)</f>
        <v>95263.0134106973</v>
      </c>
      <c r="Q30" s="1306" t="s">
        <v>105</v>
      </c>
      <c r="S30" s="4"/>
      <c r="T30" s="4"/>
      <c r="U30" s="4"/>
      <c r="V30" s="4"/>
      <c r="W30" s="1310"/>
    </row>
    <row r="31" s="1223" customFormat="1" spans="2:23">
      <c r="B31" s="1239" t="s">
        <v>300</v>
      </c>
      <c r="C31" s="1245" t="s">
        <v>103</v>
      </c>
      <c r="D31" s="1243">
        <v>1991.70984455959</v>
      </c>
      <c r="E31" s="1243">
        <v>2059.28571428571</v>
      </c>
      <c r="F31" s="1243">
        <v>1991.70984455959</v>
      </c>
      <c r="G31" s="1243">
        <v>9298.29576690489</v>
      </c>
      <c r="H31" s="1243">
        <v>9921.8618164512</v>
      </c>
      <c r="I31" s="1243">
        <v>12441.6981925179</v>
      </c>
      <c r="J31" s="1243">
        <v>12441.6981925179</v>
      </c>
      <c r="K31" s="1243">
        <v>10032.6727887869</v>
      </c>
      <c r="L31" s="1243">
        <v>10032.6727887869</v>
      </c>
      <c r="M31" s="1243">
        <v>9921.8618164512</v>
      </c>
      <c r="N31" s="1243">
        <v>1991.70984455959</v>
      </c>
      <c r="O31" s="1243">
        <v>2059.28571428571</v>
      </c>
      <c r="P31" s="1288">
        <f>SUM(D31:O31)</f>
        <v>84184.4623246669</v>
      </c>
      <c r="Q31" s="1309" t="s">
        <v>103</v>
      </c>
      <c r="S31" s="4"/>
      <c r="T31" s="4"/>
      <c r="U31" s="4"/>
      <c r="V31" s="4"/>
      <c r="W31" s="1310"/>
    </row>
    <row r="32" s="1223" customFormat="1" spans="2:23">
      <c r="B32" s="1239"/>
      <c r="C32" s="1244" t="s">
        <v>104</v>
      </c>
      <c r="D32" s="1241">
        <v>1969.33990147783</v>
      </c>
      <c r="E32" s="1241">
        <v>2039.32664512838</v>
      </c>
      <c r="F32" s="1241">
        <v>1969.33990147783</v>
      </c>
      <c r="G32" s="1241">
        <v>9264.79721900348</v>
      </c>
      <c r="H32" s="1241">
        <v>9879.14332784184</v>
      </c>
      <c r="I32" s="1241">
        <v>12378.9568504444</v>
      </c>
      <c r="J32" s="1241">
        <v>12378.9568504444</v>
      </c>
      <c r="K32" s="1241">
        <v>10893.6805398221</v>
      </c>
      <c r="L32" s="1241">
        <v>10893.6805398221</v>
      </c>
      <c r="M32" s="1241">
        <v>9879.14332784184</v>
      </c>
      <c r="N32" s="1241">
        <v>1969.33990147783</v>
      </c>
      <c r="O32" s="1241">
        <v>2039.32664512838</v>
      </c>
      <c r="P32" s="1287">
        <f>SUM(D32:O32)</f>
        <v>85555.0316499103</v>
      </c>
      <c r="Q32" s="1306" t="s">
        <v>104</v>
      </c>
      <c r="S32" s="4"/>
      <c r="T32" s="4"/>
      <c r="U32" s="4"/>
      <c r="V32" s="4"/>
      <c r="W32" s="1310"/>
    </row>
    <row r="33" s="1223" customFormat="1" spans="2:23">
      <c r="B33" s="1239"/>
      <c r="C33" s="1245" t="s">
        <v>105</v>
      </c>
      <c r="D33" s="1243">
        <v>2735.29411764706</v>
      </c>
      <c r="E33" s="1243">
        <v>2861.53846153846</v>
      </c>
      <c r="F33" s="1243">
        <v>2735.29411764706</v>
      </c>
      <c r="G33" s="1243">
        <v>10162.2516556291</v>
      </c>
      <c r="H33" s="1243">
        <v>10508.4745762712</v>
      </c>
      <c r="I33" s="1243">
        <v>13036.2953692115</v>
      </c>
      <c r="J33" s="1243">
        <v>13036.2953692115</v>
      </c>
      <c r="K33" s="1243">
        <v>11708.1545064378</v>
      </c>
      <c r="L33" s="1243">
        <v>11708.1545064378</v>
      </c>
      <c r="M33" s="1243">
        <v>10508.4745762712</v>
      </c>
      <c r="N33" s="1243">
        <v>2735.29411764706</v>
      </c>
      <c r="O33" s="1243">
        <v>2861.53846153846</v>
      </c>
      <c r="P33" s="1288">
        <f>SUM(D33:O33)</f>
        <v>94597.0598354882</v>
      </c>
      <c r="Q33" s="1309" t="s">
        <v>105</v>
      </c>
      <c r="S33" s="4"/>
      <c r="T33" s="4"/>
      <c r="U33" s="4"/>
      <c r="V33" s="4"/>
      <c r="W33" s="1310"/>
    </row>
    <row r="34" s="1223" customFormat="1" spans="2:23">
      <c r="B34" s="1239" t="s">
        <v>301</v>
      </c>
      <c r="C34" s="1244" t="s">
        <v>103</v>
      </c>
      <c r="D34" s="1241">
        <v>252.241844476799</v>
      </c>
      <c r="E34" s="1241">
        <v>658.924614181116</v>
      </c>
      <c r="F34" s="1241">
        <v>0</v>
      </c>
      <c r="G34" s="1241">
        <v>119.84825102656</v>
      </c>
      <c r="H34" s="1241">
        <v>266.8141423456</v>
      </c>
      <c r="I34" s="1241">
        <v>658.924614181116</v>
      </c>
      <c r="J34" s="1241">
        <v>658.924614181116</v>
      </c>
      <c r="K34" s="1241">
        <v>154.440925227522</v>
      </c>
      <c r="L34" s="1241">
        <v>154.440925227522</v>
      </c>
      <c r="M34" s="1241">
        <v>266.8141423456</v>
      </c>
      <c r="N34" s="1241">
        <v>0</v>
      </c>
      <c r="O34" s="1241">
        <v>0</v>
      </c>
      <c r="P34" s="1287">
        <f>SUM(D34:O34)</f>
        <v>3191.37407319295</v>
      </c>
      <c r="Q34" s="1306" t="s">
        <v>103</v>
      </c>
      <c r="S34" s="4"/>
      <c r="T34" s="4"/>
      <c r="U34" s="4"/>
      <c r="V34" s="4"/>
      <c r="W34" s="1310"/>
    </row>
    <row r="35" s="1223" customFormat="1" spans="2:23">
      <c r="B35" s="1239"/>
      <c r="C35" s="1245" t="s">
        <v>104</v>
      </c>
      <c r="D35" s="1243">
        <v>28.5155118623989</v>
      </c>
      <c r="E35" s="1243">
        <v>28.5155118623989</v>
      </c>
      <c r="F35" s="1243">
        <v>0</v>
      </c>
      <c r="G35" s="1243">
        <v>231.472290782716</v>
      </c>
      <c r="H35" s="1243">
        <v>1714.32927020992</v>
      </c>
      <c r="I35" s="1243">
        <v>141.43587961216</v>
      </c>
      <c r="J35" s="1243">
        <v>141.43587961216</v>
      </c>
      <c r="K35" s="1243">
        <v>296.029756457596</v>
      </c>
      <c r="L35" s="1243">
        <v>296.029756457596</v>
      </c>
      <c r="M35" s="1243">
        <v>180.704451230078</v>
      </c>
      <c r="N35" s="1243">
        <v>0</v>
      </c>
      <c r="O35" s="1243">
        <v>0</v>
      </c>
      <c r="P35" s="1288">
        <f>SUM(D35:O35)</f>
        <v>3058.46830808702</v>
      </c>
      <c r="Q35" s="1309" t="s">
        <v>104</v>
      </c>
      <c r="S35" s="4"/>
      <c r="T35" s="4"/>
      <c r="U35" s="4"/>
      <c r="V35" s="4"/>
      <c r="W35" s="1310"/>
    </row>
    <row r="36" s="1223" customFormat="1" spans="2:23">
      <c r="B36" s="1239"/>
      <c r="C36" s="1244" t="s">
        <v>105</v>
      </c>
      <c r="D36" s="1241">
        <v>510.1152442368</v>
      </c>
      <c r="E36" s="1241">
        <v>510.115244236798</v>
      </c>
      <c r="F36" s="1241">
        <v>107.613265612801</v>
      </c>
      <c r="G36" s="1241">
        <v>0</v>
      </c>
      <c r="H36" s="1241">
        <v>145.225652945919</v>
      </c>
      <c r="I36" s="1241">
        <v>1049.7545508352</v>
      </c>
      <c r="J36" s="1241">
        <v>1049.7545508352</v>
      </c>
      <c r="K36" s="1241">
        <v>244.750593587196</v>
      </c>
      <c r="L36" s="1241">
        <v>244.750593587196</v>
      </c>
      <c r="M36" s="1241">
        <v>386.254946560002</v>
      </c>
      <c r="N36" s="1241">
        <v>45.7007123046387</v>
      </c>
      <c r="O36" s="1241">
        <v>0</v>
      </c>
      <c r="P36" s="1287">
        <f>SUM(D36:O36)</f>
        <v>4294.03535474175</v>
      </c>
      <c r="Q36" s="1306" t="s">
        <v>105</v>
      </c>
      <c r="S36" s="4"/>
      <c r="T36" s="4"/>
      <c r="U36" s="4"/>
      <c r="V36" s="4"/>
      <c r="W36" s="1310"/>
    </row>
    <row r="37" s="1223" customFormat="1" ht="12" spans="2:23">
      <c r="B37" s="1239"/>
      <c r="C37" s="1246"/>
      <c r="D37" s="1247"/>
      <c r="E37" s="1247"/>
      <c r="F37" s="1247"/>
      <c r="G37" s="1247"/>
      <c r="H37" s="1247"/>
      <c r="I37" s="1247"/>
      <c r="J37" s="1247"/>
      <c r="K37" s="1247"/>
      <c r="L37" s="1247"/>
      <c r="M37" s="1247"/>
      <c r="N37" s="1247"/>
      <c r="O37" s="1247"/>
      <c r="P37" s="1289"/>
      <c r="Q37" s="1311"/>
      <c r="S37" s="4"/>
      <c r="T37" s="4"/>
      <c r="U37" s="4"/>
      <c r="V37" s="4"/>
      <c r="W37" s="1310"/>
    </row>
    <row r="38" s="21" customFormat="1" ht="12" spans="2:23">
      <c r="B38" s="1248" t="s">
        <v>302</v>
      </c>
      <c r="C38" s="1249" t="s">
        <v>103</v>
      </c>
      <c r="D38" s="1250">
        <f>SUMIF(SalesByYear,"FY-1",SalesJan)</f>
        <v>8680</v>
      </c>
      <c r="E38" s="1251">
        <f>SUMIF(SalesByYear,"FY-1",SalesFeb)</f>
        <v>9086.68276970432</v>
      </c>
      <c r="F38" s="1251">
        <f>SUMIF(SalesByYear,"FY-1",SalesMar)</f>
        <v>8680</v>
      </c>
      <c r="G38" s="1251">
        <f>SUMIF(SalesByYear,"FY-1",SalesApr)</f>
        <v>22320</v>
      </c>
      <c r="H38" s="1251">
        <f>SUMIF(SalesByYear,"FY-1",SalesMay)</f>
        <v>24800</v>
      </c>
      <c r="I38" s="1251">
        <f>SUMIF(SalesByYear,"FY-1",SalesJun)</f>
        <v>33480</v>
      </c>
      <c r="J38" s="1251">
        <f>SUMIF(SalesByYear,"FY-1",SalesJul)</f>
        <v>33480</v>
      </c>
      <c r="K38" s="1251">
        <f>SUMIF(SalesByYear,"FY-1",SalesAug)</f>
        <v>29760</v>
      </c>
      <c r="L38" s="1251">
        <f>SUMIF(SalesByYear,"FY-1",SalesSep)</f>
        <v>29760</v>
      </c>
      <c r="M38" s="1251">
        <f>SUMIF(SalesByYear,"FY-1",SalesOct)</f>
        <v>28520</v>
      </c>
      <c r="N38" s="1251">
        <f>SUMIF(SalesByYear,"FY-1",SalesNov)</f>
        <v>9920</v>
      </c>
      <c r="O38" s="1290">
        <f>SUMIF(SalesByYear,"FY-1",SalesDec)</f>
        <v>8680</v>
      </c>
      <c r="P38" s="1291">
        <f>SUM(D38:O38)</f>
        <v>247166.682769704</v>
      </c>
      <c r="Q38" s="1312" t="s">
        <v>103</v>
      </c>
      <c r="S38" s="1307"/>
      <c r="T38" s="1307"/>
      <c r="U38" s="1307"/>
      <c r="V38" s="1307"/>
      <c r="W38" s="1308"/>
    </row>
    <row r="39" s="21" customFormat="1" ht="12" spans="2:23">
      <c r="B39" s="1252" t="s">
        <v>303</v>
      </c>
      <c r="C39" s="1253" t="s">
        <v>104</v>
      </c>
      <c r="D39" s="1254">
        <f>SUMIF(SalesByYear,"FY-2",SalesJan)</f>
        <v>8680</v>
      </c>
      <c r="E39" s="1254">
        <f>SUMIF(SalesByYear,"FY-2",SalesFeb)</f>
        <v>8680</v>
      </c>
      <c r="F39" s="1254">
        <f>SUMIF(SalesByYear,"FY-2",SalesMar)</f>
        <v>8680</v>
      </c>
      <c r="G39" s="1254">
        <f>SUMIF(SalesByYear,"FY-2",SalesApr)</f>
        <v>23560</v>
      </c>
      <c r="H39" s="1254">
        <f>SUMIF(SalesByYear,"FY-2",SalesMay)</f>
        <v>29760</v>
      </c>
      <c r="I39" s="1254">
        <f>SUMIF(SalesByYear,"FY-2",SalesJun)</f>
        <v>34720</v>
      </c>
      <c r="J39" s="1254">
        <f>SUMIF(SalesByYear,"FY-2",SalesJul)</f>
        <v>34720</v>
      </c>
      <c r="K39" s="1254">
        <f>SUMIF(SalesByYear,"FY-2",SalesAug)</f>
        <v>32240</v>
      </c>
      <c r="L39" s="1254">
        <f>SUMIF(SalesByYear,"FY-2",SalesSep)</f>
        <v>32240</v>
      </c>
      <c r="M39" s="1254">
        <f>SUMIF(SalesByYear,"FY-2",SalesOct)</f>
        <v>29760</v>
      </c>
      <c r="N39" s="1254">
        <f>SUMIF(SalesByYear,"FY-2",SalesNov)</f>
        <v>9920</v>
      </c>
      <c r="O39" s="1292">
        <f>SUMIF(SalesByYear,"FY-2",SalesDec)</f>
        <v>8680</v>
      </c>
      <c r="P39" s="1293">
        <f>SUM(D39:O39)</f>
        <v>261640</v>
      </c>
      <c r="Q39" s="1313" t="s">
        <v>104</v>
      </c>
      <c r="S39" s="1307"/>
      <c r="T39" s="1307"/>
      <c r="U39" s="1307"/>
      <c r="V39" s="1307"/>
      <c r="W39" s="1308"/>
    </row>
    <row r="40" s="21" customFormat="1" ht="12" spans="2:23">
      <c r="B40" s="1255"/>
      <c r="C40" s="1256" t="s">
        <v>105</v>
      </c>
      <c r="D40" s="1257">
        <f>SUMIF(SalesByYear,"FY-3",SalesJan)</f>
        <v>11160</v>
      </c>
      <c r="E40" s="1257">
        <f>SUMIF(SalesByYear,"FY-3",SalesFeb)</f>
        <v>11160</v>
      </c>
      <c r="F40" s="1257">
        <f>SUMIF(SalesByYear,"FY-3",SalesMar)</f>
        <v>11160</v>
      </c>
      <c r="G40" s="1257">
        <f>SUMIF(SalesByYear,"FY-3",SalesApr)</f>
        <v>26040</v>
      </c>
      <c r="H40" s="1257">
        <f>SUMIF(SalesByYear,"FY-3",SalesMay)</f>
        <v>29760</v>
      </c>
      <c r="I40" s="1257">
        <f>SUMIF(SalesByYear,"FY-3",SalesJun)</f>
        <v>38440</v>
      </c>
      <c r="J40" s="1257">
        <f>SUMIF(SalesByYear,"FY-3",SalesJul)</f>
        <v>38440</v>
      </c>
      <c r="K40" s="1257">
        <f>SUMIF(SalesByYear,"FY-3",SalesAug)</f>
        <v>35960</v>
      </c>
      <c r="L40" s="1257">
        <f>SUMIF(SalesByYear,"FY-3",SalesSep)</f>
        <v>35960</v>
      </c>
      <c r="M40" s="1257">
        <f>SUMIF(SalesByYear,"FY-3",SalesOct)</f>
        <v>33480</v>
      </c>
      <c r="N40" s="1257">
        <f>SUMIF(SalesByYear,"FY-3",SalesNov)</f>
        <v>12400</v>
      </c>
      <c r="O40" s="1294">
        <f>SUMIF(SalesByYear,"FY-3",SalesDec)</f>
        <v>11160</v>
      </c>
      <c r="P40" s="1295">
        <f>SUM(D40:O40)</f>
        <v>295120</v>
      </c>
      <c r="Q40" s="1314" t="s">
        <v>105</v>
      </c>
      <c r="S40" s="1307"/>
      <c r="T40" s="1307"/>
      <c r="U40" s="1307"/>
      <c r="V40" s="1307"/>
      <c r="W40" s="1308"/>
    </row>
    <row r="41" s="21" customFormat="1" ht="12" spans="2:23">
      <c r="B41" s="327"/>
      <c r="C41" s="326"/>
      <c r="D41" s="326"/>
      <c r="E41" s="326"/>
      <c r="F41" s="326"/>
      <c r="G41" s="326"/>
      <c r="H41" s="326"/>
      <c r="I41" s="326"/>
      <c r="J41" s="326"/>
      <c r="K41" s="326"/>
      <c r="L41" s="326"/>
      <c r="M41" s="326"/>
      <c r="N41" s="326"/>
      <c r="O41" s="326"/>
      <c r="P41" s="1296">
        <f>SUM(P38:P40)</f>
        <v>803926.682769704</v>
      </c>
      <c r="Q41" s="1315" t="s">
        <v>292</v>
      </c>
      <c r="S41" s="1307"/>
      <c r="T41" s="1307"/>
      <c r="U41" s="1307"/>
      <c r="V41" s="1307"/>
      <c r="W41" s="1316"/>
    </row>
    <row r="42" s="21" customFormat="1" spans="2:23">
      <c r="B42" s="327"/>
      <c r="C42" s="327"/>
      <c r="D42" s="326"/>
      <c r="E42" s="326"/>
      <c r="F42" s="326"/>
      <c r="G42" s="326"/>
      <c r="H42" s="326"/>
      <c r="I42" s="326"/>
      <c r="J42" s="326"/>
      <c r="K42" s="326"/>
      <c r="L42" s="326"/>
      <c r="M42" s="326"/>
      <c r="N42" s="326"/>
      <c r="O42" s="326"/>
      <c r="P42" s="326"/>
      <c r="Q42" s="1317"/>
      <c r="R42" s="1318"/>
      <c r="S42" s="1307"/>
      <c r="T42" s="1307"/>
      <c r="U42" s="1307"/>
      <c r="V42" s="1307"/>
      <c r="W42" s="1316"/>
    </row>
    <row r="43" s="21" customFormat="1" spans="2:23">
      <c r="B43" s="327"/>
      <c r="C43" s="327"/>
      <c r="D43" s="326"/>
      <c r="E43" s="326"/>
      <c r="F43" s="326"/>
      <c r="G43" s="326"/>
      <c r="H43" s="326"/>
      <c r="I43" s="326"/>
      <c r="J43" s="326"/>
      <c r="K43" s="326"/>
      <c r="L43" s="326"/>
      <c r="M43" s="326"/>
      <c r="N43" s="326"/>
      <c r="O43" s="326"/>
      <c r="P43" s="326"/>
      <c r="Q43" s="1317"/>
      <c r="R43" s="1318"/>
      <c r="S43" s="1307"/>
      <c r="T43" s="1307"/>
      <c r="U43" s="1307"/>
      <c r="V43" s="1307"/>
      <c r="W43" s="1316"/>
    </row>
    <row r="44" s="21" customFormat="1" spans="2:23">
      <c r="B44" s="327"/>
      <c r="C44" s="327"/>
      <c r="D44" s="326"/>
      <c r="E44" s="326"/>
      <c r="F44" s="326"/>
      <c r="G44" s="326"/>
      <c r="H44" s="326"/>
      <c r="I44" s="326"/>
      <c r="J44" s="326"/>
      <c r="K44" s="326"/>
      <c r="L44" s="326"/>
      <c r="M44" s="326"/>
      <c r="N44" s="326"/>
      <c r="O44" s="326"/>
      <c r="P44" s="326"/>
      <c r="Q44" s="574"/>
      <c r="R44" s="1307"/>
      <c r="S44" s="1307"/>
      <c r="T44" s="1307"/>
      <c r="U44" s="1307"/>
      <c r="V44" s="1307"/>
      <c r="W44" s="1316"/>
    </row>
    <row r="45" s="21" customFormat="1" ht="15.75" spans="1:23">
      <c r="A45" s="1229">
        <v>2</v>
      </c>
      <c r="B45" s="1258" t="s">
        <v>55</v>
      </c>
      <c r="C45" s="1231"/>
      <c r="D45" s="1231"/>
      <c r="E45" s="326"/>
      <c r="F45" s="326"/>
      <c r="G45" s="326"/>
      <c r="H45" s="326"/>
      <c r="I45" s="326"/>
      <c r="J45" s="327"/>
      <c r="K45" s="326"/>
      <c r="L45" s="326"/>
      <c r="M45" s="326"/>
      <c r="N45" s="326"/>
      <c r="O45" s="326"/>
      <c r="P45" s="326"/>
      <c r="Q45" s="574"/>
      <c r="R45" s="1307"/>
      <c r="S45" s="1307"/>
      <c r="T45" s="1307"/>
      <c r="U45" s="1307"/>
      <c r="V45" s="1307"/>
      <c r="W45" s="1316"/>
    </row>
    <row r="46" s="21" customFormat="1" spans="2:23">
      <c r="B46" s="327"/>
      <c r="C46" s="327"/>
      <c r="D46" s="326"/>
      <c r="E46" s="326"/>
      <c r="F46" s="326"/>
      <c r="G46" s="326"/>
      <c r="H46" s="326"/>
      <c r="I46" s="326"/>
      <c r="J46" s="326"/>
      <c r="K46" s="326"/>
      <c r="L46" s="326"/>
      <c r="M46" s="326"/>
      <c r="N46" s="326"/>
      <c r="O46" s="326"/>
      <c r="P46" s="326"/>
      <c r="Q46" s="574"/>
      <c r="R46" s="1307"/>
      <c r="S46" s="1307"/>
      <c r="T46" s="1307"/>
      <c r="U46" s="1307"/>
      <c r="V46" s="1307"/>
      <c r="W46" s="1316"/>
    </row>
    <row r="47" s="21" customFormat="1" spans="2:23">
      <c r="B47" s="327"/>
      <c r="C47" s="327"/>
      <c r="D47" s="326"/>
      <c r="E47" s="326"/>
      <c r="F47" s="326"/>
      <c r="G47" s="326"/>
      <c r="H47" s="326"/>
      <c r="I47" s="326"/>
      <c r="J47" s="326"/>
      <c r="K47" s="326"/>
      <c r="L47" s="326"/>
      <c r="M47" s="326"/>
      <c r="N47" s="326"/>
      <c r="O47" s="326"/>
      <c r="P47" s="326"/>
      <c r="Q47" s="574"/>
      <c r="R47" s="1307"/>
      <c r="S47" s="1307"/>
      <c r="T47" s="1307"/>
      <c r="U47" s="1307"/>
      <c r="V47" s="1307"/>
      <c r="W47" s="1316"/>
    </row>
    <row r="48" s="21" customFormat="1" spans="2:23">
      <c r="B48" s="563"/>
      <c r="C48" s="1259"/>
      <c r="E48" s="1260" t="s">
        <v>304</v>
      </c>
      <c r="F48" s="1261"/>
      <c r="G48" s="1261"/>
      <c r="H48" s="1262"/>
      <c r="I48" s="1297"/>
      <c r="J48" s="1297"/>
      <c r="K48" s="577"/>
      <c r="L48" s="7"/>
      <c r="M48" s="7"/>
      <c r="N48" s="326"/>
      <c r="O48" s="326"/>
      <c r="P48" s="326"/>
      <c r="Q48" s="574"/>
      <c r="R48" s="1307"/>
      <c r="S48" s="1307"/>
      <c r="T48" s="1307"/>
      <c r="U48" s="1307"/>
      <c r="V48" s="1307"/>
      <c r="W48" s="1316"/>
    </row>
    <row r="49" s="21" customFormat="1" spans="2:24">
      <c r="B49" s="1263" t="s">
        <v>213</v>
      </c>
      <c r="C49" s="1264" t="s">
        <v>214</v>
      </c>
      <c r="D49" s="1265" t="s">
        <v>215</v>
      </c>
      <c r="E49" s="13" t="s">
        <v>305</v>
      </c>
      <c r="F49" s="1265" t="s">
        <v>204</v>
      </c>
      <c r="G49" s="1265" t="s">
        <v>205</v>
      </c>
      <c r="H49" s="1265" t="s">
        <v>292</v>
      </c>
      <c r="I49" s="1265" t="s">
        <v>306</v>
      </c>
      <c r="J49" s="563"/>
      <c r="K49" s="563"/>
      <c r="L49" s="1247"/>
      <c r="M49" s="7"/>
      <c r="N49" s="7"/>
      <c r="O49" s="326"/>
      <c r="P49" s="326"/>
      <c r="Q49" s="326"/>
      <c r="R49" s="574"/>
      <c r="S49" s="1307"/>
      <c r="T49" s="1307"/>
      <c r="U49" s="1307"/>
      <c r="V49" s="1307"/>
      <c r="W49" s="1307"/>
      <c r="X49" s="1316"/>
    </row>
    <row r="50" s="1223" customFormat="1" spans="2:24">
      <c r="B50" s="1266" t="s">
        <v>293</v>
      </c>
      <c r="C50" s="1267" t="s">
        <v>221</v>
      </c>
      <c r="D50" s="1267" t="s">
        <v>222</v>
      </c>
      <c r="E50" s="1268">
        <v>0.36</v>
      </c>
      <c r="F50" s="1268">
        <v>0.2</v>
      </c>
      <c r="G50" s="1268">
        <v>0.26</v>
      </c>
      <c r="H50" s="1269">
        <f>SUM(E50:G50)</f>
        <v>0.82</v>
      </c>
      <c r="I50" s="1298">
        <v>4.49</v>
      </c>
      <c r="J50" s="1247"/>
      <c r="K50" s="1247"/>
      <c r="L50" s="1299"/>
      <c r="M50" s="7"/>
      <c r="N50" s="7"/>
      <c r="O50" s="327"/>
      <c r="P50" s="327"/>
      <c r="Q50" s="327"/>
      <c r="R50" s="547"/>
      <c r="S50" s="1307"/>
      <c r="T50" s="1307"/>
      <c r="U50" s="1307"/>
      <c r="V50" s="1307"/>
      <c r="W50" s="1307"/>
      <c r="X50" s="1316"/>
    </row>
    <row r="51" s="1223" customFormat="1" spans="2:24">
      <c r="B51" s="1270" t="s">
        <v>294</v>
      </c>
      <c r="C51" s="1271" t="s">
        <v>221</v>
      </c>
      <c r="D51" s="1271" t="s">
        <v>225</v>
      </c>
      <c r="E51" s="1272">
        <v>0.4</v>
      </c>
      <c r="F51" s="1272">
        <v>0.2</v>
      </c>
      <c r="G51" s="1272">
        <v>0.26</v>
      </c>
      <c r="H51" s="1273">
        <f>SUM(E51:G51)</f>
        <v>0.86</v>
      </c>
      <c r="I51" s="1300">
        <v>6.99</v>
      </c>
      <c r="J51" s="1247"/>
      <c r="K51" s="1247"/>
      <c r="L51" s="1299"/>
      <c r="M51" s="7"/>
      <c r="N51" s="7"/>
      <c r="O51" s="327"/>
      <c r="P51" s="327"/>
      <c r="Q51" s="327"/>
      <c r="R51" s="547"/>
      <c r="S51" s="1307"/>
      <c r="T51" s="1307"/>
      <c r="U51" s="1307"/>
      <c r="V51" s="1307"/>
      <c r="W51" s="1307"/>
      <c r="X51" s="1316"/>
    </row>
    <row r="52" s="1223" customFormat="1" spans="2:24">
      <c r="B52" s="1274" t="s">
        <v>295</v>
      </c>
      <c r="C52" s="1267" t="s">
        <v>221</v>
      </c>
      <c r="D52" s="1267" t="s">
        <v>229</v>
      </c>
      <c r="E52" s="1268">
        <v>0.37</v>
      </c>
      <c r="F52" s="1268">
        <v>0.2</v>
      </c>
      <c r="G52" s="1268">
        <v>0.26</v>
      </c>
      <c r="H52" s="1269">
        <f>SUM(E52:G52)</f>
        <v>0.83</v>
      </c>
      <c r="I52" s="1298">
        <v>5.49</v>
      </c>
      <c r="J52" s="1247"/>
      <c r="K52" s="1247"/>
      <c r="L52" s="1299"/>
      <c r="M52" s="7"/>
      <c r="N52" s="7"/>
      <c r="O52" s="327"/>
      <c r="P52" s="327"/>
      <c r="Q52" s="327"/>
      <c r="R52" s="547"/>
      <c r="S52" s="1307"/>
      <c r="T52" s="1307"/>
      <c r="U52" s="1307"/>
      <c r="V52" s="1307"/>
      <c r="W52" s="1307"/>
      <c r="X52" s="1316"/>
    </row>
    <row r="53" s="1223" customFormat="1" spans="2:24">
      <c r="B53" s="1270" t="s">
        <v>296</v>
      </c>
      <c r="C53" s="1271" t="s">
        <v>221</v>
      </c>
      <c r="D53" s="1271" t="s">
        <v>233</v>
      </c>
      <c r="E53" s="1272">
        <v>0.38</v>
      </c>
      <c r="F53" s="1272">
        <v>0.2</v>
      </c>
      <c r="G53" s="1272">
        <v>0.26</v>
      </c>
      <c r="H53" s="1273">
        <f>SUM(E53:G53)</f>
        <v>0.84</v>
      </c>
      <c r="I53" s="1300">
        <v>6.99</v>
      </c>
      <c r="J53" s="1247"/>
      <c r="K53" s="1247"/>
      <c r="L53" s="1299"/>
      <c r="M53" s="7"/>
      <c r="N53" s="7"/>
      <c r="O53" s="327"/>
      <c r="P53" s="327"/>
      <c r="Q53" s="327"/>
      <c r="R53" s="547"/>
      <c r="S53" s="1307"/>
      <c r="T53" s="1307"/>
      <c r="U53" s="1307"/>
      <c r="V53" s="1307"/>
      <c r="W53" s="1307"/>
      <c r="X53" s="1316"/>
    </row>
    <row r="54" s="1223" customFormat="1" spans="2:24">
      <c r="B54" s="1274" t="s">
        <v>297</v>
      </c>
      <c r="C54" s="1267" t="s">
        <v>221</v>
      </c>
      <c r="D54" s="1267" t="s">
        <v>237</v>
      </c>
      <c r="E54" s="1268">
        <v>0.37</v>
      </c>
      <c r="F54" s="1268">
        <v>0.2</v>
      </c>
      <c r="G54" s="1268">
        <v>0.26</v>
      </c>
      <c r="H54" s="1269">
        <f>SUM(E54:G54)</f>
        <v>0.83</v>
      </c>
      <c r="I54" s="1298">
        <v>5.99</v>
      </c>
      <c r="J54" s="1247"/>
      <c r="K54" s="1247"/>
      <c r="L54" s="1299"/>
      <c r="M54" s="7"/>
      <c r="N54" s="7"/>
      <c r="O54" s="327"/>
      <c r="P54" s="327"/>
      <c r="Q54" s="327"/>
      <c r="R54" s="547"/>
      <c r="S54" s="1307"/>
      <c r="T54" s="1307"/>
      <c r="U54" s="1307"/>
      <c r="V54" s="1307"/>
      <c r="W54" s="1307"/>
      <c r="X54" s="1316"/>
    </row>
    <row r="55" s="1223" customFormat="1" spans="2:24">
      <c r="B55" s="1270" t="s">
        <v>298</v>
      </c>
      <c r="C55" s="1271" t="s">
        <v>221</v>
      </c>
      <c r="D55" s="1271" t="s">
        <v>239</v>
      </c>
      <c r="E55" s="1272">
        <v>0.37</v>
      </c>
      <c r="F55" s="1272">
        <v>0.2</v>
      </c>
      <c r="G55" s="1272">
        <v>0.26</v>
      </c>
      <c r="H55" s="1273">
        <f>SUM(E55:G55)</f>
        <v>0.83</v>
      </c>
      <c r="I55" s="1300">
        <v>5.99</v>
      </c>
      <c r="J55" s="1247"/>
      <c r="K55" s="1247"/>
      <c r="L55" s="1299"/>
      <c r="M55" s="7"/>
      <c r="N55" s="7"/>
      <c r="O55" s="327"/>
      <c r="P55" s="327"/>
      <c r="Q55" s="327"/>
      <c r="R55" s="547"/>
      <c r="S55" s="1307"/>
      <c r="T55" s="1307"/>
      <c r="U55" s="1307"/>
      <c r="V55" s="1307"/>
      <c r="W55" s="1307"/>
      <c r="X55" s="1316"/>
    </row>
    <row r="56" s="1223" customFormat="1" spans="2:24">
      <c r="B56" s="1274" t="s">
        <v>299</v>
      </c>
      <c r="C56" s="1267" t="s">
        <v>241</v>
      </c>
      <c r="D56" s="1267" t="s">
        <v>222</v>
      </c>
      <c r="E56" s="1268">
        <v>0.36</v>
      </c>
      <c r="F56" s="1268">
        <v>0.2</v>
      </c>
      <c r="G56" s="1268">
        <v>0.26</v>
      </c>
      <c r="H56" s="1269">
        <f>SUM(E56:G56)</f>
        <v>0.82</v>
      </c>
      <c r="I56" s="1298">
        <v>2.45</v>
      </c>
      <c r="J56" s="1247"/>
      <c r="K56" s="1247"/>
      <c r="L56" s="1299"/>
      <c r="M56" s="7"/>
      <c r="N56" s="7"/>
      <c r="O56" s="327"/>
      <c r="P56" s="327"/>
      <c r="Q56" s="327"/>
      <c r="R56" s="547"/>
      <c r="S56" s="1307"/>
      <c r="T56" s="1307"/>
      <c r="U56" s="1307"/>
      <c r="V56" s="1307"/>
      <c r="W56" s="1307"/>
      <c r="X56" s="1316"/>
    </row>
    <row r="57" s="1223" customFormat="1" spans="2:24">
      <c r="B57" s="1270" t="s">
        <v>300</v>
      </c>
      <c r="C57" s="1271" t="s">
        <v>241</v>
      </c>
      <c r="D57" s="1271" t="s">
        <v>225</v>
      </c>
      <c r="E57" s="1272">
        <v>0.4</v>
      </c>
      <c r="F57" s="1272">
        <v>0.2</v>
      </c>
      <c r="G57" s="1272">
        <v>0.26</v>
      </c>
      <c r="H57" s="1273">
        <f>SUM(E57:G57)</f>
        <v>0.86</v>
      </c>
      <c r="I57" s="1300">
        <v>2.99</v>
      </c>
      <c r="J57" s="1247"/>
      <c r="K57" s="1247"/>
      <c r="L57" s="1299"/>
      <c r="M57" s="7"/>
      <c r="N57" s="7"/>
      <c r="O57" s="327"/>
      <c r="P57" s="327"/>
      <c r="Q57" s="327"/>
      <c r="R57" s="547"/>
      <c r="S57" s="1307"/>
      <c r="T57" s="1307"/>
      <c r="U57" s="1307"/>
      <c r="V57" s="1307"/>
      <c r="W57" s="1307"/>
      <c r="X57" s="1316"/>
    </row>
    <row r="58" s="1223" customFormat="1" spans="2:24">
      <c r="B58" s="1274" t="s">
        <v>301</v>
      </c>
      <c r="C58" s="1267" t="s">
        <v>221</v>
      </c>
      <c r="D58" s="1267" t="s">
        <v>245</v>
      </c>
      <c r="E58" s="1268">
        <v>0.37</v>
      </c>
      <c r="F58" s="1268">
        <v>0.2</v>
      </c>
      <c r="G58" s="1268">
        <v>0.26</v>
      </c>
      <c r="H58" s="1269">
        <f>SUM(E58:G58)</f>
        <v>0.83</v>
      </c>
      <c r="I58" s="1298">
        <v>1.99</v>
      </c>
      <c r="J58" s="1247"/>
      <c r="K58" s="1247"/>
      <c r="L58" s="1299"/>
      <c r="M58" s="7"/>
      <c r="N58" s="7"/>
      <c r="O58" s="327"/>
      <c r="P58" s="327"/>
      <c r="Q58" s="327"/>
      <c r="R58" s="547"/>
      <c r="S58" s="1307"/>
      <c r="T58" s="1307"/>
      <c r="U58" s="1307"/>
      <c r="V58" s="1307"/>
      <c r="W58" s="1307"/>
      <c r="X58" s="1316"/>
    </row>
    <row r="59" s="1223" customFormat="1" spans="2:23">
      <c r="B59" s="547"/>
      <c r="C59" s="6"/>
      <c r="D59" s="1275"/>
      <c r="E59" s="1275"/>
      <c r="F59" s="1275"/>
      <c r="G59" s="1276"/>
      <c r="H59" s="1277"/>
      <c r="I59" s="1247"/>
      <c r="J59" s="1247"/>
      <c r="K59" s="1299"/>
      <c r="L59" s="7"/>
      <c r="M59" s="7"/>
      <c r="N59" s="327"/>
      <c r="O59" s="327"/>
      <c r="P59" s="327"/>
      <c r="Q59" s="547"/>
      <c r="R59" s="1307"/>
      <c r="S59" s="1307"/>
      <c r="T59" s="1307"/>
      <c r="U59" s="1307"/>
      <c r="V59" s="1307"/>
      <c r="W59" s="1316"/>
    </row>
    <row r="60" s="21" customFormat="1" spans="2:23">
      <c r="B60" s="326"/>
      <c r="C60" s="326"/>
      <c r="D60" s="1278"/>
      <c r="E60" s="1278"/>
      <c r="F60" s="326"/>
      <c r="G60" s="326"/>
      <c r="H60" s="326"/>
      <c r="I60" s="326"/>
      <c r="J60" s="326"/>
      <c r="K60" s="326"/>
      <c r="L60" s="326"/>
      <c r="M60" s="326"/>
      <c r="N60" s="326"/>
      <c r="O60" s="326"/>
      <c r="P60" s="326"/>
      <c r="Q60" s="326"/>
      <c r="R60" s="326"/>
      <c r="S60" s="326"/>
      <c r="T60" s="326"/>
      <c r="U60" s="326"/>
      <c r="V60" s="326"/>
      <c r="W60" s="326"/>
    </row>
    <row r="61" s="21" customFormat="1" ht="15.75" spans="1:23">
      <c r="A61" s="1229">
        <v>3</v>
      </c>
      <c r="B61" s="1258" t="s">
        <v>307</v>
      </c>
      <c r="C61" s="1258"/>
      <c r="D61" s="563"/>
      <c r="E61" s="574"/>
      <c r="F61" s="563"/>
      <c r="G61" s="563"/>
      <c r="H61" s="563"/>
      <c r="I61" s="563"/>
      <c r="J61" s="563"/>
      <c r="K61" s="563"/>
      <c r="L61" s="563"/>
      <c r="M61" s="1301"/>
      <c r="N61" s="1302"/>
      <c r="O61" s="563"/>
      <c r="P61" s="563"/>
      <c r="Q61" s="563"/>
      <c r="R61" s="563"/>
      <c r="S61" s="563"/>
      <c r="T61" s="563"/>
      <c r="U61" s="563"/>
      <c r="V61" s="326"/>
      <c r="W61" s="326"/>
    </row>
    <row r="62" s="1223" customFormat="1" ht="15.75" spans="1:23">
      <c r="A62" s="544"/>
      <c r="B62" s="1279"/>
      <c r="C62" s="7"/>
      <c r="D62" s="7"/>
      <c r="E62" s="547"/>
      <c r="F62" s="7"/>
      <c r="G62" s="7"/>
      <c r="H62" s="7"/>
      <c r="I62" s="7"/>
      <c r="J62" s="7"/>
      <c r="K62" s="7"/>
      <c r="L62" s="7"/>
      <c r="M62" s="1303"/>
      <c r="N62" s="1302"/>
      <c r="O62" s="7"/>
      <c r="P62" s="7"/>
      <c r="Q62" s="7"/>
      <c r="R62" s="7"/>
      <c r="S62" s="7"/>
      <c r="T62" s="7"/>
      <c r="U62" s="7"/>
      <c r="V62" s="327"/>
      <c r="W62" s="327"/>
    </row>
    <row r="63" s="21" customFormat="1" ht="12" spans="2:23">
      <c r="B63" s="540"/>
      <c r="C63" s="1280"/>
      <c r="D63" s="1281"/>
      <c r="E63" s="1281"/>
      <c r="F63" s="1281"/>
      <c r="G63" s="1281"/>
      <c r="H63" s="563"/>
      <c r="I63" s="1301"/>
      <c r="J63" s="563"/>
      <c r="K63" s="563"/>
      <c r="L63" s="563"/>
      <c r="M63" s="563"/>
      <c r="N63" s="563"/>
      <c r="O63" s="563"/>
      <c r="P63" s="563"/>
      <c r="Q63" s="563"/>
      <c r="R63" s="563"/>
      <c r="S63" s="563"/>
      <c r="T63" s="563"/>
      <c r="U63" s="563"/>
      <c r="V63" s="326"/>
      <c r="W63" s="326"/>
    </row>
    <row r="64" s="21" customFormat="1" ht="12" spans="2:23">
      <c r="B64" s="4"/>
      <c r="C64" s="1249" t="s">
        <v>103</v>
      </c>
      <c r="D64" s="1249" t="s">
        <v>104</v>
      </c>
      <c r="E64" s="1282" t="s">
        <v>105</v>
      </c>
      <c r="F64" s="1281"/>
      <c r="G64" s="1281"/>
      <c r="J64" s="1225"/>
      <c r="K64" s="563"/>
      <c r="L64" s="563"/>
      <c r="M64" s="563"/>
      <c r="N64" s="563"/>
      <c r="O64" s="563"/>
      <c r="P64" s="563"/>
      <c r="Q64" s="563"/>
      <c r="R64" s="563"/>
      <c r="S64" s="563"/>
      <c r="T64" s="563"/>
      <c r="U64" s="563"/>
      <c r="V64" s="326"/>
      <c r="W64" s="326"/>
    </row>
    <row r="65" s="21" customFormat="1" spans="2:23">
      <c r="B65" s="1319" t="s">
        <v>308</v>
      </c>
      <c r="C65" s="1320">
        <f>VLOOKUP(2.11,'Sim-Report'!1:1048576,3+CycleInCalculation,FALSE)</f>
        <v>84000</v>
      </c>
      <c r="D65" s="1320">
        <f>VLOOKUP(2.12,'Sim-Report'!1:1048576,3+CycleInCalculation,FALSE)</f>
        <v>80000</v>
      </c>
      <c r="E65" s="1320">
        <f>VLOOKUP(2.13,'Sim-Report'!1:1048576,3+CycleInCalculation,FALSE)</f>
        <v>76640</v>
      </c>
      <c r="F65" s="1321"/>
      <c r="G65" s="6"/>
      <c r="J65" s="1225"/>
      <c r="K65" s="563"/>
      <c r="L65" s="563"/>
      <c r="M65" s="563"/>
      <c r="N65" s="563"/>
      <c r="O65" s="563"/>
      <c r="P65" s="563"/>
      <c r="Q65" s="563"/>
      <c r="R65" s="563"/>
      <c r="S65" s="563"/>
      <c r="T65" s="563"/>
      <c r="U65" s="563"/>
      <c r="V65" s="326"/>
      <c r="W65" s="326"/>
    </row>
    <row r="66" s="21" customFormat="1" spans="2:23">
      <c r="B66" s="4" t="s">
        <v>309</v>
      </c>
      <c r="C66" s="1322">
        <f>VLOOKUP(2.31,'Sim-Report'!1:1048576,3+CycleInCalculation,FALSE)</f>
        <v>20500</v>
      </c>
      <c r="D66" s="1322">
        <f>VLOOKUP(2.32,'Sim-Report'!1:1048576,3+CycleInCalculation,FALSE)</f>
        <v>26650</v>
      </c>
      <c r="E66" s="1322">
        <f>VLOOKUP(2.33,'Sim-Report'!1:1048576,3+CycleInCalculation,FALSE)</f>
        <v>24505</v>
      </c>
      <c r="F66" s="1281"/>
      <c r="G66" s="1281"/>
      <c r="K66" s="326"/>
      <c r="L66" s="563"/>
      <c r="M66" s="563"/>
      <c r="N66" s="563"/>
      <c r="O66" s="563"/>
      <c r="P66" s="563"/>
      <c r="Q66" s="563"/>
      <c r="R66" s="563"/>
      <c r="S66" s="563"/>
      <c r="T66" s="563"/>
      <c r="U66" s="563"/>
      <c r="V66" s="563"/>
      <c r="W66" s="326"/>
    </row>
    <row r="67" s="21" customFormat="1" spans="2:23">
      <c r="B67" s="1319" t="s">
        <v>69</v>
      </c>
      <c r="C67" s="1320">
        <f>VLOOKUP(2.41,'Sim-Report'!1:1048576,3+CycleInCalculation,FALSE)</f>
        <v>86900</v>
      </c>
      <c r="D67" s="1320">
        <f>VLOOKUP(2.42,'Sim-Report'!1:1048576,3+CycleInCalculation,FALSE)</f>
        <v>72790</v>
      </c>
      <c r="E67" s="1320">
        <f>VLOOKUP(2.43,'Sim-Report'!1:1048576,3+CycleInCalculation,FALSE)</f>
        <v>61409</v>
      </c>
      <c r="F67" s="1281"/>
      <c r="G67" s="1281"/>
      <c r="K67" s="326"/>
      <c r="L67" s="563"/>
      <c r="M67" s="563"/>
      <c r="N67" s="573"/>
      <c r="O67" s="563"/>
      <c r="P67" s="563"/>
      <c r="Q67" s="563"/>
      <c r="R67" s="563"/>
      <c r="S67" s="563"/>
      <c r="T67" s="563"/>
      <c r="U67" s="563"/>
      <c r="V67" s="563"/>
      <c r="W67" s="326"/>
    </row>
    <row r="68" s="21" customFormat="1" spans="2:23">
      <c r="B68" s="4" t="s">
        <v>172</v>
      </c>
      <c r="C68" s="1322">
        <f>VLOOKUP(2.51,'Sim-Report'!1:1048576,3+CycleInCalculation,FALSE)</f>
        <v>67500</v>
      </c>
      <c r="D68" s="1322">
        <f>VLOOKUP(2.52,'Sim-Report'!1:1048576,3+CycleInCalculation,FALSE)</f>
        <v>70875</v>
      </c>
      <c r="E68" s="1322">
        <f>VLOOKUP(2.53,'Sim-Report'!1:1048576,3+CycleInCalculation,FALSE)</f>
        <v>74418.75</v>
      </c>
      <c r="F68" s="1281"/>
      <c r="G68" s="1281"/>
      <c r="K68" s="326"/>
      <c r="L68" s="563"/>
      <c r="M68" s="563"/>
      <c r="N68" s="563"/>
      <c r="O68" s="563"/>
      <c r="P68" s="563"/>
      <c r="Q68" s="563"/>
      <c r="R68" s="563"/>
      <c r="S68" s="563"/>
      <c r="T68" s="563"/>
      <c r="U68" s="563"/>
      <c r="V68" s="563"/>
      <c r="W68" s="326"/>
    </row>
    <row r="69" s="21" customFormat="1" spans="2:23">
      <c r="B69" s="1319" t="s">
        <v>310</v>
      </c>
      <c r="C69" s="1320">
        <f>VLOOKUP(2.61,'Sim-Report'!1:1048576,3+CycleInCalculation,FALSE)</f>
        <v>14156.2481792543</v>
      </c>
      <c r="D69" s="1320">
        <f>VLOOKUP(2.62,'Sim-Report'!1:1048576,3+CycleInCalculation,FALSE)</f>
        <v>14156.2481792543</v>
      </c>
      <c r="E69" s="1320">
        <f>VLOOKUP(2.63,'Sim-Report'!1:1048576,3+CycleInCalculation,FALSE)</f>
        <v>14156.2481792543</v>
      </c>
      <c r="F69" s="1281"/>
      <c r="G69" s="1281"/>
      <c r="K69" s="326"/>
      <c r="L69" s="563"/>
      <c r="M69" s="563"/>
      <c r="N69" s="563"/>
      <c r="O69" s="563"/>
      <c r="P69" s="563"/>
      <c r="Q69" s="563"/>
      <c r="R69" s="563"/>
      <c r="S69" s="563"/>
      <c r="T69" s="563"/>
      <c r="U69" s="563"/>
      <c r="V69" s="563"/>
      <c r="W69" s="326"/>
    </row>
    <row r="70" s="21" customFormat="1" spans="2:23">
      <c r="B70" s="7"/>
      <c r="C70" s="1323"/>
      <c r="D70" s="7"/>
      <c r="E70" s="7"/>
      <c r="F70" s="563"/>
      <c r="G70" s="563"/>
      <c r="K70" s="326"/>
      <c r="L70" s="563"/>
      <c r="M70" s="563"/>
      <c r="N70" s="563"/>
      <c r="O70" s="563"/>
      <c r="P70" s="563"/>
      <c r="Q70" s="563"/>
      <c r="R70" s="7"/>
      <c r="S70" s="563"/>
      <c r="T70" s="563"/>
      <c r="U70" s="563"/>
      <c r="V70" s="326"/>
      <c r="W70" s="326"/>
    </row>
    <row r="71" s="21" customFormat="1" spans="2:23">
      <c r="B71" s="5" t="s">
        <v>311</v>
      </c>
      <c r="C71" s="1324">
        <f>SUM(C65:C70)</f>
        <v>273056.248179254</v>
      </c>
      <c r="D71" s="1325">
        <f>SUM(D65:D70)</f>
        <v>264471.248179254</v>
      </c>
      <c r="E71" s="1325">
        <f>SUM(E65:E70)</f>
        <v>251128.998179254</v>
      </c>
      <c r="F71" s="563"/>
      <c r="G71" s="563"/>
      <c r="H71" s="573"/>
      <c r="I71" s="573"/>
      <c r="J71" s="573"/>
      <c r="K71" s="326"/>
      <c r="L71" s="326"/>
      <c r="M71" s="326"/>
      <c r="N71" s="326"/>
      <c r="O71" s="326"/>
      <c r="P71" s="326"/>
      <c r="Q71" s="326"/>
      <c r="R71" s="326"/>
      <c r="S71" s="326"/>
      <c r="T71" s="326"/>
      <c r="U71" s="326"/>
      <c r="V71" s="326"/>
      <c r="W71" s="326"/>
    </row>
    <row r="72" s="21" customFormat="1" spans="2:23">
      <c r="B72" s="327"/>
      <c r="C72" s="327"/>
      <c r="D72" s="326"/>
      <c r="E72" s="326"/>
      <c r="F72" s="326"/>
      <c r="G72" s="326"/>
      <c r="H72" s="326"/>
      <c r="I72" s="326"/>
      <c r="J72" s="326"/>
      <c r="K72" s="326"/>
      <c r="L72" s="326"/>
      <c r="M72" s="326"/>
      <c r="N72" s="326"/>
      <c r="O72" s="326"/>
      <c r="P72" s="326"/>
      <c r="Q72" s="1281"/>
      <c r="R72" s="1307"/>
      <c r="S72" s="1307"/>
      <c r="T72" s="1307"/>
      <c r="U72" s="1307"/>
      <c r="V72" s="1307"/>
      <c r="W72" s="1316"/>
    </row>
    <row r="73" s="21" customFormat="1" spans="2:23">
      <c r="B73" s="327" t="s">
        <v>312</v>
      </c>
      <c r="C73" s="1326">
        <f>VLOOKUP(2.64,'Sim-Report'!1:1048576,3+CycleInCalculation,FALSE)</f>
        <v>40000</v>
      </c>
      <c r="D73" s="326"/>
      <c r="E73" s="326"/>
      <c r="F73" s="326"/>
      <c r="G73" s="326"/>
      <c r="H73" s="326"/>
      <c r="I73" s="326"/>
      <c r="J73" s="326"/>
      <c r="K73" s="326"/>
      <c r="L73" s="326"/>
      <c r="M73" s="326"/>
      <c r="N73" s="326"/>
      <c r="O73" s="326"/>
      <c r="P73" s="326"/>
      <c r="Q73" s="1281"/>
      <c r="R73" s="1307"/>
      <c r="S73" s="1307"/>
      <c r="T73" s="1307"/>
      <c r="U73" s="1307"/>
      <c r="V73" s="1307"/>
      <c r="W73" s="1316"/>
    </row>
    <row r="74" s="21" customFormat="1" spans="2:23">
      <c r="B74" s="327" t="s">
        <v>313</v>
      </c>
      <c r="C74" s="1326">
        <f>VLOOKUP(2,'Sim-Report'!1:1048576,3+CycleInCalculation,FALSE)</f>
        <v>150000</v>
      </c>
      <c r="D74" s="326"/>
      <c r="E74" s="326"/>
      <c r="F74" s="326"/>
      <c r="G74" s="326"/>
      <c r="H74" s="326"/>
      <c r="I74" s="326"/>
      <c r="J74" s="326"/>
      <c r="K74" s="326"/>
      <c r="L74" s="326"/>
      <c r="M74" s="326"/>
      <c r="N74" s="326"/>
      <c r="O74" s="326"/>
      <c r="P74" s="326"/>
      <c r="Q74" s="1281"/>
      <c r="R74" s="1307"/>
      <c r="S74" s="1307"/>
      <c r="T74" s="1307"/>
      <c r="U74" s="1307"/>
      <c r="V74" s="1307"/>
      <c r="W74" s="1316"/>
    </row>
    <row r="75" s="21" customFormat="1" spans="2:23">
      <c r="B75" s="568"/>
      <c r="C75" s="1327"/>
      <c r="D75" s="563"/>
      <c r="E75" s="563"/>
      <c r="F75" s="563"/>
      <c r="G75" s="563"/>
      <c r="H75" s="573"/>
      <c r="I75" s="573"/>
      <c r="J75" s="573"/>
      <c r="K75" s="326"/>
      <c r="L75" s="326"/>
      <c r="M75" s="326"/>
      <c r="N75" s="326"/>
      <c r="O75" s="326"/>
      <c r="P75" s="326"/>
      <c r="Q75" s="326"/>
      <c r="R75" s="326"/>
      <c r="S75" s="326"/>
      <c r="T75" s="326"/>
      <c r="U75" s="326"/>
      <c r="V75" s="326"/>
      <c r="W75" s="326"/>
    </row>
    <row r="76" s="21" customFormat="1" ht="16.5" spans="1:23">
      <c r="A76" s="1328">
        <v>4</v>
      </c>
      <c r="B76" s="1258" t="s">
        <v>314</v>
      </c>
      <c r="C76" s="1258"/>
      <c r="D76" s="326"/>
      <c r="E76" s="326"/>
      <c r="F76" s="326"/>
      <c r="G76" s="326"/>
      <c r="H76" s="326"/>
      <c r="I76" s="326"/>
      <c r="J76" s="326"/>
      <c r="K76" s="326"/>
      <c r="L76" s="326"/>
      <c r="M76" s="326"/>
      <c r="N76" s="326"/>
      <c r="O76" s="326"/>
      <c r="P76" s="326"/>
      <c r="Q76" s="326"/>
      <c r="R76" s="326"/>
      <c r="S76" s="326"/>
      <c r="T76" s="326"/>
      <c r="U76" s="326"/>
      <c r="V76" s="326"/>
      <c r="W76" s="326"/>
    </row>
    <row r="77" s="21" customFormat="1" ht="12" spans="2:23">
      <c r="B77" s="14" t="s">
        <v>315</v>
      </c>
      <c r="C77" s="14"/>
      <c r="D77" s="1329" t="s">
        <v>103</v>
      </c>
      <c r="E77" s="1329" t="s">
        <v>103</v>
      </c>
      <c r="F77" s="1329" t="s">
        <v>103</v>
      </c>
      <c r="G77" s="1329" t="s">
        <v>103</v>
      </c>
      <c r="H77" s="1329" t="s">
        <v>103</v>
      </c>
      <c r="I77" s="1329" t="s">
        <v>103</v>
      </c>
      <c r="J77" s="1329" t="s">
        <v>103</v>
      </c>
      <c r="K77" s="1329" t="s">
        <v>103</v>
      </c>
      <c r="L77" s="1329" t="s">
        <v>103</v>
      </c>
      <c r="M77" s="1329" t="s">
        <v>103</v>
      </c>
      <c r="N77" s="1329" t="s">
        <v>103</v>
      </c>
      <c r="O77" s="1329" t="s">
        <v>103</v>
      </c>
      <c r="P77" s="1338" t="s">
        <v>316</v>
      </c>
      <c r="Q77" s="326"/>
      <c r="R77" s="326"/>
      <c r="S77" s="326"/>
      <c r="T77" s="326"/>
      <c r="U77" s="326"/>
      <c r="V77" s="326"/>
      <c r="W77" s="326"/>
    </row>
    <row r="78" s="21" customFormat="1" ht="12" spans="2:23">
      <c r="B78" s="14" t="s">
        <v>285</v>
      </c>
      <c r="C78" s="14"/>
      <c r="D78" s="18" t="s">
        <v>256</v>
      </c>
      <c r="E78" s="18" t="s">
        <v>257</v>
      </c>
      <c r="F78" s="18" t="s">
        <v>258</v>
      </c>
      <c r="G78" s="18" t="s">
        <v>259</v>
      </c>
      <c r="H78" s="18" t="s">
        <v>260</v>
      </c>
      <c r="I78" s="18" t="s">
        <v>261</v>
      </c>
      <c r="J78" s="18" t="s">
        <v>262</v>
      </c>
      <c r="K78" s="18" t="s">
        <v>263</v>
      </c>
      <c r="L78" s="18" t="s">
        <v>264</v>
      </c>
      <c r="M78" s="18" t="s">
        <v>265</v>
      </c>
      <c r="N78" s="18" t="s">
        <v>266</v>
      </c>
      <c r="O78" s="18" t="s">
        <v>267</v>
      </c>
      <c r="P78" s="1338" t="s">
        <v>142</v>
      </c>
      <c r="Q78" s="326"/>
      <c r="R78" s="326"/>
      <c r="S78" s="326"/>
      <c r="T78" s="326"/>
      <c r="U78" s="326"/>
      <c r="V78" s="326"/>
      <c r="W78" s="326"/>
    </row>
    <row r="79" s="21" customFormat="1" spans="2:49">
      <c r="B79" s="548" t="s">
        <v>293</v>
      </c>
      <c r="C79" s="540" t="s">
        <v>317</v>
      </c>
      <c r="D79" s="587">
        <f>Price4_36MoPr(VarCostByProduct,B79)</f>
        <v>4.49</v>
      </c>
      <c r="E79" s="1330"/>
      <c r="F79" s="1330"/>
      <c r="G79" s="1330"/>
      <c r="H79" s="1331"/>
      <c r="I79" s="1333"/>
      <c r="J79" s="1333"/>
      <c r="K79" s="1333"/>
      <c r="L79" s="1333"/>
      <c r="M79" s="1333"/>
      <c r="N79" s="1333"/>
      <c r="O79" s="1333"/>
      <c r="P79" s="1339"/>
      <c r="Q79" s="326"/>
      <c r="R79" s="326"/>
      <c r="S79" s="326"/>
      <c r="T79" s="326"/>
      <c r="U79" s="326"/>
      <c r="V79" s="326"/>
      <c r="W79" s="326"/>
      <c r="AW79" s="1225"/>
    </row>
    <row r="80" s="21" customFormat="1" spans="2:49">
      <c r="B80" s="568"/>
      <c r="C80" s="540" t="s">
        <v>318</v>
      </c>
      <c r="D80" s="1332">
        <f>Varcosts4_36MoPr(VarCostByProduct,B79)</f>
        <v>0.82</v>
      </c>
      <c r="E80" s="1333"/>
      <c r="F80" s="1333"/>
      <c r="G80" s="1333"/>
      <c r="H80" s="1333"/>
      <c r="I80" s="1333"/>
      <c r="J80" s="1333"/>
      <c r="K80" s="1333"/>
      <c r="L80" s="1333"/>
      <c r="M80" s="1333"/>
      <c r="N80" s="1333"/>
      <c r="O80" s="1333"/>
      <c r="P80" s="1339"/>
      <c r="Q80" s="326"/>
      <c r="R80" s="326"/>
      <c r="S80" s="326"/>
      <c r="T80" s="326"/>
      <c r="U80" s="326"/>
      <c r="V80" s="326"/>
      <c r="W80" s="326"/>
      <c r="AW80" s="1225"/>
    </row>
    <row r="81" s="558" customFormat="1" spans="1:49">
      <c r="A81" s="21"/>
      <c r="B81" s="568"/>
      <c r="C81" s="554" t="s">
        <v>319</v>
      </c>
      <c r="D81" s="556">
        <f>Sales4_36MoPr(SalesJan,"FY-1",$B79)</f>
        <v>412.921728739295</v>
      </c>
      <c r="E81" s="1334">
        <f>Sales4_36MoPr(SalesFeb,"FY-1",$B79)</f>
        <v>412.921728739295</v>
      </c>
      <c r="F81" s="1334">
        <f>Sales4_36MoPr(SalesMar,"FY-1",$B79)</f>
        <v>412.921728739295</v>
      </c>
      <c r="G81" s="1334">
        <f>Sales4_36MoPr(SalesApr,"FY-1",$B79)</f>
        <v>442.26480824064</v>
      </c>
      <c r="H81" s="1334">
        <f>Sales4_36MoPr(SalesMay,"FY-1",$B79)</f>
        <v>1219.37153419593</v>
      </c>
      <c r="I81" s="1334">
        <f>Sales4_36MoPr(SalesJun,"FY-1",$B79)</f>
        <v>1270.0462836918</v>
      </c>
      <c r="J81" s="1334">
        <f>Sales4_36MoPr(SalesJul,"FY-1",$B79)</f>
        <v>1270.0462836918</v>
      </c>
      <c r="K81" s="1334">
        <f>Sales4_36MoPr(SalesAug,"FY-1",$B79)</f>
        <v>1292.56857855362</v>
      </c>
      <c r="L81" s="1334">
        <f>Sales4_36MoPr(SalesSep,"FY-1",$B79)</f>
        <v>1292.56857855362</v>
      </c>
      <c r="M81" s="1334">
        <f>Sales4_36MoPr(SalesOct,"FY-1",$B79)</f>
        <v>1040.5047318612</v>
      </c>
      <c r="N81" s="1334">
        <f>Sales4_36MoPr(SalesNov,"FY-1",$B79)</f>
        <v>642.393767705383</v>
      </c>
      <c r="O81" s="1334">
        <f>Sales4_36MoPr(SalesDec,"FY-1",$B79)</f>
        <v>642.393767705383</v>
      </c>
      <c r="P81" s="1340">
        <f>SUM(D81:O81)</f>
        <v>10350.9235204173</v>
      </c>
      <c r="Q81" s="567"/>
      <c r="R81" s="567"/>
      <c r="S81" s="567"/>
      <c r="T81" s="567"/>
      <c r="U81" s="567"/>
      <c r="V81" s="567"/>
      <c r="W81" s="567"/>
      <c r="AW81" s="1342"/>
    </row>
    <row r="82" s="21" customFormat="1" spans="2:49">
      <c r="B82" s="1335"/>
      <c r="C82" s="540" t="s">
        <v>320</v>
      </c>
      <c r="D82" s="1336">
        <f t="shared" ref="D82:O82" si="0">D81*$D79</f>
        <v>1854.01856203943</v>
      </c>
      <c r="E82" s="1337">
        <f t="shared" si="0"/>
        <v>1854.01856203943</v>
      </c>
      <c r="F82" s="1337">
        <f t="shared" si="0"/>
        <v>1854.01856203943</v>
      </c>
      <c r="G82" s="1337">
        <f t="shared" si="0"/>
        <v>1985.76898900047</v>
      </c>
      <c r="H82" s="1337">
        <f t="shared" si="0"/>
        <v>5474.97818853974</v>
      </c>
      <c r="I82" s="1337">
        <f t="shared" si="0"/>
        <v>5702.5078137762</v>
      </c>
      <c r="J82" s="1337">
        <f t="shared" si="0"/>
        <v>5702.5078137762</v>
      </c>
      <c r="K82" s="1337">
        <f t="shared" si="0"/>
        <v>5803.63291770574</v>
      </c>
      <c r="L82" s="1337">
        <f t="shared" si="0"/>
        <v>5803.63291770574</v>
      </c>
      <c r="M82" s="1337">
        <f t="shared" si="0"/>
        <v>4671.86624605678</v>
      </c>
      <c r="N82" s="1337">
        <f t="shared" si="0"/>
        <v>2884.34801699717</v>
      </c>
      <c r="O82" s="1337">
        <f t="shared" si="0"/>
        <v>2884.34801699717</v>
      </c>
      <c r="P82" s="1341">
        <f>SUM(D82:O82)</f>
        <v>46475.6466066735</v>
      </c>
      <c r="Q82" s="326"/>
      <c r="R82" s="326"/>
      <c r="S82" s="326"/>
      <c r="T82" s="326"/>
      <c r="U82" s="326"/>
      <c r="V82" s="326"/>
      <c r="W82" s="326"/>
      <c r="AW82" s="1225"/>
    </row>
    <row r="83" s="21" customFormat="1" spans="2:49">
      <c r="B83" s="568"/>
      <c r="C83" s="540" t="s">
        <v>321</v>
      </c>
      <c r="D83" s="1336">
        <f>D81*$D$80</f>
        <v>338.595817566222</v>
      </c>
      <c r="E83" s="1337">
        <f>E81*$D$80</f>
        <v>338.595817566222</v>
      </c>
      <c r="F83" s="1337">
        <f t="shared" ref="F83:O83" si="1">F81*$D80</f>
        <v>338.595817566222</v>
      </c>
      <c r="G83" s="1337">
        <f t="shared" si="1"/>
        <v>362.657142757325</v>
      </c>
      <c r="H83" s="1337">
        <f t="shared" si="1"/>
        <v>999.884658040665</v>
      </c>
      <c r="I83" s="1337">
        <f t="shared" si="1"/>
        <v>1041.43795262728</v>
      </c>
      <c r="J83" s="1337">
        <f t="shared" si="1"/>
        <v>1041.43795262728</v>
      </c>
      <c r="K83" s="1337">
        <f t="shared" si="1"/>
        <v>1059.90623441397</v>
      </c>
      <c r="L83" s="1337">
        <f t="shared" si="1"/>
        <v>1059.90623441397</v>
      </c>
      <c r="M83" s="1337">
        <f t="shared" si="1"/>
        <v>853.213880126183</v>
      </c>
      <c r="N83" s="1337">
        <f t="shared" si="1"/>
        <v>526.762889518414</v>
      </c>
      <c r="O83" s="1337">
        <f t="shared" si="1"/>
        <v>526.762889518414</v>
      </c>
      <c r="P83" s="1341">
        <f>SUM(D83:O83)</f>
        <v>8487.75728674216</v>
      </c>
      <c r="Q83" s="326"/>
      <c r="R83" s="326"/>
      <c r="S83" s="326"/>
      <c r="T83" s="326"/>
      <c r="U83" s="326"/>
      <c r="V83" s="326"/>
      <c r="W83" s="326"/>
      <c r="AW83" s="1225"/>
    </row>
    <row r="84" s="21" customFormat="1" spans="2:49">
      <c r="B84" s="568"/>
      <c r="C84" s="540" t="s">
        <v>322</v>
      </c>
      <c r="D84" s="1336">
        <f>D82-D83</f>
        <v>1515.42274447321</v>
      </c>
      <c r="E84" s="1337">
        <f t="shared" ref="E84:O84" si="2">E82-E83</f>
        <v>1515.42274447321</v>
      </c>
      <c r="F84" s="1337">
        <f t="shared" si="2"/>
        <v>1515.42274447321</v>
      </c>
      <c r="G84" s="1337">
        <f t="shared" si="2"/>
        <v>1623.11184624315</v>
      </c>
      <c r="H84" s="1337">
        <f t="shared" si="2"/>
        <v>4475.09353049908</v>
      </c>
      <c r="I84" s="1337">
        <f t="shared" si="2"/>
        <v>4661.06986114892</v>
      </c>
      <c r="J84" s="1337">
        <f t="shared" si="2"/>
        <v>4661.06986114892</v>
      </c>
      <c r="K84" s="1337">
        <f t="shared" si="2"/>
        <v>4743.72668329177</v>
      </c>
      <c r="L84" s="1337">
        <f t="shared" si="2"/>
        <v>4743.72668329177</v>
      </c>
      <c r="M84" s="1337">
        <f t="shared" si="2"/>
        <v>3818.6523659306</v>
      </c>
      <c r="N84" s="1337">
        <f t="shared" si="2"/>
        <v>2357.58512747875</v>
      </c>
      <c r="O84" s="1337">
        <f t="shared" si="2"/>
        <v>2357.58512747875</v>
      </c>
      <c r="P84" s="1341">
        <f>SUM(D84:O84)</f>
        <v>37987.8893199314</v>
      </c>
      <c r="Q84" s="326"/>
      <c r="R84" s="326"/>
      <c r="S84" s="326"/>
      <c r="T84" s="326"/>
      <c r="U84" s="326"/>
      <c r="V84" s="326"/>
      <c r="W84" s="326"/>
      <c r="AW84" s="1225"/>
    </row>
    <row r="85" s="21" customFormat="1" spans="2:49">
      <c r="B85" s="548" t="s">
        <v>294</v>
      </c>
      <c r="C85" s="540" t="s">
        <v>317</v>
      </c>
      <c r="D85" s="587">
        <f>Price4_36MoPr(VarCostByProduct,B85)</f>
        <v>6.99</v>
      </c>
      <c r="E85" s="1330"/>
      <c r="F85" s="1330"/>
      <c r="G85" s="1330"/>
      <c r="H85" s="1331"/>
      <c r="I85" s="1333"/>
      <c r="J85" s="1333"/>
      <c r="K85" s="1333"/>
      <c r="L85" s="1333"/>
      <c r="M85" s="1333"/>
      <c r="N85" s="1333"/>
      <c r="O85" s="1333"/>
      <c r="P85" s="1341"/>
      <c r="Q85" s="326"/>
      <c r="R85" s="326"/>
      <c r="S85" s="326"/>
      <c r="T85" s="326"/>
      <c r="U85" s="326"/>
      <c r="V85" s="326"/>
      <c r="W85" s="326"/>
      <c r="AW85" s="1225"/>
    </row>
    <row r="86" s="21" customFormat="1" spans="2:49">
      <c r="B86" s="568"/>
      <c r="C86" s="540" t="s">
        <v>318</v>
      </c>
      <c r="D86" s="1332">
        <f>Varcosts4_36MoPr(VarCostByProduct,B85)</f>
        <v>0.86</v>
      </c>
      <c r="E86" s="1333"/>
      <c r="F86" s="1333"/>
      <c r="G86" s="1333"/>
      <c r="H86" s="1333"/>
      <c r="I86" s="1333"/>
      <c r="J86" s="1333"/>
      <c r="K86" s="1333"/>
      <c r="L86" s="1333"/>
      <c r="M86" s="1333"/>
      <c r="N86" s="1333"/>
      <c r="O86" s="1333"/>
      <c r="P86" s="1341"/>
      <c r="Q86" s="326"/>
      <c r="R86" s="326"/>
      <c r="S86" s="326"/>
      <c r="T86" s="326"/>
      <c r="U86" s="326"/>
      <c r="V86" s="326"/>
      <c r="W86" s="326"/>
      <c r="AW86" s="1225"/>
    </row>
    <row r="87" s="558" customFormat="1" spans="1:49">
      <c r="A87" s="21"/>
      <c r="B87" s="568"/>
      <c r="C87" s="554" t="s">
        <v>319</v>
      </c>
      <c r="D87" s="556">
        <f>Sales4_36MoPr(SalesJan,"FY-1",$B85)</f>
        <v>488.290155440415</v>
      </c>
      <c r="E87" s="1334">
        <f>Sales4_36MoPr(SalesFeb,"FY-1",$B85)</f>
        <v>420.714285714286</v>
      </c>
      <c r="F87" s="1334">
        <f>Sales4_36MoPr(SalesMar,"FY-1",$B85)</f>
        <v>488.290155440415</v>
      </c>
      <c r="G87" s="1334">
        <f>Sales4_36MoPr(SalesApr,"FY-1",$B85)</f>
        <v>621.704233095107</v>
      </c>
      <c r="H87" s="1334">
        <f>Sales4_36MoPr(SalesMay,"FY-1",$B85)</f>
        <v>1216.22822266176</v>
      </c>
      <c r="I87" s="1334">
        <f>Sales4_36MoPr(SalesJun,"FY-1",$B85)</f>
        <v>1198.30180748214</v>
      </c>
      <c r="J87" s="1334">
        <f>Sales4_36MoPr(SalesJul,"FY-1",$B85)</f>
        <v>1198.30180748214</v>
      </c>
      <c r="K87" s="1334">
        <f>Sales4_36MoPr(SalesAug,"FY-1",$B85)</f>
        <v>1127.32721121315</v>
      </c>
      <c r="L87" s="1334">
        <f>Sales4_36MoPr(SalesSep,"FY-1",$B85)</f>
        <v>1127.32721121315</v>
      </c>
      <c r="M87" s="1334">
        <f>Sales4_36MoPr(SalesOct,"FY-1",$B85)</f>
        <v>1216.22822266176</v>
      </c>
      <c r="N87" s="1334">
        <f>Sales4_36MoPr(SalesNov,"FY-1",$B85)</f>
        <v>488.290155440415</v>
      </c>
      <c r="O87" s="1334">
        <f>Sales4_36MoPr(SalesDec,"FY-1",$B85)</f>
        <v>420.714285714286</v>
      </c>
      <c r="P87" s="1340">
        <f>SUM(D87:O87)</f>
        <v>10011.717753559</v>
      </c>
      <c r="Q87" s="567"/>
      <c r="R87" s="567"/>
      <c r="S87" s="567"/>
      <c r="T87" s="567"/>
      <c r="U87" s="567"/>
      <c r="V87" s="567"/>
      <c r="W87" s="567"/>
      <c r="AW87" s="1342"/>
    </row>
    <row r="88" s="21" customFormat="1" spans="2:49">
      <c r="B88" s="1335"/>
      <c r="C88" s="540" t="s">
        <v>320</v>
      </c>
      <c r="D88" s="1336">
        <f t="shared" ref="D88:O88" si="3">D87*$D85</f>
        <v>3413.1481865285</v>
      </c>
      <c r="E88" s="1337">
        <f t="shared" si="3"/>
        <v>2940.79285714286</v>
      </c>
      <c r="F88" s="1337">
        <f t="shared" si="3"/>
        <v>3413.1481865285</v>
      </c>
      <c r="G88" s="1337">
        <f t="shared" si="3"/>
        <v>4345.7125893348</v>
      </c>
      <c r="H88" s="1337">
        <f t="shared" si="3"/>
        <v>8501.43527640571</v>
      </c>
      <c r="I88" s="1337">
        <f t="shared" si="3"/>
        <v>8376.12963430013</v>
      </c>
      <c r="J88" s="1337">
        <f t="shared" si="3"/>
        <v>8376.12963430013</v>
      </c>
      <c r="K88" s="1337">
        <f t="shared" si="3"/>
        <v>7880.01720637989</v>
      </c>
      <c r="L88" s="1337">
        <f t="shared" si="3"/>
        <v>7880.01720637989</v>
      </c>
      <c r="M88" s="1337">
        <f t="shared" si="3"/>
        <v>8501.43527640571</v>
      </c>
      <c r="N88" s="1337">
        <f t="shared" si="3"/>
        <v>3413.1481865285</v>
      </c>
      <c r="O88" s="1337">
        <f t="shared" si="3"/>
        <v>2940.79285714286</v>
      </c>
      <c r="P88" s="1341">
        <f>SUM(D88:O88)</f>
        <v>69981.9070973775</v>
      </c>
      <c r="Q88" s="326"/>
      <c r="R88" s="326"/>
      <c r="S88" s="326"/>
      <c r="T88" s="326"/>
      <c r="U88" s="326"/>
      <c r="V88" s="326"/>
      <c r="W88" s="326"/>
      <c r="AW88" s="1225"/>
    </row>
    <row r="89" s="21" customFormat="1" spans="2:49">
      <c r="B89" s="568"/>
      <c r="C89" s="540" t="s">
        <v>321</v>
      </c>
      <c r="D89" s="1336">
        <f>D87*$D$80</f>
        <v>400.39792746114</v>
      </c>
      <c r="E89" s="1337">
        <f>E87*$D$80</f>
        <v>344.985714285714</v>
      </c>
      <c r="F89" s="1337">
        <f t="shared" ref="F89:O89" si="4">F87*$D86</f>
        <v>419.929533678757</v>
      </c>
      <c r="G89" s="1337">
        <f t="shared" si="4"/>
        <v>534.665640461792</v>
      </c>
      <c r="H89" s="1337">
        <f t="shared" si="4"/>
        <v>1045.95627148911</v>
      </c>
      <c r="I89" s="1337">
        <f t="shared" si="4"/>
        <v>1030.53955443464</v>
      </c>
      <c r="J89" s="1337">
        <f t="shared" si="4"/>
        <v>1030.53955443464</v>
      </c>
      <c r="K89" s="1337">
        <f t="shared" si="4"/>
        <v>969.501401643306</v>
      </c>
      <c r="L89" s="1337">
        <f t="shared" si="4"/>
        <v>969.501401643306</v>
      </c>
      <c r="M89" s="1337">
        <f t="shared" si="4"/>
        <v>1045.95627148911</v>
      </c>
      <c r="N89" s="1337">
        <f t="shared" si="4"/>
        <v>419.929533678757</v>
      </c>
      <c r="O89" s="1337">
        <f t="shared" si="4"/>
        <v>361.814285714286</v>
      </c>
      <c r="P89" s="1341">
        <f>SUM(D89:O89)</f>
        <v>8573.71709041456</v>
      </c>
      <c r="Q89" s="326"/>
      <c r="R89" s="326"/>
      <c r="S89" s="326"/>
      <c r="T89" s="326"/>
      <c r="U89" s="326"/>
      <c r="V89" s="326"/>
      <c r="W89" s="326"/>
      <c r="AW89" s="1225"/>
    </row>
    <row r="90" s="21" customFormat="1" spans="2:49">
      <c r="B90" s="568"/>
      <c r="C90" s="540" t="s">
        <v>322</v>
      </c>
      <c r="D90" s="1336">
        <f>D88-D89</f>
        <v>3012.75025906736</v>
      </c>
      <c r="E90" s="1337">
        <f t="shared" ref="E90:O90" si="5">E88-E89</f>
        <v>2595.80714285714</v>
      </c>
      <c r="F90" s="1337">
        <f t="shared" si="5"/>
        <v>2993.21865284974</v>
      </c>
      <c r="G90" s="1337">
        <f t="shared" si="5"/>
        <v>3811.04694887301</v>
      </c>
      <c r="H90" s="1337">
        <f t="shared" si="5"/>
        <v>7455.47900491659</v>
      </c>
      <c r="I90" s="1337">
        <f t="shared" si="5"/>
        <v>7345.59007986549</v>
      </c>
      <c r="J90" s="1337">
        <f t="shared" si="5"/>
        <v>7345.59007986549</v>
      </c>
      <c r="K90" s="1337">
        <f t="shared" si="5"/>
        <v>6910.51580473659</v>
      </c>
      <c r="L90" s="1337">
        <f t="shared" si="5"/>
        <v>6910.51580473659</v>
      </c>
      <c r="M90" s="1337">
        <f t="shared" si="5"/>
        <v>7455.47900491659</v>
      </c>
      <c r="N90" s="1337">
        <f t="shared" si="5"/>
        <v>2993.21865284974</v>
      </c>
      <c r="O90" s="1337">
        <f t="shared" si="5"/>
        <v>2578.97857142857</v>
      </c>
      <c r="P90" s="1341">
        <f>SUM(D90:O90)</f>
        <v>61408.1900069629</v>
      </c>
      <c r="Q90" s="326"/>
      <c r="R90" s="326"/>
      <c r="S90" s="326"/>
      <c r="T90" s="326"/>
      <c r="U90" s="326"/>
      <c r="V90" s="326"/>
      <c r="W90" s="326"/>
      <c r="AW90" s="1225"/>
    </row>
    <row r="91" s="21" customFormat="1" spans="2:49">
      <c r="B91" s="548" t="s">
        <v>295</v>
      </c>
      <c r="C91" s="540" t="s">
        <v>317</v>
      </c>
      <c r="D91" s="587">
        <f>Price4_36MoPr(VarCostByProduct,B91)</f>
        <v>5.49</v>
      </c>
      <c r="E91" s="1330"/>
      <c r="F91" s="1330"/>
      <c r="G91" s="1330"/>
      <c r="H91" s="1331"/>
      <c r="I91" s="1333"/>
      <c r="J91" s="1333"/>
      <c r="K91" s="1333"/>
      <c r="L91" s="1333"/>
      <c r="M91" s="1333"/>
      <c r="N91" s="1333"/>
      <c r="O91" s="1333"/>
      <c r="P91" s="1341"/>
      <c r="Q91" s="326"/>
      <c r="R91" s="326"/>
      <c r="S91" s="326"/>
      <c r="T91" s="326"/>
      <c r="U91" s="326"/>
      <c r="V91" s="326"/>
      <c r="W91" s="326"/>
      <c r="AW91" s="1225"/>
    </row>
    <row r="92" s="21" customFormat="1" spans="2:49">
      <c r="B92" s="568"/>
      <c r="C92" s="540" t="s">
        <v>318</v>
      </c>
      <c r="D92" s="1332">
        <f>Varcosts4_36MoPr(VarCostByProduct,B91)</f>
        <v>0.83</v>
      </c>
      <c r="E92" s="1333"/>
      <c r="F92" s="1333"/>
      <c r="G92" s="1333"/>
      <c r="H92" s="1333"/>
      <c r="I92" s="1333"/>
      <c r="J92" s="1333"/>
      <c r="K92" s="1333"/>
      <c r="L92" s="1333"/>
      <c r="M92" s="1333"/>
      <c r="N92" s="1333"/>
      <c r="O92" s="1333"/>
      <c r="P92" s="1341"/>
      <c r="Q92" s="326"/>
      <c r="R92" s="326"/>
      <c r="S92" s="326"/>
      <c r="T92" s="326"/>
      <c r="U92" s="326"/>
      <c r="V92" s="326"/>
      <c r="W92" s="326"/>
      <c r="AW92" s="1225"/>
    </row>
    <row r="93" s="558" customFormat="1" spans="1:49">
      <c r="A93" s="21"/>
      <c r="B93" s="568"/>
      <c r="C93" s="554" t="s">
        <v>319</v>
      </c>
      <c r="D93" s="556">
        <f>Sales4_36MoPr(SalesJan,"FY-1",$B91)</f>
        <v>0</v>
      </c>
      <c r="E93" s="1334">
        <f>Sales4_36MoPr(SalesFeb,"FY-1",$B91)</f>
        <v>0</v>
      </c>
      <c r="F93" s="1334">
        <f>Sales4_36MoPr(SalesMar,"FY-1",$B91)</f>
        <v>0</v>
      </c>
      <c r="G93" s="1334">
        <f>Sales4_36MoPr(SalesApr,"FY-1",$B91)</f>
        <v>0</v>
      </c>
      <c r="H93" s="1334">
        <f>Sales4_36MoPr(SalesMay,"FY-1",$B91)</f>
        <v>995.09581854144</v>
      </c>
      <c r="I93" s="1334">
        <f>Sales4_36MoPr(SalesJun,"FY-1",$B91)</f>
        <v>1085.55907477248</v>
      </c>
      <c r="J93" s="1334">
        <f>Sales4_36MoPr(SalesJul,"FY-1",$B91)</f>
        <v>1085.55907477248</v>
      </c>
      <c r="K93" s="1334">
        <f>Sales4_36MoPr(SalesAug,"FY-1",$B91)</f>
        <v>1085.55907477248</v>
      </c>
      <c r="L93" s="1334">
        <f>Sales4_36MoPr(SalesSep,"FY-1",$B91)</f>
        <v>1085.55907477248</v>
      </c>
      <c r="M93" s="1334">
        <f>Sales4_36MoPr(SalesOct,"FY-1",$B91)</f>
        <v>995.09581854144</v>
      </c>
      <c r="N93" s="1334">
        <f>Sales4_36MoPr(SalesNov,"FY-1",$B91)</f>
        <v>1240</v>
      </c>
      <c r="O93" s="1334">
        <f>Sales4_36MoPr(SalesDec,"FY-1",$B91)</f>
        <v>0</v>
      </c>
      <c r="P93" s="1340">
        <f>SUM(D93:O93)</f>
        <v>7572.4279361728</v>
      </c>
      <c r="Q93" s="567"/>
      <c r="R93" s="567"/>
      <c r="S93" s="567"/>
      <c r="T93" s="567"/>
      <c r="U93" s="567"/>
      <c r="V93" s="567"/>
      <c r="W93" s="567"/>
      <c r="AW93" s="1342"/>
    </row>
    <row r="94" s="21" customFormat="1" spans="2:49">
      <c r="B94" s="1335"/>
      <c r="C94" s="540" t="s">
        <v>320</v>
      </c>
      <c r="D94" s="1336">
        <f t="shared" ref="D94:O94" si="6">D93*$D91</f>
        <v>0</v>
      </c>
      <c r="E94" s="1337">
        <f t="shared" si="6"/>
        <v>0</v>
      </c>
      <c r="F94" s="1337">
        <f t="shared" si="6"/>
        <v>0</v>
      </c>
      <c r="G94" s="1337">
        <f t="shared" si="6"/>
        <v>0</v>
      </c>
      <c r="H94" s="1337">
        <f t="shared" si="6"/>
        <v>5463.07604379251</v>
      </c>
      <c r="I94" s="1337">
        <f t="shared" si="6"/>
        <v>5959.71932050092</v>
      </c>
      <c r="J94" s="1337">
        <f t="shared" si="6"/>
        <v>5959.71932050092</v>
      </c>
      <c r="K94" s="1337">
        <f t="shared" si="6"/>
        <v>5959.71932050092</v>
      </c>
      <c r="L94" s="1337">
        <f t="shared" si="6"/>
        <v>5959.71932050092</v>
      </c>
      <c r="M94" s="1337">
        <f t="shared" si="6"/>
        <v>5463.07604379251</v>
      </c>
      <c r="N94" s="1337">
        <f t="shared" si="6"/>
        <v>6807.6</v>
      </c>
      <c r="O94" s="1337">
        <f t="shared" si="6"/>
        <v>0</v>
      </c>
      <c r="P94" s="1341">
        <f>SUM(D94:O94)</f>
        <v>41572.6293695887</v>
      </c>
      <c r="Q94" s="326"/>
      <c r="R94" s="326"/>
      <c r="S94" s="326"/>
      <c r="T94" s="326"/>
      <c r="U94" s="326"/>
      <c r="V94" s="326"/>
      <c r="W94" s="326"/>
      <c r="AW94" s="1225"/>
    </row>
    <row r="95" s="21" customFormat="1" spans="2:49">
      <c r="B95" s="568"/>
      <c r="C95" s="540" t="s">
        <v>321</v>
      </c>
      <c r="D95" s="1336">
        <f>D93*$D$80</f>
        <v>0</v>
      </c>
      <c r="E95" s="1337">
        <f>E93*$D$80</f>
        <v>0</v>
      </c>
      <c r="F95" s="1337">
        <f t="shared" ref="F95:O95" si="7">F93*$D92</f>
        <v>0</v>
      </c>
      <c r="G95" s="1337">
        <f t="shared" si="7"/>
        <v>0</v>
      </c>
      <c r="H95" s="1337">
        <f t="shared" si="7"/>
        <v>825.929529389395</v>
      </c>
      <c r="I95" s="1337">
        <f t="shared" si="7"/>
        <v>901.014032061158</v>
      </c>
      <c r="J95" s="1337">
        <f t="shared" si="7"/>
        <v>901.014032061158</v>
      </c>
      <c r="K95" s="1337">
        <f t="shared" si="7"/>
        <v>901.014032061158</v>
      </c>
      <c r="L95" s="1337">
        <f t="shared" si="7"/>
        <v>901.014032061158</v>
      </c>
      <c r="M95" s="1337">
        <f t="shared" si="7"/>
        <v>825.929529389395</v>
      </c>
      <c r="N95" s="1337">
        <f t="shared" si="7"/>
        <v>1029.2</v>
      </c>
      <c r="O95" s="1337">
        <f t="shared" si="7"/>
        <v>0</v>
      </c>
      <c r="P95" s="1341">
        <f>SUM(D95:O95)</f>
        <v>6285.11518702342</v>
      </c>
      <c r="Q95" s="326"/>
      <c r="R95" s="326"/>
      <c r="S95" s="326"/>
      <c r="T95" s="326"/>
      <c r="U95" s="326"/>
      <c r="V95" s="326"/>
      <c r="W95" s="326"/>
      <c r="AW95" s="1225"/>
    </row>
    <row r="96" s="21" customFormat="1" spans="2:49">
      <c r="B96" s="568"/>
      <c r="C96" s="540" t="s">
        <v>322</v>
      </c>
      <c r="D96" s="1336">
        <f>D94-D95</f>
        <v>0</v>
      </c>
      <c r="E96" s="1337">
        <f t="shared" ref="E96:O96" si="8">E94-E95</f>
        <v>0</v>
      </c>
      <c r="F96" s="1337">
        <f t="shared" si="8"/>
        <v>0</v>
      </c>
      <c r="G96" s="1337">
        <f t="shared" si="8"/>
        <v>0</v>
      </c>
      <c r="H96" s="1337">
        <f t="shared" si="8"/>
        <v>4637.14651440311</v>
      </c>
      <c r="I96" s="1337">
        <f t="shared" si="8"/>
        <v>5058.70528843976</v>
      </c>
      <c r="J96" s="1337">
        <f t="shared" si="8"/>
        <v>5058.70528843976</v>
      </c>
      <c r="K96" s="1337">
        <f t="shared" si="8"/>
        <v>5058.70528843976</v>
      </c>
      <c r="L96" s="1337">
        <f t="shared" si="8"/>
        <v>5058.70528843976</v>
      </c>
      <c r="M96" s="1337">
        <f t="shared" si="8"/>
        <v>4637.14651440311</v>
      </c>
      <c r="N96" s="1337">
        <f t="shared" si="8"/>
        <v>5778.4</v>
      </c>
      <c r="O96" s="1337">
        <f t="shared" si="8"/>
        <v>0</v>
      </c>
      <c r="P96" s="1341">
        <f>SUM(D96:O96)</f>
        <v>35287.5141825652</v>
      </c>
      <c r="Q96" s="326"/>
      <c r="R96" s="326"/>
      <c r="S96" s="326"/>
      <c r="T96" s="326"/>
      <c r="U96" s="326"/>
      <c r="V96" s="326"/>
      <c r="W96" s="326"/>
      <c r="AW96" s="1225"/>
    </row>
    <row r="97" s="21" customFormat="1" spans="2:49">
      <c r="B97" s="548" t="s">
        <v>296</v>
      </c>
      <c r="C97" s="540" t="s">
        <v>317</v>
      </c>
      <c r="D97" s="587">
        <f>Price4_36MoPr(VarCostByProduct,B97)</f>
        <v>6.99</v>
      </c>
      <c r="E97" s="1330"/>
      <c r="F97" s="1330"/>
      <c r="G97" s="1330"/>
      <c r="H97" s="1331"/>
      <c r="I97" s="1333"/>
      <c r="J97" s="1333"/>
      <c r="K97" s="1333"/>
      <c r="L97" s="1333"/>
      <c r="M97" s="1333"/>
      <c r="N97" s="1333"/>
      <c r="O97" s="1333"/>
      <c r="P97" s="1341"/>
      <c r="Q97" s="326"/>
      <c r="R97" s="326"/>
      <c r="S97" s="326"/>
      <c r="T97" s="326"/>
      <c r="U97" s="326"/>
      <c r="V97" s="326"/>
      <c r="W97" s="326"/>
      <c r="AW97" s="1225"/>
    </row>
    <row r="98" s="21" customFormat="1" spans="2:49">
      <c r="B98" s="568"/>
      <c r="C98" s="540" t="s">
        <v>318</v>
      </c>
      <c r="D98" s="1332">
        <f>Varcosts4_36MoPr(VarCostByProduct,B97)</f>
        <v>0.84</v>
      </c>
      <c r="E98" s="1333"/>
      <c r="F98" s="1333"/>
      <c r="G98" s="1333"/>
      <c r="H98" s="1333"/>
      <c r="I98" s="1333"/>
      <c r="J98" s="1333"/>
      <c r="K98" s="1333"/>
      <c r="L98" s="1333"/>
      <c r="M98" s="1333"/>
      <c r="N98" s="1333"/>
      <c r="O98" s="1333"/>
      <c r="P98" s="1341"/>
      <c r="Q98" s="326"/>
      <c r="R98" s="326"/>
      <c r="S98" s="326"/>
      <c r="T98" s="326"/>
      <c r="U98" s="326"/>
      <c r="V98" s="326"/>
      <c r="W98" s="326"/>
      <c r="AW98" s="1225"/>
    </row>
    <row r="99" s="558" customFormat="1" spans="1:49">
      <c r="A99" s="21"/>
      <c r="B99" s="568"/>
      <c r="C99" s="554" t="s">
        <v>319</v>
      </c>
      <c r="D99" s="556">
        <f>Sales4_36MoPr(SalesJan,"FY-1",$B97)</f>
        <v>1155.9193851744</v>
      </c>
      <c r="E99" s="1334">
        <f>Sales4_36MoPr(SalesFeb,"FY-1",$B97)</f>
        <v>1155.9193851744</v>
      </c>
      <c r="F99" s="1334">
        <f>Sales4_36MoPr(SalesMar,"FY-1",$B97)</f>
        <v>1240</v>
      </c>
      <c r="G99" s="1334">
        <f>Sales4_36MoPr(SalesApr,"FY-1",$B97)</f>
        <v>1240</v>
      </c>
      <c r="H99" s="1334">
        <f>Sales4_36MoPr(SalesMay,"FY-1",$B97)</f>
        <v>1240</v>
      </c>
      <c r="I99" s="1334">
        <f>Sales4_36MoPr(SalesJun,"FY-1",$B97)</f>
        <v>2311.8387703488</v>
      </c>
      <c r="J99" s="1334">
        <f>Sales4_36MoPr(SalesJul,"FY-1",$B97)</f>
        <v>2311.8387703488</v>
      </c>
      <c r="K99" s="1334">
        <f>Sales4_36MoPr(SalesAug,"FY-1",$B97)</f>
        <v>2480</v>
      </c>
      <c r="L99" s="1334">
        <f>Sales4_36MoPr(SalesSep,"FY-1",$B97)</f>
        <v>2480</v>
      </c>
      <c r="M99" s="1334">
        <f>Sales4_36MoPr(SalesOct,"FY-1",$B97)</f>
        <v>2480</v>
      </c>
      <c r="N99" s="1334">
        <f>Sales4_36MoPr(SalesNov,"FY-1",$B97)</f>
        <v>1240</v>
      </c>
      <c r="O99" s="1334">
        <f>Sales4_36MoPr(SalesDec,"FY-1",$B97)</f>
        <v>1240</v>
      </c>
      <c r="P99" s="1340">
        <f>SUM(D99:O99)</f>
        <v>20575.5163110464</v>
      </c>
      <c r="Q99" s="567"/>
      <c r="R99" s="567"/>
      <c r="S99" s="567"/>
      <c r="T99" s="567"/>
      <c r="U99" s="567"/>
      <c r="V99" s="567"/>
      <c r="W99" s="567"/>
      <c r="AW99" s="1342"/>
    </row>
    <row r="100" s="21" customFormat="1" spans="2:49">
      <c r="B100" s="1335"/>
      <c r="C100" s="540" t="s">
        <v>320</v>
      </c>
      <c r="D100" s="1336">
        <f t="shared" ref="D100:O100" si="9">D99*$D97</f>
        <v>8079.87650236906</v>
      </c>
      <c r="E100" s="1337">
        <f t="shared" si="9"/>
        <v>8079.87650236906</v>
      </c>
      <c r="F100" s="1337">
        <f t="shared" si="9"/>
        <v>8667.6</v>
      </c>
      <c r="G100" s="1337">
        <f t="shared" si="9"/>
        <v>8667.6</v>
      </c>
      <c r="H100" s="1337">
        <f t="shared" si="9"/>
        <v>8667.6</v>
      </c>
      <c r="I100" s="1337">
        <f t="shared" si="9"/>
        <v>16159.7530047381</v>
      </c>
      <c r="J100" s="1337">
        <f t="shared" si="9"/>
        <v>16159.7530047381</v>
      </c>
      <c r="K100" s="1337">
        <f t="shared" si="9"/>
        <v>17335.2</v>
      </c>
      <c r="L100" s="1337">
        <f t="shared" si="9"/>
        <v>17335.2</v>
      </c>
      <c r="M100" s="1337">
        <f t="shared" si="9"/>
        <v>17335.2</v>
      </c>
      <c r="N100" s="1337">
        <f t="shared" si="9"/>
        <v>8667.6</v>
      </c>
      <c r="O100" s="1337">
        <f t="shared" si="9"/>
        <v>8667.6</v>
      </c>
      <c r="P100" s="1341">
        <f>SUM(D100:O100)</f>
        <v>143822.859014214</v>
      </c>
      <c r="Q100" s="326"/>
      <c r="R100" s="326"/>
      <c r="S100" s="326"/>
      <c r="T100" s="326"/>
      <c r="U100" s="326"/>
      <c r="V100" s="326"/>
      <c r="W100" s="326"/>
      <c r="AW100" s="1225"/>
    </row>
    <row r="101" s="21" customFormat="1" spans="2:49">
      <c r="B101" s="568"/>
      <c r="C101" s="540" t="s">
        <v>321</v>
      </c>
      <c r="D101" s="1336">
        <f>D99*$D$80</f>
        <v>947.853895843008</v>
      </c>
      <c r="E101" s="1337">
        <f>E99*$D$80</f>
        <v>947.853895843008</v>
      </c>
      <c r="F101" s="1337">
        <f t="shared" ref="F101:O101" si="10">F99*$D98</f>
        <v>1041.6</v>
      </c>
      <c r="G101" s="1337">
        <f t="shared" si="10"/>
        <v>1041.6</v>
      </c>
      <c r="H101" s="1337">
        <f t="shared" si="10"/>
        <v>1041.6</v>
      </c>
      <c r="I101" s="1337">
        <f t="shared" si="10"/>
        <v>1941.94456709299</v>
      </c>
      <c r="J101" s="1337">
        <f t="shared" si="10"/>
        <v>1941.94456709299</v>
      </c>
      <c r="K101" s="1337">
        <f t="shared" si="10"/>
        <v>2083.2</v>
      </c>
      <c r="L101" s="1337">
        <f t="shared" si="10"/>
        <v>2083.2</v>
      </c>
      <c r="M101" s="1337">
        <f t="shared" si="10"/>
        <v>2083.2</v>
      </c>
      <c r="N101" s="1337">
        <f t="shared" si="10"/>
        <v>1041.6</v>
      </c>
      <c r="O101" s="1337">
        <f t="shared" si="10"/>
        <v>1041.6</v>
      </c>
      <c r="P101" s="1341">
        <f>SUM(D101:O101)</f>
        <v>17237.196925872</v>
      </c>
      <c r="Q101" s="326"/>
      <c r="R101" s="326"/>
      <c r="S101" s="326"/>
      <c r="T101" s="326"/>
      <c r="U101" s="326"/>
      <c r="V101" s="326"/>
      <c r="W101" s="326"/>
      <c r="AW101" s="1225"/>
    </row>
    <row r="102" s="21" customFormat="1" spans="2:49">
      <c r="B102" s="568"/>
      <c r="C102" s="540" t="s">
        <v>322</v>
      </c>
      <c r="D102" s="1336">
        <f>D100-D101</f>
        <v>7132.02260652605</v>
      </c>
      <c r="E102" s="1337">
        <f t="shared" ref="E102:O102" si="11">E100-E101</f>
        <v>7132.02260652605</v>
      </c>
      <c r="F102" s="1337">
        <f t="shared" si="11"/>
        <v>7626</v>
      </c>
      <c r="G102" s="1337">
        <f t="shared" si="11"/>
        <v>7626</v>
      </c>
      <c r="H102" s="1337">
        <f t="shared" si="11"/>
        <v>7626</v>
      </c>
      <c r="I102" s="1337">
        <f t="shared" si="11"/>
        <v>14217.8084376451</v>
      </c>
      <c r="J102" s="1337">
        <f t="shared" si="11"/>
        <v>14217.8084376451</v>
      </c>
      <c r="K102" s="1337">
        <f t="shared" si="11"/>
        <v>15252</v>
      </c>
      <c r="L102" s="1337">
        <f t="shared" si="11"/>
        <v>15252</v>
      </c>
      <c r="M102" s="1337">
        <f t="shared" si="11"/>
        <v>15252</v>
      </c>
      <c r="N102" s="1337">
        <f t="shared" si="11"/>
        <v>7626</v>
      </c>
      <c r="O102" s="1337">
        <f t="shared" si="11"/>
        <v>7626</v>
      </c>
      <c r="P102" s="1341">
        <f>SUM(D102:O102)</f>
        <v>126585.662088342</v>
      </c>
      <c r="Q102" s="326"/>
      <c r="R102" s="326"/>
      <c r="S102" s="326"/>
      <c r="T102" s="326"/>
      <c r="U102" s="326"/>
      <c r="V102" s="326"/>
      <c r="W102" s="326"/>
      <c r="AW102" s="1225"/>
    </row>
    <row r="103" s="21" customFormat="1" spans="2:49">
      <c r="B103" s="548" t="s">
        <v>297</v>
      </c>
      <c r="C103" s="540" t="s">
        <v>317</v>
      </c>
      <c r="D103" s="587">
        <f>Price4_36MoPr(VarCostByProduct,B103)</f>
        <v>5.99</v>
      </c>
      <c r="E103" s="1330"/>
      <c r="F103" s="1330"/>
      <c r="G103" s="1330"/>
      <c r="H103" s="1331"/>
      <c r="I103" s="1333"/>
      <c r="J103" s="1333"/>
      <c r="K103" s="1333"/>
      <c r="L103" s="1333"/>
      <c r="M103" s="1333"/>
      <c r="N103" s="1333"/>
      <c r="O103" s="1333"/>
      <c r="P103" s="1341"/>
      <c r="Q103" s="326"/>
      <c r="R103" s="326"/>
      <c r="S103" s="326"/>
      <c r="T103" s="326"/>
      <c r="U103" s="326"/>
      <c r="V103" s="326"/>
      <c r="W103" s="326"/>
      <c r="AW103" s="1225"/>
    </row>
    <row r="104" s="21" customFormat="1" spans="2:49">
      <c r="B104" s="568"/>
      <c r="C104" s="540" t="s">
        <v>318</v>
      </c>
      <c r="D104" s="1332">
        <f>Varcosts4_36MoPr(VarCostByProduct,B103)</f>
        <v>0.83</v>
      </c>
      <c r="E104" s="1333"/>
      <c r="F104" s="1333"/>
      <c r="G104" s="1333"/>
      <c r="H104" s="1333"/>
      <c r="I104" s="1333"/>
      <c r="J104" s="1333"/>
      <c r="K104" s="1333"/>
      <c r="L104" s="1333"/>
      <c r="M104" s="1333"/>
      <c r="N104" s="1333"/>
      <c r="O104" s="1333"/>
      <c r="P104" s="1341"/>
      <c r="Q104" s="326"/>
      <c r="R104" s="326"/>
      <c r="S104" s="326"/>
      <c r="T104" s="326"/>
      <c r="U104" s="326"/>
      <c r="V104" s="326"/>
      <c r="W104" s="326"/>
      <c r="AW104" s="1225"/>
    </row>
    <row r="105" s="558" customFormat="1" spans="1:49">
      <c r="A105" s="21"/>
      <c r="B105" s="568"/>
      <c r="C105" s="554" t="s">
        <v>319</v>
      </c>
      <c r="D105" s="556">
        <f>Sales4_36MoPr(SalesJan,"FY-1",$B103)</f>
        <v>1155.9193851744</v>
      </c>
      <c r="E105" s="1334">
        <f>Sales4_36MoPr(SalesFeb,"FY-1",$B103)</f>
        <v>1155.9193851744</v>
      </c>
      <c r="F105" s="1334">
        <f>Sales4_36MoPr(SalesMar,"FY-1",$B103)</f>
        <v>1240</v>
      </c>
      <c r="G105" s="1334">
        <f>Sales4_36MoPr(SalesApr,"FY-1",$B103)</f>
        <v>1240</v>
      </c>
      <c r="H105" s="1334">
        <f>Sales4_36MoPr(SalesMay,"FY-1",$B103)</f>
        <v>1240</v>
      </c>
      <c r="I105" s="1334">
        <f>Sales4_36MoPr(SalesJun,"FY-1",$B103)</f>
        <v>2311.8387703488</v>
      </c>
      <c r="J105" s="1334">
        <f>Sales4_36MoPr(SalesJul,"FY-1",$B103)</f>
        <v>2311.8387703488</v>
      </c>
      <c r="K105" s="1334">
        <f>Sales4_36MoPr(SalesAug,"FY-1",$B103)</f>
        <v>2480</v>
      </c>
      <c r="L105" s="1334">
        <f>Sales4_36MoPr(SalesSep,"FY-1",$B103)</f>
        <v>2480</v>
      </c>
      <c r="M105" s="1334">
        <f>Sales4_36MoPr(SalesOct,"FY-1",$B103)</f>
        <v>2480</v>
      </c>
      <c r="N105" s="1334">
        <f>Sales4_36MoPr(SalesNov,"FY-1",$B103)</f>
        <v>1240</v>
      </c>
      <c r="O105" s="1334">
        <f>Sales4_36MoPr(SalesDec,"FY-1",$B103)</f>
        <v>1240</v>
      </c>
      <c r="P105" s="1340">
        <f>SUM(D105:O105)</f>
        <v>20575.5163110464</v>
      </c>
      <c r="Q105" s="567"/>
      <c r="R105" s="567"/>
      <c r="S105" s="567"/>
      <c r="T105" s="567"/>
      <c r="U105" s="567"/>
      <c r="V105" s="567"/>
      <c r="W105" s="567"/>
      <c r="AW105" s="1342"/>
    </row>
    <row r="106" s="21" customFormat="1" spans="2:49">
      <c r="B106" s="1335"/>
      <c r="C106" s="540" t="s">
        <v>320</v>
      </c>
      <c r="D106" s="1336">
        <f t="shared" ref="D106:O106" si="12">D105*$D103</f>
        <v>6923.95711719466</v>
      </c>
      <c r="E106" s="1337">
        <f t="shared" si="12"/>
        <v>6923.95711719466</v>
      </c>
      <c r="F106" s="1337">
        <f t="shared" si="12"/>
        <v>7427.6</v>
      </c>
      <c r="G106" s="1337">
        <f t="shared" si="12"/>
        <v>7427.6</v>
      </c>
      <c r="H106" s="1337">
        <f t="shared" si="12"/>
        <v>7427.6</v>
      </c>
      <c r="I106" s="1337">
        <f t="shared" si="12"/>
        <v>13847.9142343893</v>
      </c>
      <c r="J106" s="1337">
        <f t="shared" si="12"/>
        <v>13847.9142343893</v>
      </c>
      <c r="K106" s="1337">
        <f t="shared" si="12"/>
        <v>14855.2</v>
      </c>
      <c r="L106" s="1337">
        <f t="shared" si="12"/>
        <v>14855.2</v>
      </c>
      <c r="M106" s="1337">
        <f t="shared" si="12"/>
        <v>14855.2</v>
      </c>
      <c r="N106" s="1337">
        <f t="shared" si="12"/>
        <v>7427.6</v>
      </c>
      <c r="O106" s="1337">
        <f t="shared" si="12"/>
        <v>7427.6</v>
      </c>
      <c r="P106" s="1341">
        <f>SUM(D106:O106)</f>
        <v>123247.342703168</v>
      </c>
      <c r="Q106" s="326"/>
      <c r="R106" s="326"/>
      <c r="S106" s="326"/>
      <c r="T106" s="326"/>
      <c r="U106" s="326"/>
      <c r="V106" s="326"/>
      <c r="W106" s="326"/>
      <c r="AW106" s="1225"/>
    </row>
    <row r="107" s="21" customFormat="1" spans="2:49">
      <c r="B107" s="568"/>
      <c r="C107" s="540" t="s">
        <v>321</v>
      </c>
      <c r="D107" s="1336">
        <f>D105*$D$80</f>
        <v>947.853895843008</v>
      </c>
      <c r="E107" s="1337">
        <f>E105*$D$80</f>
        <v>947.853895843008</v>
      </c>
      <c r="F107" s="1337">
        <f t="shared" ref="F107:O107" si="13">F105*$D104</f>
        <v>1029.2</v>
      </c>
      <c r="G107" s="1337">
        <f t="shared" si="13"/>
        <v>1029.2</v>
      </c>
      <c r="H107" s="1337">
        <f t="shared" si="13"/>
        <v>1029.2</v>
      </c>
      <c r="I107" s="1337">
        <f t="shared" si="13"/>
        <v>1918.8261793895</v>
      </c>
      <c r="J107" s="1337">
        <f t="shared" si="13"/>
        <v>1918.8261793895</v>
      </c>
      <c r="K107" s="1337">
        <f t="shared" si="13"/>
        <v>2058.4</v>
      </c>
      <c r="L107" s="1337">
        <f t="shared" si="13"/>
        <v>2058.4</v>
      </c>
      <c r="M107" s="1337">
        <f t="shared" si="13"/>
        <v>2058.4</v>
      </c>
      <c r="N107" s="1337">
        <f t="shared" si="13"/>
        <v>1029.2</v>
      </c>
      <c r="O107" s="1337">
        <f t="shared" si="13"/>
        <v>1029.2</v>
      </c>
      <c r="P107" s="1341">
        <f>SUM(D107:O107)</f>
        <v>17054.560150465</v>
      </c>
      <c r="Q107" s="326"/>
      <c r="R107" s="326"/>
      <c r="S107" s="326"/>
      <c r="T107" s="326"/>
      <c r="U107" s="326"/>
      <c r="V107" s="326"/>
      <c r="W107" s="326"/>
      <c r="AW107" s="1225"/>
    </row>
    <row r="108" s="21" customFormat="1" spans="2:49">
      <c r="B108" s="568"/>
      <c r="C108" s="540" t="s">
        <v>322</v>
      </c>
      <c r="D108" s="1336">
        <f>D106-D107</f>
        <v>5976.10322135165</v>
      </c>
      <c r="E108" s="1337">
        <f t="shared" ref="E108:O108" si="14">E106-E107</f>
        <v>5976.10322135165</v>
      </c>
      <c r="F108" s="1337">
        <f t="shared" si="14"/>
        <v>6398.4</v>
      </c>
      <c r="G108" s="1337">
        <f t="shared" si="14"/>
        <v>6398.4</v>
      </c>
      <c r="H108" s="1337">
        <f t="shared" si="14"/>
        <v>6398.4</v>
      </c>
      <c r="I108" s="1337">
        <f t="shared" si="14"/>
        <v>11929.0880549998</v>
      </c>
      <c r="J108" s="1337">
        <f t="shared" si="14"/>
        <v>11929.0880549998</v>
      </c>
      <c r="K108" s="1337">
        <f t="shared" si="14"/>
        <v>12796.8</v>
      </c>
      <c r="L108" s="1337">
        <f t="shared" si="14"/>
        <v>12796.8</v>
      </c>
      <c r="M108" s="1337">
        <f t="shared" si="14"/>
        <v>12796.8</v>
      </c>
      <c r="N108" s="1337">
        <f t="shared" si="14"/>
        <v>6398.4</v>
      </c>
      <c r="O108" s="1337">
        <f t="shared" si="14"/>
        <v>6398.4</v>
      </c>
      <c r="P108" s="1341">
        <f>SUM(D108:O108)</f>
        <v>106192.782552703</v>
      </c>
      <c r="Q108" s="326"/>
      <c r="R108" s="326"/>
      <c r="S108" s="326"/>
      <c r="T108" s="326"/>
      <c r="U108" s="326"/>
      <c r="V108" s="326"/>
      <c r="W108" s="326"/>
      <c r="AW108" s="1225"/>
    </row>
    <row r="109" s="21" customFormat="1" spans="2:49">
      <c r="B109" s="548" t="s">
        <v>298</v>
      </c>
      <c r="C109" s="540" t="s">
        <v>317</v>
      </c>
      <c r="D109" s="587">
        <f>Price4_36MoPr(VarCostByProduct,B109)</f>
        <v>5.99</v>
      </c>
      <c r="E109" s="1330"/>
      <c r="F109" s="1330"/>
      <c r="G109" s="1330"/>
      <c r="H109" s="1331"/>
      <c r="I109" s="1333"/>
      <c r="J109" s="1333"/>
      <c r="K109" s="1333"/>
      <c r="L109" s="1333"/>
      <c r="M109" s="1333"/>
      <c r="N109" s="1333"/>
      <c r="O109" s="1333"/>
      <c r="P109" s="1341"/>
      <c r="Q109" s="326"/>
      <c r="R109" s="326"/>
      <c r="S109" s="326"/>
      <c r="T109" s="326"/>
      <c r="U109" s="326"/>
      <c r="V109" s="326"/>
      <c r="W109" s="326"/>
      <c r="AW109" s="1225"/>
    </row>
    <row r="110" s="21" customFormat="1" spans="2:49">
      <c r="B110" s="568"/>
      <c r="C110" s="540" t="s">
        <v>318</v>
      </c>
      <c r="D110" s="1332">
        <f>Varcosts4_36MoPr(VarCostByProduct,B109)</f>
        <v>0.83</v>
      </c>
      <c r="E110" s="1333"/>
      <c r="F110" s="1333"/>
      <c r="G110" s="1333"/>
      <c r="H110" s="1333"/>
      <c r="I110" s="1333"/>
      <c r="J110" s="1333"/>
      <c r="K110" s="1333"/>
      <c r="L110" s="1333"/>
      <c r="M110" s="1333"/>
      <c r="N110" s="1333"/>
      <c r="O110" s="1333"/>
      <c r="P110" s="1341"/>
      <c r="Q110" s="326"/>
      <c r="R110" s="326"/>
      <c r="S110" s="326"/>
      <c r="T110" s="326"/>
      <c r="U110" s="326"/>
      <c r="V110" s="326"/>
      <c r="W110" s="326"/>
      <c r="AW110" s="1225"/>
    </row>
    <row r="111" s="558" customFormat="1" spans="1:49">
      <c r="A111" s="21"/>
      <c r="B111" s="568"/>
      <c r="C111" s="554" t="s">
        <v>319</v>
      </c>
      <c r="D111" s="556">
        <f>Sales4_36MoPr(SalesJan,"FY-1",$B109)</f>
        <v>1155.9193851744</v>
      </c>
      <c r="E111" s="1334">
        <f>Sales4_36MoPr(SalesFeb,"FY-1",$B109)</f>
        <v>1155.9193851744</v>
      </c>
      <c r="F111" s="1334">
        <f>Sales4_36MoPr(SalesMar,"FY-1",$B109)</f>
        <v>1240</v>
      </c>
      <c r="G111" s="1334">
        <f>Sales4_36MoPr(SalesApr,"FY-1",$B109)</f>
        <v>1240</v>
      </c>
      <c r="H111" s="1334">
        <f>Sales4_36MoPr(SalesMay,"FY-1",$B109)</f>
        <v>1240</v>
      </c>
      <c r="I111" s="1334">
        <f>Sales4_36MoPr(SalesJun,"FY-1",$B109)</f>
        <v>2311.8387703488</v>
      </c>
      <c r="J111" s="1334">
        <f>Sales4_36MoPr(SalesJul,"FY-1",$B109)</f>
        <v>2311.8387703488</v>
      </c>
      <c r="K111" s="1334">
        <f>Sales4_36MoPr(SalesAug,"FY-1",$B109)</f>
        <v>2480</v>
      </c>
      <c r="L111" s="1334">
        <f>Sales4_36MoPr(SalesSep,"FY-1",$B109)</f>
        <v>2480</v>
      </c>
      <c r="M111" s="1334">
        <f>Sales4_36MoPr(SalesOct,"FY-1",$B109)</f>
        <v>2480</v>
      </c>
      <c r="N111" s="1334">
        <f>Sales4_36MoPr(SalesNov,"FY-1",$B109)</f>
        <v>1240</v>
      </c>
      <c r="O111" s="1334">
        <f>Sales4_36MoPr(SalesDec,"FY-1",$B109)</f>
        <v>1240</v>
      </c>
      <c r="P111" s="1340">
        <f>SUM(D111:O111)</f>
        <v>20575.5163110464</v>
      </c>
      <c r="Q111" s="567"/>
      <c r="R111" s="567"/>
      <c r="S111" s="567"/>
      <c r="T111" s="567"/>
      <c r="U111" s="567"/>
      <c r="V111" s="567"/>
      <c r="W111" s="567"/>
      <c r="AW111" s="1342"/>
    </row>
    <row r="112" s="21" customFormat="1" spans="2:49">
      <c r="B112" s="1335"/>
      <c r="C112" s="540" t="s">
        <v>320</v>
      </c>
      <c r="D112" s="1336">
        <f t="shared" ref="D112:O112" si="15">D111*$D109</f>
        <v>6923.95711719466</v>
      </c>
      <c r="E112" s="1337">
        <f t="shared" si="15"/>
        <v>6923.95711719466</v>
      </c>
      <c r="F112" s="1337">
        <f t="shared" si="15"/>
        <v>7427.6</v>
      </c>
      <c r="G112" s="1337">
        <f t="shared" si="15"/>
        <v>7427.6</v>
      </c>
      <c r="H112" s="1337">
        <f t="shared" si="15"/>
        <v>7427.6</v>
      </c>
      <c r="I112" s="1337">
        <f t="shared" si="15"/>
        <v>13847.9142343893</v>
      </c>
      <c r="J112" s="1337">
        <f t="shared" si="15"/>
        <v>13847.9142343893</v>
      </c>
      <c r="K112" s="1337">
        <f t="shared" si="15"/>
        <v>14855.2</v>
      </c>
      <c r="L112" s="1337">
        <f t="shared" si="15"/>
        <v>14855.2</v>
      </c>
      <c r="M112" s="1337">
        <f t="shared" si="15"/>
        <v>14855.2</v>
      </c>
      <c r="N112" s="1337">
        <f t="shared" si="15"/>
        <v>7427.6</v>
      </c>
      <c r="O112" s="1337">
        <f t="shared" si="15"/>
        <v>7427.6</v>
      </c>
      <c r="P112" s="1341">
        <f>SUM(D112:O112)</f>
        <v>123247.342703168</v>
      </c>
      <c r="Q112" s="326"/>
      <c r="R112" s="326"/>
      <c r="S112" s="326"/>
      <c r="T112" s="326"/>
      <c r="U112" s="326"/>
      <c r="V112" s="326"/>
      <c r="W112" s="326"/>
      <c r="AW112" s="1225"/>
    </row>
    <row r="113" s="21" customFormat="1" spans="2:49">
      <c r="B113" s="568"/>
      <c r="C113" s="540" t="s">
        <v>321</v>
      </c>
      <c r="D113" s="1336">
        <f>D111*$D$80</f>
        <v>947.853895843008</v>
      </c>
      <c r="E113" s="1337">
        <f>E111*$D$80</f>
        <v>947.853895843008</v>
      </c>
      <c r="F113" s="1337">
        <f t="shared" ref="F113:O113" si="16">F111*$D110</f>
        <v>1029.2</v>
      </c>
      <c r="G113" s="1337">
        <f t="shared" si="16"/>
        <v>1029.2</v>
      </c>
      <c r="H113" s="1337">
        <f t="shared" si="16"/>
        <v>1029.2</v>
      </c>
      <c r="I113" s="1337">
        <f t="shared" si="16"/>
        <v>1918.8261793895</v>
      </c>
      <c r="J113" s="1337">
        <f t="shared" si="16"/>
        <v>1918.8261793895</v>
      </c>
      <c r="K113" s="1337">
        <f t="shared" si="16"/>
        <v>2058.4</v>
      </c>
      <c r="L113" s="1337">
        <f t="shared" si="16"/>
        <v>2058.4</v>
      </c>
      <c r="M113" s="1337">
        <f t="shared" si="16"/>
        <v>2058.4</v>
      </c>
      <c r="N113" s="1337">
        <f t="shared" si="16"/>
        <v>1029.2</v>
      </c>
      <c r="O113" s="1337">
        <f t="shared" si="16"/>
        <v>1029.2</v>
      </c>
      <c r="P113" s="1341">
        <f>SUM(D113:O113)</f>
        <v>17054.560150465</v>
      </c>
      <c r="Q113" s="326"/>
      <c r="R113" s="326"/>
      <c r="S113" s="326"/>
      <c r="T113" s="326"/>
      <c r="U113" s="326"/>
      <c r="V113" s="326"/>
      <c r="W113" s="326"/>
      <c r="AW113" s="1225"/>
    </row>
    <row r="114" s="21" customFormat="1" spans="2:49">
      <c r="B114" s="568"/>
      <c r="C114" s="540" t="s">
        <v>322</v>
      </c>
      <c r="D114" s="1336">
        <f>D112-D113</f>
        <v>5976.10322135165</v>
      </c>
      <c r="E114" s="1337">
        <f t="shared" ref="E114:O114" si="17">E112-E113</f>
        <v>5976.10322135165</v>
      </c>
      <c r="F114" s="1337">
        <f t="shared" si="17"/>
        <v>6398.4</v>
      </c>
      <c r="G114" s="1337">
        <f t="shared" si="17"/>
        <v>6398.4</v>
      </c>
      <c r="H114" s="1337">
        <f t="shared" si="17"/>
        <v>6398.4</v>
      </c>
      <c r="I114" s="1337">
        <f t="shared" si="17"/>
        <v>11929.0880549998</v>
      </c>
      <c r="J114" s="1337">
        <f t="shared" si="17"/>
        <v>11929.0880549998</v>
      </c>
      <c r="K114" s="1337">
        <f t="shared" si="17"/>
        <v>12796.8</v>
      </c>
      <c r="L114" s="1337">
        <f t="shared" si="17"/>
        <v>12796.8</v>
      </c>
      <c r="M114" s="1337">
        <f t="shared" si="17"/>
        <v>12796.8</v>
      </c>
      <c r="N114" s="1337">
        <f t="shared" si="17"/>
        <v>6398.4</v>
      </c>
      <c r="O114" s="1337">
        <f t="shared" si="17"/>
        <v>6398.4</v>
      </c>
      <c r="P114" s="1341">
        <f>SUM(D114:O114)</f>
        <v>106192.782552703</v>
      </c>
      <c r="Q114" s="326"/>
      <c r="R114" s="326"/>
      <c r="S114" s="326"/>
      <c r="T114" s="326"/>
      <c r="U114" s="326"/>
      <c r="V114" s="326"/>
      <c r="W114" s="326"/>
      <c r="AW114" s="1225"/>
    </row>
    <row r="115" s="21" customFormat="1" spans="2:49">
      <c r="B115" s="548" t="s">
        <v>299</v>
      </c>
      <c r="C115" s="540" t="s">
        <v>317</v>
      </c>
      <c r="D115" s="587">
        <f>Price4_36MoPr(VarCostByProduct,B115)</f>
        <v>2.45</v>
      </c>
      <c r="E115" s="1330"/>
      <c r="F115" s="1330"/>
      <c r="G115" s="1330"/>
      <c r="H115" s="1331"/>
      <c r="I115" s="1333"/>
      <c r="J115" s="1333"/>
      <c r="K115" s="1333"/>
      <c r="L115" s="1333"/>
      <c r="M115" s="1333"/>
      <c r="N115" s="1333"/>
      <c r="O115" s="1333"/>
      <c r="P115" s="1341"/>
      <c r="Q115" s="326"/>
      <c r="R115" s="326"/>
      <c r="S115" s="326"/>
      <c r="T115" s="326"/>
      <c r="U115" s="326"/>
      <c r="V115" s="326"/>
      <c r="W115" s="326"/>
      <c r="AW115" s="1225"/>
    </row>
    <row r="116" s="21" customFormat="1" spans="2:49">
      <c r="B116" s="568"/>
      <c r="C116" s="540" t="s">
        <v>318</v>
      </c>
      <c r="D116" s="1332">
        <f>Varcosts4_36MoPr(VarCostByProduct,B115)</f>
        <v>0.82</v>
      </c>
      <c r="E116" s="1333"/>
      <c r="F116" s="1333"/>
      <c r="G116" s="1333"/>
      <c r="H116" s="1333"/>
      <c r="I116" s="1333"/>
      <c r="J116" s="1333"/>
      <c r="K116" s="1333"/>
      <c r="L116" s="1333"/>
      <c r="M116" s="1333"/>
      <c r="N116" s="1333"/>
      <c r="O116" s="1333"/>
      <c r="P116" s="1341"/>
      <c r="Q116" s="326"/>
      <c r="R116" s="326"/>
      <c r="S116" s="326"/>
      <c r="T116" s="326"/>
      <c r="U116" s="326"/>
      <c r="V116" s="326"/>
      <c r="W116" s="326"/>
      <c r="AW116" s="1225"/>
    </row>
    <row r="117" s="558" customFormat="1" spans="1:49">
      <c r="A117" s="21"/>
      <c r="B117" s="568"/>
      <c r="C117" s="554" t="s">
        <v>319</v>
      </c>
      <c r="D117" s="556">
        <f>Sales4_36MoPr(SalesJan,"FY-1",$B115)</f>
        <v>2067.0782712607</v>
      </c>
      <c r="E117" s="1334">
        <f>Sales4_36MoPr(SalesFeb,"FY-1",$B115)</f>
        <v>2067.0782712607</v>
      </c>
      <c r="F117" s="1334">
        <f>Sales4_36MoPr(SalesMar,"FY-1",$B115)</f>
        <v>2067.0782712607</v>
      </c>
      <c r="G117" s="1334">
        <f>Sales4_36MoPr(SalesApr,"FY-1",$B115)</f>
        <v>8117.8869407328</v>
      </c>
      <c r="H117" s="1334">
        <f>Sales4_36MoPr(SalesMay,"FY-1",$B115)</f>
        <v>7460.62846580407</v>
      </c>
      <c r="I117" s="1334">
        <f>Sales4_36MoPr(SalesJun,"FY-1",$B115)</f>
        <v>9889.95371630819</v>
      </c>
      <c r="J117" s="1334">
        <f>Sales4_36MoPr(SalesJul,"FY-1",$B115)</f>
        <v>9889.95371630819</v>
      </c>
      <c r="K117" s="1334">
        <f>Sales4_36MoPr(SalesAug,"FY-1",$B115)</f>
        <v>8627.43142144638</v>
      </c>
      <c r="L117" s="1334">
        <f>Sales4_36MoPr(SalesSep,"FY-1",$B115)</f>
        <v>8627.43142144638</v>
      </c>
      <c r="M117" s="1334">
        <f>Sales4_36MoPr(SalesOct,"FY-1",$B115)</f>
        <v>7639.4952681388</v>
      </c>
      <c r="N117" s="1334">
        <f>Sales4_36MoPr(SalesNov,"FY-1",$B115)</f>
        <v>1837.60623229462</v>
      </c>
      <c r="O117" s="1334">
        <f>Sales4_36MoPr(SalesDec,"FY-1",$B115)</f>
        <v>1837.60623229462</v>
      </c>
      <c r="P117" s="1340">
        <f>SUM(D117:O117)</f>
        <v>70129.2282285562</v>
      </c>
      <c r="Q117" s="567"/>
      <c r="R117" s="567"/>
      <c r="S117" s="567"/>
      <c r="T117" s="567"/>
      <c r="U117" s="567"/>
      <c r="V117" s="567"/>
      <c r="W117" s="567"/>
      <c r="AW117" s="1342"/>
    </row>
    <row r="118" s="21" customFormat="1" spans="2:49">
      <c r="B118" s="1335"/>
      <c r="C118" s="540" t="s">
        <v>320</v>
      </c>
      <c r="D118" s="1336">
        <f>D117*$D115</f>
        <v>5064.34176458873</v>
      </c>
      <c r="E118" s="1337">
        <f t="shared" ref="E118:O118" si="18">E117*$D115</f>
        <v>5064.34176458873</v>
      </c>
      <c r="F118" s="1337">
        <f t="shared" si="18"/>
        <v>5064.34176458873</v>
      </c>
      <c r="G118" s="1337">
        <f t="shared" si="18"/>
        <v>19888.8230047954</v>
      </c>
      <c r="H118" s="1337">
        <f t="shared" si="18"/>
        <v>18278.53974122</v>
      </c>
      <c r="I118" s="1337">
        <f t="shared" si="18"/>
        <v>24230.3866049551</v>
      </c>
      <c r="J118" s="1337">
        <f t="shared" si="18"/>
        <v>24230.3866049551</v>
      </c>
      <c r="K118" s="1337">
        <f t="shared" si="18"/>
        <v>21137.2069825436</v>
      </c>
      <c r="L118" s="1337">
        <f t="shared" si="18"/>
        <v>21137.2069825436</v>
      </c>
      <c r="M118" s="1337">
        <f t="shared" si="18"/>
        <v>18716.7634069401</v>
      </c>
      <c r="N118" s="1337">
        <f t="shared" si="18"/>
        <v>4502.13526912181</v>
      </c>
      <c r="O118" s="1337">
        <f t="shared" si="18"/>
        <v>4502.13526912181</v>
      </c>
      <c r="P118" s="1341">
        <f>SUM(D118:O118)</f>
        <v>171816.609159963</v>
      </c>
      <c r="Q118" s="326"/>
      <c r="R118" s="326"/>
      <c r="S118" s="326"/>
      <c r="T118" s="326"/>
      <c r="U118" s="326"/>
      <c r="V118" s="326"/>
      <c r="W118" s="326"/>
      <c r="AW118" s="1225"/>
    </row>
    <row r="119" s="21" customFormat="1" spans="2:49">
      <c r="B119" s="568"/>
      <c r="C119" s="540" t="s">
        <v>321</v>
      </c>
      <c r="D119" s="1336">
        <f>D117*$D$80</f>
        <v>1695.00418243378</v>
      </c>
      <c r="E119" s="1337">
        <f>E117*$D$80</f>
        <v>1695.00418243378</v>
      </c>
      <c r="F119" s="1337">
        <f t="shared" ref="F119:O119" si="19">F117*$D116</f>
        <v>1695.00418243378</v>
      </c>
      <c r="G119" s="1337">
        <f t="shared" si="19"/>
        <v>6656.6672914009</v>
      </c>
      <c r="H119" s="1337">
        <f t="shared" si="19"/>
        <v>6117.71534195933</v>
      </c>
      <c r="I119" s="1337">
        <f t="shared" si="19"/>
        <v>8109.76204737272</v>
      </c>
      <c r="J119" s="1337">
        <f t="shared" si="19"/>
        <v>8109.76204737272</v>
      </c>
      <c r="K119" s="1337">
        <f t="shared" si="19"/>
        <v>7074.49376558604</v>
      </c>
      <c r="L119" s="1337">
        <f t="shared" si="19"/>
        <v>7074.49376558604</v>
      </c>
      <c r="M119" s="1337">
        <f t="shared" si="19"/>
        <v>6264.38611987382</v>
      </c>
      <c r="N119" s="1337">
        <f t="shared" si="19"/>
        <v>1506.83711048159</v>
      </c>
      <c r="O119" s="1337">
        <f t="shared" si="19"/>
        <v>1506.83711048159</v>
      </c>
      <c r="P119" s="1341">
        <f>SUM(D119:O119)</f>
        <v>57505.9671474161</v>
      </c>
      <c r="Q119" s="326"/>
      <c r="R119" s="326"/>
      <c r="S119" s="326"/>
      <c r="T119" s="326"/>
      <c r="U119" s="326"/>
      <c r="V119" s="326"/>
      <c r="W119" s="326"/>
      <c r="AW119" s="1225"/>
    </row>
    <row r="120" s="21" customFormat="1" spans="2:49">
      <c r="B120" s="568"/>
      <c r="C120" s="540" t="s">
        <v>322</v>
      </c>
      <c r="D120" s="1336">
        <f>D118-D119</f>
        <v>3369.33758215495</v>
      </c>
      <c r="E120" s="1337">
        <f t="shared" ref="E120:O120" si="20">E118-E119</f>
        <v>3369.33758215495</v>
      </c>
      <c r="F120" s="1337">
        <f t="shared" si="20"/>
        <v>3369.33758215495</v>
      </c>
      <c r="G120" s="1337">
        <f t="shared" si="20"/>
        <v>13232.1557133945</v>
      </c>
      <c r="H120" s="1337">
        <f t="shared" si="20"/>
        <v>12160.8243992606</v>
      </c>
      <c r="I120" s="1337">
        <f t="shared" si="20"/>
        <v>16120.6245575824</v>
      </c>
      <c r="J120" s="1337">
        <f t="shared" si="20"/>
        <v>16120.6245575824</v>
      </c>
      <c r="K120" s="1337">
        <f t="shared" si="20"/>
        <v>14062.7132169576</v>
      </c>
      <c r="L120" s="1337">
        <f t="shared" si="20"/>
        <v>14062.7132169576</v>
      </c>
      <c r="M120" s="1337">
        <f t="shared" si="20"/>
        <v>12452.3772870662</v>
      </c>
      <c r="N120" s="1337">
        <f t="shared" si="20"/>
        <v>2995.29815864023</v>
      </c>
      <c r="O120" s="1337">
        <f t="shared" si="20"/>
        <v>2995.29815864023</v>
      </c>
      <c r="P120" s="1341">
        <f>SUM(D120:O120)</f>
        <v>114310.642012547</v>
      </c>
      <c r="Q120" s="326"/>
      <c r="R120" s="326"/>
      <c r="S120" s="326"/>
      <c r="T120" s="326"/>
      <c r="U120" s="326"/>
      <c r="V120" s="326"/>
      <c r="W120" s="326"/>
      <c r="AW120" s="1225"/>
    </row>
    <row r="121" s="21" customFormat="1" spans="2:49">
      <c r="B121" s="548" t="s">
        <v>300</v>
      </c>
      <c r="C121" s="540" t="s">
        <v>317</v>
      </c>
      <c r="D121" s="587">
        <f>Price4_36MoPr(VarCostByProduct,B121)</f>
        <v>2.99</v>
      </c>
      <c r="E121" s="1330"/>
      <c r="F121" s="1330"/>
      <c r="G121" s="1330"/>
      <c r="H121" s="1331"/>
      <c r="I121" s="1333"/>
      <c r="J121" s="1333"/>
      <c r="K121" s="1333"/>
      <c r="L121" s="1333"/>
      <c r="M121" s="1333"/>
      <c r="N121" s="1333"/>
      <c r="O121" s="1333"/>
      <c r="P121" s="1341"/>
      <c r="Q121" s="326"/>
      <c r="R121" s="326"/>
      <c r="S121" s="326"/>
      <c r="T121" s="326"/>
      <c r="U121" s="326"/>
      <c r="V121" s="326"/>
      <c r="W121" s="326"/>
      <c r="AW121" s="1225"/>
    </row>
    <row r="122" s="21" customFormat="1" spans="2:49">
      <c r="B122" s="568"/>
      <c r="C122" s="540" t="s">
        <v>318</v>
      </c>
      <c r="D122" s="1332">
        <f>Varcosts4_36MoPr(VarCostByProduct,B121)</f>
        <v>0.86</v>
      </c>
      <c r="E122" s="1333"/>
      <c r="F122" s="1333"/>
      <c r="G122" s="1333"/>
      <c r="H122" s="1333"/>
      <c r="I122" s="1333"/>
      <c r="J122" s="1333"/>
      <c r="K122" s="1333"/>
      <c r="L122" s="1333"/>
      <c r="M122" s="1333"/>
      <c r="N122" s="1333"/>
      <c r="O122" s="1333"/>
      <c r="P122" s="1341"/>
      <c r="Q122" s="326"/>
      <c r="R122" s="326"/>
      <c r="S122" s="326"/>
      <c r="T122" s="326"/>
      <c r="U122" s="326"/>
      <c r="V122" s="326"/>
      <c r="W122" s="326"/>
      <c r="AW122" s="1225"/>
    </row>
    <row r="123" s="558" customFormat="1" spans="1:49">
      <c r="A123" s="21"/>
      <c r="B123" s="568"/>
      <c r="C123" s="554" t="s">
        <v>319</v>
      </c>
      <c r="D123" s="556">
        <f>Sales4_36MoPr(SalesJan,"FY-1",$B121)</f>
        <v>1991.70984455959</v>
      </c>
      <c r="E123" s="1334">
        <f>Sales4_36MoPr(SalesFeb,"FY-1",$B121)</f>
        <v>2059.28571428571</v>
      </c>
      <c r="F123" s="1334">
        <f>Sales4_36MoPr(SalesMar,"FY-1",$B121)</f>
        <v>1991.70984455959</v>
      </c>
      <c r="G123" s="1334">
        <f>Sales4_36MoPr(SalesApr,"FY-1",$B121)</f>
        <v>9298.29576690489</v>
      </c>
      <c r="H123" s="1334">
        <f>Sales4_36MoPr(SalesMay,"FY-1",$B121)</f>
        <v>9921.8618164512</v>
      </c>
      <c r="I123" s="1334">
        <f>Sales4_36MoPr(SalesJun,"FY-1",$B121)</f>
        <v>12441.6981925179</v>
      </c>
      <c r="J123" s="1334">
        <f>Sales4_36MoPr(SalesJul,"FY-1",$B121)</f>
        <v>12441.6981925179</v>
      </c>
      <c r="K123" s="1334">
        <f>Sales4_36MoPr(SalesAug,"FY-1",$B121)</f>
        <v>10032.6727887869</v>
      </c>
      <c r="L123" s="1334">
        <f>Sales4_36MoPr(SalesSep,"FY-1",$B121)</f>
        <v>10032.6727887869</v>
      </c>
      <c r="M123" s="1334">
        <f>Sales4_36MoPr(SalesOct,"FY-1",$B121)</f>
        <v>9921.8618164512</v>
      </c>
      <c r="N123" s="1334">
        <f>Sales4_36MoPr(SalesNov,"FY-1",$B121)</f>
        <v>1991.70984455959</v>
      </c>
      <c r="O123" s="1334">
        <f>Sales4_36MoPr(SalesDec,"FY-1",$B121)</f>
        <v>2059.28571428571</v>
      </c>
      <c r="P123" s="1340">
        <f>SUM(D123:O123)</f>
        <v>84184.4623246669</v>
      </c>
      <c r="Q123" s="567"/>
      <c r="R123" s="567"/>
      <c r="S123" s="567"/>
      <c r="T123" s="567"/>
      <c r="U123" s="567"/>
      <c r="V123" s="567"/>
      <c r="W123" s="567"/>
      <c r="AW123" s="1342"/>
    </row>
    <row r="124" s="21" customFormat="1" spans="2:49">
      <c r="B124" s="1335"/>
      <c r="C124" s="540" t="s">
        <v>320</v>
      </c>
      <c r="D124" s="1336">
        <f t="shared" ref="D124:O124" si="21">D123*$D121</f>
        <v>5955.21243523316</v>
      </c>
      <c r="E124" s="1337">
        <f t="shared" si="21"/>
        <v>6157.26428571429</v>
      </c>
      <c r="F124" s="1337">
        <f t="shared" si="21"/>
        <v>5955.21243523316</v>
      </c>
      <c r="G124" s="1337">
        <f t="shared" si="21"/>
        <v>27801.9043430456</v>
      </c>
      <c r="H124" s="1337">
        <f t="shared" si="21"/>
        <v>29666.3668311891</v>
      </c>
      <c r="I124" s="1337">
        <f t="shared" si="21"/>
        <v>37200.6775956284</v>
      </c>
      <c r="J124" s="1337">
        <f t="shared" si="21"/>
        <v>37200.6775956284</v>
      </c>
      <c r="K124" s="1337">
        <f t="shared" si="21"/>
        <v>29997.6916384727</v>
      </c>
      <c r="L124" s="1337">
        <f t="shared" si="21"/>
        <v>29997.6916384727</v>
      </c>
      <c r="M124" s="1337">
        <f t="shared" si="21"/>
        <v>29666.3668311891</v>
      </c>
      <c r="N124" s="1337">
        <f t="shared" si="21"/>
        <v>5955.21243523316</v>
      </c>
      <c r="O124" s="1337">
        <f t="shared" si="21"/>
        <v>6157.26428571429</v>
      </c>
      <c r="P124" s="1341">
        <f>SUM(D124:O124)</f>
        <v>251711.542350754</v>
      </c>
      <c r="Q124" s="326"/>
      <c r="R124" s="326"/>
      <c r="S124" s="326"/>
      <c r="T124" s="326"/>
      <c r="U124" s="326"/>
      <c r="V124" s="326"/>
      <c r="W124" s="326"/>
      <c r="AW124" s="1225"/>
    </row>
    <row r="125" s="21" customFormat="1" spans="2:49">
      <c r="B125" s="568"/>
      <c r="C125" s="540" t="s">
        <v>321</v>
      </c>
      <c r="D125" s="1336">
        <f>D123*$D$80</f>
        <v>1633.20207253886</v>
      </c>
      <c r="E125" s="1337">
        <f>E123*$D$80</f>
        <v>1688.61428571429</v>
      </c>
      <c r="F125" s="1337">
        <f t="shared" ref="F125:O125" si="22">F123*$D122</f>
        <v>1712.87046632124</v>
      </c>
      <c r="G125" s="1337">
        <f t="shared" si="22"/>
        <v>7996.53435953821</v>
      </c>
      <c r="H125" s="1337">
        <f t="shared" si="22"/>
        <v>8532.80116214803</v>
      </c>
      <c r="I125" s="1337">
        <f t="shared" si="22"/>
        <v>10699.8604455654</v>
      </c>
      <c r="J125" s="1337">
        <f t="shared" si="22"/>
        <v>10699.8604455654</v>
      </c>
      <c r="K125" s="1337">
        <f t="shared" si="22"/>
        <v>8628.0985983567</v>
      </c>
      <c r="L125" s="1337">
        <f t="shared" si="22"/>
        <v>8628.0985983567</v>
      </c>
      <c r="M125" s="1337">
        <f t="shared" si="22"/>
        <v>8532.80116214803</v>
      </c>
      <c r="N125" s="1337">
        <f t="shared" si="22"/>
        <v>1712.87046632124</v>
      </c>
      <c r="O125" s="1337">
        <f t="shared" si="22"/>
        <v>1770.98571428571</v>
      </c>
      <c r="P125" s="1341">
        <f>SUM(D125:O125)</f>
        <v>72236.5977768597</v>
      </c>
      <c r="Q125" s="326"/>
      <c r="R125" s="326"/>
      <c r="S125" s="326"/>
      <c r="T125" s="326"/>
      <c r="U125" s="326"/>
      <c r="V125" s="326"/>
      <c r="W125" s="326"/>
      <c r="AW125" s="1225"/>
    </row>
    <row r="126" s="21" customFormat="1" spans="2:49">
      <c r="B126" s="568"/>
      <c r="C126" s="540" t="s">
        <v>322</v>
      </c>
      <c r="D126" s="1336">
        <f>D124-D125</f>
        <v>4322.0103626943</v>
      </c>
      <c r="E126" s="1337">
        <f t="shared" ref="E126:O126" si="23">E124-E125</f>
        <v>4468.65</v>
      </c>
      <c r="F126" s="1337">
        <f t="shared" si="23"/>
        <v>4242.34196891192</v>
      </c>
      <c r="G126" s="1337">
        <f t="shared" si="23"/>
        <v>19805.3699835074</v>
      </c>
      <c r="H126" s="1337">
        <f t="shared" si="23"/>
        <v>21133.5656690411</v>
      </c>
      <c r="I126" s="1337">
        <f t="shared" si="23"/>
        <v>26500.8171500631</v>
      </c>
      <c r="J126" s="1337">
        <f t="shared" si="23"/>
        <v>26500.8171500631</v>
      </c>
      <c r="K126" s="1337">
        <f t="shared" si="23"/>
        <v>21369.593040116</v>
      </c>
      <c r="L126" s="1337">
        <f t="shared" si="23"/>
        <v>21369.593040116</v>
      </c>
      <c r="M126" s="1337">
        <f t="shared" si="23"/>
        <v>21133.5656690411</v>
      </c>
      <c r="N126" s="1337">
        <f t="shared" si="23"/>
        <v>4242.34196891192</v>
      </c>
      <c r="O126" s="1337">
        <f t="shared" si="23"/>
        <v>4386.27857142857</v>
      </c>
      <c r="P126" s="1341">
        <f>SUM(D126:O126)</f>
        <v>179474.944573894</v>
      </c>
      <c r="Q126" s="326"/>
      <c r="R126" s="326"/>
      <c r="S126" s="326"/>
      <c r="T126" s="326"/>
      <c r="U126" s="326"/>
      <c r="V126" s="326"/>
      <c r="W126" s="326"/>
      <c r="AW126" s="1225"/>
    </row>
    <row r="127" s="21" customFormat="1" spans="2:49">
      <c r="B127" s="548" t="s">
        <v>301</v>
      </c>
      <c r="C127" s="540" t="s">
        <v>317</v>
      </c>
      <c r="D127" s="587">
        <f>Price4_36MoPr(VarCostByProduct,B127)</f>
        <v>1.99</v>
      </c>
      <c r="E127" s="1330"/>
      <c r="F127" s="1330"/>
      <c r="G127" s="1330"/>
      <c r="H127" s="1331"/>
      <c r="I127" s="1333"/>
      <c r="J127" s="1333"/>
      <c r="K127" s="1333"/>
      <c r="L127" s="1333"/>
      <c r="M127" s="1333"/>
      <c r="N127" s="1333"/>
      <c r="O127" s="1333"/>
      <c r="P127" s="1341"/>
      <c r="Q127" s="326"/>
      <c r="R127" s="326"/>
      <c r="S127" s="326"/>
      <c r="T127" s="326"/>
      <c r="U127" s="326"/>
      <c r="V127" s="326"/>
      <c r="W127" s="326"/>
      <c r="AW127" s="1225"/>
    </row>
    <row r="128" s="21" customFormat="1" spans="2:49">
      <c r="B128" s="568"/>
      <c r="C128" s="540" t="s">
        <v>318</v>
      </c>
      <c r="D128" s="1332">
        <f>Varcosts4_36MoPr(VarCostByProduct,B127)</f>
        <v>0.83</v>
      </c>
      <c r="E128" s="1333"/>
      <c r="F128" s="1333"/>
      <c r="G128" s="1333"/>
      <c r="H128" s="1333"/>
      <c r="I128" s="1333"/>
      <c r="J128" s="1333"/>
      <c r="K128" s="1333"/>
      <c r="L128" s="1333"/>
      <c r="M128" s="1333"/>
      <c r="N128" s="1333"/>
      <c r="O128" s="1333"/>
      <c r="P128" s="1341"/>
      <c r="Q128" s="326"/>
      <c r="R128" s="326"/>
      <c r="S128" s="326"/>
      <c r="T128" s="326"/>
      <c r="U128" s="326"/>
      <c r="V128" s="326"/>
      <c r="W128" s="326"/>
      <c r="AW128" s="1225"/>
    </row>
    <row r="129" s="558" customFormat="1" spans="1:49">
      <c r="A129" s="21"/>
      <c r="B129" s="568"/>
      <c r="C129" s="554" t="s">
        <v>319</v>
      </c>
      <c r="D129" s="556">
        <f>Sales4_36MoPr(SalesJan,"FY-1",$B127)</f>
        <v>252.241844476799</v>
      </c>
      <c r="E129" s="1334">
        <f>Sales4_36MoPr(SalesFeb,"FY-1",$B127)</f>
        <v>658.924614181116</v>
      </c>
      <c r="F129" s="1334">
        <f>Sales4_36MoPr(SalesMar,"FY-1",$B127)</f>
        <v>0</v>
      </c>
      <c r="G129" s="1334">
        <f>Sales4_36MoPr(SalesApr,"FY-1",$B127)</f>
        <v>119.84825102656</v>
      </c>
      <c r="H129" s="1334">
        <f>Sales4_36MoPr(SalesMay,"FY-1",$B127)</f>
        <v>266.8141423456</v>
      </c>
      <c r="I129" s="1334">
        <f>Sales4_36MoPr(SalesJun,"FY-1",$B127)</f>
        <v>658.924614181116</v>
      </c>
      <c r="J129" s="1334">
        <f>Sales4_36MoPr(SalesJul,"FY-1",$B127)</f>
        <v>658.924614181116</v>
      </c>
      <c r="K129" s="1334">
        <f>Sales4_36MoPr(SalesAug,"FY-1",$B127)</f>
        <v>154.440925227522</v>
      </c>
      <c r="L129" s="1334">
        <f>Sales4_36MoPr(SalesSep,"FY-1",$B127)</f>
        <v>154.440925227522</v>
      </c>
      <c r="M129" s="1334">
        <f>Sales4_36MoPr(SalesOct,"FY-1",$B127)</f>
        <v>266.8141423456</v>
      </c>
      <c r="N129" s="1334">
        <f>Sales4_36MoPr(SalesNov,"FY-1",$B127)</f>
        <v>0</v>
      </c>
      <c r="O129" s="1334">
        <f>Sales4_36MoPr(SalesDec,"FY-1",$B127)</f>
        <v>0</v>
      </c>
      <c r="P129" s="1340">
        <f>SUM(D129:O129)</f>
        <v>3191.37407319295</v>
      </c>
      <c r="Q129" s="567"/>
      <c r="R129" s="567"/>
      <c r="S129" s="567"/>
      <c r="T129" s="567"/>
      <c r="U129" s="567"/>
      <c r="V129" s="567"/>
      <c r="W129" s="567"/>
      <c r="AW129" s="1342"/>
    </row>
    <row r="130" s="21" customFormat="1" spans="2:49">
      <c r="B130" s="1335"/>
      <c r="C130" s="540" t="s">
        <v>320</v>
      </c>
      <c r="D130" s="1336">
        <f t="shared" ref="D130:O130" si="24">D129*$D127</f>
        <v>501.96127050883</v>
      </c>
      <c r="E130" s="1337">
        <f t="shared" si="24"/>
        <v>1311.25998222042</v>
      </c>
      <c r="F130" s="1337">
        <f t="shared" si="24"/>
        <v>0</v>
      </c>
      <c r="G130" s="1337">
        <f t="shared" si="24"/>
        <v>238.498019542855</v>
      </c>
      <c r="H130" s="1337">
        <f t="shared" si="24"/>
        <v>530.960143267744</v>
      </c>
      <c r="I130" s="1337">
        <f t="shared" si="24"/>
        <v>1311.25998222042</v>
      </c>
      <c r="J130" s="1337">
        <f t="shared" si="24"/>
        <v>1311.25998222042</v>
      </c>
      <c r="K130" s="1337">
        <f t="shared" si="24"/>
        <v>307.337441202768</v>
      </c>
      <c r="L130" s="1337">
        <f t="shared" si="24"/>
        <v>307.337441202768</v>
      </c>
      <c r="M130" s="1337">
        <f t="shared" si="24"/>
        <v>530.960143267744</v>
      </c>
      <c r="N130" s="1337">
        <f t="shared" si="24"/>
        <v>0</v>
      </c>
      <c r="O130" s="1337">
        <f t="shared" si="24"/>
        <v>0</v>
      </c>
      <c r="P130" s="1341">
        <f>SUM(D130:O130)</f>
        <v>6350.83440565398</v>
      </c>
      <c r="Q130" s="326"/>
      <c r="R130" s="326"/>
      <c r="S130" s="326"/>
      <c r="T130" s="326"/>
      <c r="U130" s="326"/>
      <c r="V130" s="326"/>
      <c r="W130" s="326"/>
      <c r="AW130" s="1225"/>
    </row>
    <row r="131" s="21" customFormat="1" spans="2:49">
      <c r="B131" s="568"/>
      <c r="C131" s="540" t="s">
        <v>321</v>
      </c>
      <c r="D131" s="1336">
        <f>D129*$D$80</f>
        <v>206.838312470975</v>
      </c>
      <c r="E131" s="1337">
        <f>E129*$D$80</f>
        <v>540.318183628515</v>
      </c>
      <c r="F131" s="1337">
        <f t="shared" ref="F131:O131" si="25">F129*$D128</f>
        <v>0</v>
      </c>
      <c r="G131" s="1337">
        <f t="shared" si="25"/>
        <v>99.4740483520451</v>
      </c>
      <c r="H131" s="1337">
        <f t="shared" si="25"/>
        <v>221.455738146848</v>
      </c>
      <c r="I131" s="1337">
        <f t="shared" si="25"/>
        <v>546.907429770327</v>
      </c>
      <c r="J131" s="1337">
        <f t="shared" si="25"/>
        <v>546.907429770327</v>
      </c>
      <c r="K131" s="1337">
        <f t="shared" si="25"/>
        <v>128.185967938843</v>
      </c>
      <c r="L131" s="1337">
        <f t="shared" si="25"/>
        <v>128.185967938843</v>
      </c>
      <c r="M131" s="1337">
        <f t="shared" si="25"/>
        <v>221.455738146848</v>
      </c>
      <c r="N131" s="1337">
        <f t="shared" si="25"/>
        <v>0</v>
      </c>
      <c r="O131" s="1337">
        <f t="shared" si="25"/>
        <v>0</v>
      </c>
      <c r="P131" s="1341">
        <f>SUM(D131:O131)</f>
        <v>2639.72881616357</v>
      </c>
      <c r="Q131" s="326"/>
      <c r="R131" s="326"/>
      <c r="S131" s="326"/>
      <c r="T131" s="326"/>
      <c r="U131" s="326"/>
      <c r="V131" s="326"/>
      <c r="W131" s="326"/>
      <c r="AW131" s="1225"/>
    </row>
    <row r="132" s="21" customFormat="1" spans="2:49">
      <c r="B132" s="568"/>
      <c r="C132" s="540" t="s">
        <v>322</v>
      </c>
      <c r="D132" s="1336">
        <f>D130-D131</f>
        <v>295.122958037855</v>
      </c>
      <c r="E132" s="1337">
        <f t="shared" ref="E132:O132" si="26">E130-E131</f>
        <v>770.941798591906</v>
      </c>
      <c r="F132" s="1337">
        <f t="shared" si="26"/>
        <v>0</v>
      </c>
      <c r="G132" s="1337">
        <f t="shared" si="26"/>
        <v>139.02397119081</v>
      </c>
      <c r="H132" s="1337">
        <f t="shared" si="26"/>
        <v>309.504405120896</v>
      </c>
      <c r="I132" s="1337">
        <f t="shared" si="26"/>
        <v>764.352552450095</v>
      </c>
      <c r="J132" s="1337">
        <f t="shared" si="26"/>
        <v>764.352552450095</v>
      </c>
      <c r="K132" s="1337">
        <f t="shared" si="26"/>
        <v>179.151473263925</v>
      </c>
      <c r="L132" s="1337">
        <f t="shared" si="26"/>
        <v>179.151473263925</v>
      </c>
      <c r="M132" s="1337">
        <f t="shared" si="26"/>
        <v>309.504405120896</v>
      </c>
      <c r="N132" s="1337">
        <f t="shared" si="26"/>
        <v>0</v>
      </c>
      <c r="O132" s="1337">
        <f t="shared" si="26"/>
        <v>0</v>
      </c>
      <c r="P132" s="1341">
        <f>SUM(D132:O132)</f>
        <v>3711.1055894904</v>
      </c>
      <c r="Q132" s="326"/>
      <c r="R132" s="326"/>
      <c r="S132" s="326"/>
      <c r="T132" s="326"/>
      <c r="U132" s="326"/>
      <c r="V132" s="326"/>
      <c r="W132" s="326"/>
      <c r="AW132" s="1225"/>
    </row>
    <row r="133" s="21" customFormat="1" spans="2:49">
      <c r="B133" s="568"/>
      <c r="C133" s="540"/>
      <c r="D133" s="1336"/>
      <c r="E133" s="1343"/>
      <c r="F133" s="1343"/>
      <c r="G133" s="1343"/>
      <c r="H133" s="1343"/>
      <c r="I133" s="1343"/>
      <c r="J133" s="1343"/>
      <c r="K133" s="1343"/>
      <c r="L133" s="1343"/>
      <c r="M133" s="1343"/>
      <c r="N133" s="1343"/>
      <c r="O133" s="1343"/>
      <c r="P133" s="1341"/>
      <c r="Q133" s="326"/>
      <c r="R133" s="326"/>
      <c r="S133" s="326"/>
      <c r="T133" s="326"/>
      <c r="U133" s="326"/>
      <c r="V133" s="326"/>
      <c r="W133" s="326"/>
      <c r="AW133" s="1225"/>
    </row>
    <row r="134" s="21" customFormat="1" spans="2:49">
      <c r="B134" s="568"/>
      <c r="C134" s="540" t="s">
        <v>323</v>
      </c>
      <c r="D134" s="1344">
        <f t="shared" ref="D134:O134" si="27">SUMIF($C79:$C133,"Revenue",D79:D133)</f>
        <v>38716.472955657</v>
      </c>
      <c r="E134" s="1345">
        <f t="shared" si="27"/>
        <v>39255.4681884641</v>
      </c>
      <c r="F134" s="1345">
        <f t="shared" si="27"/>
        <v>39809.5209483898</v>
      </c>
      <c r="G134" s="1345">
        <f t="shared" si="27"/>
        <v>77783.5069457191</v>
      </c>
      <c r="H134" s="1345">
        <f t="shared" si="27"/>
        <v>91438.1562244147</v>
      </c>
      <c r="I134" s="1345">
        <f t="shared" si="27"/>
        <v>126636.262424898</v>
      </c>
      <c r="J134" s="1345">
        <f t="shared" si="27"/>
        <v>126636.262424898</v>
      </c>
      <c r="K134" s="1345">
        <f t="shared" si="27"/>
        <v>118131.205506806</v>
      </c>
      <c r="L134" s="1345">
        <f t="shared" si="27"/>
        <v>118131.205506806</v>
      </c>
      <c r="M134" s="1345">
        <f t="shared" si="27"/>
        <v>114596.067947652</v>
      </c>
      <c r="N134" s="1345">
        <f t="shared" si="27"/>
        <v>47085.2439078806</v>
      </c>
      <c r="O134" s="1345">
        <f t="shared" si="27"/>
        <v>40007.3404289761</v>
      </c>
      <c r="P134" s="1341">
        <f>SUM(D134:O134)</f>
        <v>978226.713410561</v>
      </c>
      <c r="Q134" s="326"/>
      <c r="R134" s="326"/>
      <c r="S134" s="326"/>
      <c r="T134" s="326"/>
      <c r="U134" s="326"/>
      <c r="V134" s="326"/>
      <c r="W134" s="326"/>
      <c r="AW134" s="1225"/>
    </row>
    <row r="135" s="1224" customFormat="1" spans="1:49">
      <c r="A135" s="21"/>
      <c r="B135" s="568"/>
      <c r="C135" s="540" t="s">
        <v>324</v>
      </c>
      <c r="D135" s="1344">
        <f t="shared" ref="D135:O135" si="28">SUMIF($C79:$C133,"Expenses",D79:D133)</f>
        <v>7117.6</v>
      </c>
      <c r="E135" s="1345">
        <f t="shared" si="28"/>
        <v>7451.07987115754</v>
      </c>
      <c r="F135" s="1345">
        <f t="shared" si="28"/>
        <v>7266.4</v>
      </c>
      <c r="G135" s="1345">
        <f t="shared" si="28"/>
        <v>18749.9984825103</v>
      </c>
      <c r="H135" s="1345">
        <f t="shared" si="28"/>
        <v>20843.7427011734</v>
      </c>
      <c r="I135" s="1345">
        <f t="shared" si="28"/>
        <v>28109.1183877035</v>
      </c>
      <c r="J135" s="1345">
        <f t="shared" si="28"/>
        <v>28109.1183877035</v>
      </c>
      <c r="K135" s="1345">
        <f t="shared" si="28"/>
        <v>24961.2</v>
      </c>
      <c r="L135" s="1345">
        <f t="shared" si="28"/>
        <v>24961.2</v>
      </c>
      <c r="M135" s="1345">
        <f t="shared" si="28"/>
        <v>23943.7427011734</v>
      </c>
      <c r="N135" s="1345">
        <f t="shared" si="28"/>
        <v>8295.6</v>
      </c>
      <c r="O135" s="1345">
        <f t="shared" si="28"/>
        <v>7266.4</v>
      </c>
      <c r="P135" s="1341">
        <f>SUM(D135:O135)</f>
        <v>207075.200531422</v>
      </c>
      <c r="Q135" s="1353"/>
      <c r="R135" s="1353"/>
      <c r="S135" s="1353"/>
      <c r="T135" s="1353"/>
      <c r="U135" s="1353"/>
      <c r="V135" s="1353"/>
      <c r="W135" s="1353"/>
      <c r="AW135" s="1352"/>
    </row>
    <row r="136" s="21" customFormat="1" spans="2:49">
      <c r="B136" s="568"/>
      <c r="C136" s="540" t="s">
        <v>325</v>
      </c>
      <c r="D136" s="1344">
        <f t="shared" ref="D136:O136" si="29">SUMIF($C79:$C133,"Contribution",D79:D133)</f>
        <v>31598.872955657</v>
      </c>
      <c r="E136" s="1345">
        <f t="shared" si="29"/>
        <v>31804.3883173066</v>
      </c>
      <c r="F136" s="1345">
        <f t="shared" si="29"/>
        <v>32543.1209483898</v>
      </c>
      <c r="G136" s="1345">
        <f t="shared" si="29"/>
        <v>59033.5084632089</v>
      </c>
      <c r="H136" s="1345">
        <f t="shared" si="29"/>
        <v>70594.4135232414</v>
      </c>
      <c r="I136" s="1345">
        <f t="shared" si="29"/>
        <v>98527.1440371944</v>
      </c>
      <c r="J136" s="1345">
        <f t="shared" si="29"/>
        <v>98527.1440371944</v>
      </c>
      <c r="K136" s="1345">
        <f t="shared" si="29"/>
        <v>93170.0055068057</v>
      </c>
      <c r="L136" s="1345">
        <f t="shared" si="29"/>
        <v>93170.0055068057</v>
      </c>
      <c r="M136" s="1345">
        <f t="shared" si="29"/>
        <v>90652.3252464785</v>
      </c>
      <c r="N136" s="1345">
        <f t="shared" si="29"/>
        <v>38789.6439078806</v>
      </c>
      <c r="O136" s="1345">
        <f t="shared" si="29"/>
        <v>32740.9404289761</v>
      </c>
      <c r="P136" s="1341">
        <f>SUM(D136:O136)</f>
        <v>771151.512879139</v>
      </c>
      <c r="Q136" s="326"/>
      <c r="R136" s="326"/>
      <c r="S136" s="326"/>
      <c r="T136" s="326"/>
      <c r="U136" s="326"/>
      <c r="V136" s="326"/>
      <c r="W136" s="326"/>
      <c r="AW136" s="1225"/>
    </row>
    <row r="137" s="21" customFormat="1" spans="2:49">
      <c r="B137" s="568"/>
      <c r="C137" s="540"/>
      <c r="D137" s="1346"/>
      <c r="E137" s="1333"/>
      <c r="F137" s="1333"/>
      <c r="G137" s="1333"/>
      <c r="H137" s="1333"/>
      <c r="I137" s="1333"/>
      <c r="J137" s="1333"/>
      <c r="K137" s="1333"/>
      <c r="L137" s="1333"/>
      <c r="M137" s="1333"/>
      <c r="N137" s="1333"/>
      <c r="O137" s="1333"/>
      <c r="P137" s="1341"/>
      <c r="Q137" s="326"/>
      <c r="R137" s="326"/>
      <c r="S137" s="326"/>
      <c r="T137" s="326"/>
      <c r="U137" s="326"/>
      <c r="V137" s="326"/>
      <c r="W137" s="326"/>
      <c r="AW137" s="1225"/>
    </row>
    <row r="138" s="21" customFormat="1" spans="1:49">
      <c r="A138" s="558"/>
      <c r="B138" s="568" t="s">
        <v>326</v>
      </c>
      <c r="C138" s="563" t="s">
        <v>327</v>
      </c>
      <c r="D138" s="1346"/>
      <c r="E138" s="1333"/>
      <c r="F138" s="1333"/>
      <c r="G138" s="1333"/>
      <c r="H138" s="1333"/>
      <c r="I138" s="1333"/>
      <c r="J138" s="1333"/>
      <c r="K138" s="1333"/>
      <c r="L138" s="1333"/>
      <c r="M138" s="1333"/>
      <c r="N138" s="1333"/>
      <c r="O138" s="1333"/>
      <c r="P138" s="1341"/>
      <c r="Q138" s="326"/>
      <c r="R138" s="326"/>
      <c r="S138" s="326"/>
      <c r="T138" s="326"/>
      <c r="U138" s="326"/>
      <c r="V138" s="326"/>
      <c r="W138" s="326"/>
      <c r="AW138" s="1225"/>
    </row>
    <row r="139" s="21" customFormat="1" spans="2:49">
      <c r="B139" s="1225"/>
      <c r="C139" s="4" t="s">
        <v>308</v>
      </c>
      <c r="D139" s="1336">
        <f>C65/12</f>
        <v>7000</v>
      </c>
      <c r="E139" s="1337">
        <f t="shared" ref="E139:O142" si="30">$D139</f>
        <v>7000</v>
      </c>
      <c r="F139" s="1337">
        <f t="shared" si="30"/>
        <v>7000</v>
      </c>
      <c r="G139" s="1337">
        <f t="shared" si="30"/>
        <v>7000</v>
      </c>
      <c r="H139" s="1337">
        <f t="shared" si="30"/>
        <v>7000</v>
      </c>
      <c r="I139" s="1337">
        <f t="shared" si="30"/>
        <v>7000</v>
      </c>
      <c r="J139" s="1337">
        <f t="shared" si="30"/>
        <v>7000</v>
      </c>
      <c r="K139" s="1337">
        <f t="shared" si="30"/>
        <v>7000</v>
      </c>
      <c r="L139" s="1337">
        <f t="shared" si="30"/>
        <v>7000</v>
      </c>
      <c r="M139" s="1337">
        <f t="shared" si="30"/>
        <v>7000</v>
      </c>
      <c r="N139" s="1337">
        <f t="shared" si="30"/>
        <v>7000</v>
      </c>
      <c r="O139" s="1337">
        <f t="shared" si="30"/>
        <v>7000</v>
      </c>
      <c r="P139" s="1341">
        <f>SUM(D139:O139)</f>
        <v>84000</v>
      </c>
      <c r="Q139" s="326"/>
      <c r="R139" s="326"/>
      <c r="S139" s="326"/>
      <c r="T139" s="326"/>
      <c r="U139" s="326"/>
      <c r="V139" s="326"/>
      <c r="W139" s="326"/>
      <c r="AW139" s="1225"/>
    </row>
    <row r="140" s="21" customFormat="1" spans="2:49">
      <c r="B140" s="1225"/>
      <c r="C140" s="4" t="s">
        <v>309</v>
      </c>
      <c r="D140" s="1347">
        <f>C66/12</f>
        <v>1708.33333333333</v>
      </c>
      <c r="E140" s="1337">
        <f t="shared" si="30"/>
        <v>1708.33333333333</v>
      </c>
      <c r="F140" s="1337">
        <f t="shared" si="30"/>
        <v>1708.33333333333</v>
      </c>
      <c r="G140" s="1337">
        <f t="shared" si="30"/>
        <v>1708.33333333333</v>
      </c>
      <c r="H140" s="1337">
        <f t="shared" si="30"/>
        <v>1708.33333333333</v>
      </c>
      <c r="I140" s="1337">
        <f t="shared" si="30"/>
        <v>1708.33333333333</v>
      </c>
      <c r="J140" s="1337">
        <f t="shared" si="30"/>
        <v>1708.33333333333</v>
      </c>
      <c r="K140" s="1337">
        <f t="shared" si="30"/>
        <v>1708.33333333333</v>
      </c>
      <c r="L140" s="1337">
        <f t="shared" si="30"/>
        <v>1708.33333333333</v>
      </c>
      <c r="M140" s="1337">
        <f t="shared" si="30"/>
        <v>1708.33333333333</v>
      </c>
      <c r="N140" s="1337">
        <f t="shared" si="30"/>
        <v>1708.33333333333</v>
      </c>
      <c r="O140" s="1337">
        <f t="shared" si="30"/>
        <v>1708.33333333333</v>
      </c>
      <c r="P140" s="1341">
        <f>SUM(D140:O140)</f>
        <v>20500</v>
      </c>
      <c r="Q140" s="326"/>
      <c r="R140" s="326"/>
      <c r="S140" s="326"/>
      <c r="T140" s="326"/>
      <c r="U140" s="326"/>
      <c r="V140" s="326"/>
      <c r="W140" s="326"/>
      <c r="AW140" s="1225"/>
    </row>
    <row r="141" s="21" customFormat="1" spans="2:49">
      <c r="B141" s="1225"/>
      <c r="C141" s="4" t="s">
        <v>69</v>
      </c>
      <c r="D141" s="1347">
        <f>C67/12</f>
        <v>7241.66666666667</v>
      </c>
      <c r="E141" s="1337">
        <f t="shared" si="30"/>
        <v>7241.66666666667</v>
      </c>
      <c r="F141" s="1337">
        <f t="shared" si="30"/>
        <v>7241.66666666667</v>
      </c>
      <c r="G141" s="1337">
        <f t="shared" si="30"/>
        <v>7241.66666666667</v>
      </c>
      <c r="H141" s="1337">
        <f t="shared" si="30"/>
        <v>7241.66666666667</v>
      </c>
      <c r="I141" s="1337">
        <f t="shared" si="30"/>
        <v>7241.66666666667</v>
      </c>
      <c r="J141" s="1337">
        <f t="shared" si="30"/>
        <v>7241.66666666667</v>
      </c>
      <c r="K141" s="1337">
        <f t="shared" si="30"/>
        <v>7241.66666666667</v>
      </c>
      <c r="L141" s="1337">
        <f t="shared" si="30"/>
        <v>7241.66666666667</v>
      </c>
      <c r="M141" s="1337">
        <f t="shared" si="30"/>
        <v>7241.66666666667</v>
      </c>
      <c r="N141" s="1337">
        <f t="shared" si="30"/>
        <v>7241.66666666667</v>
      </c>
      <c r="O141" s="1337">
        <f t="shared" si="30"/>
        <v>7241.66666666667</v>
      </c>
      <c r="P141" s="1341">
        <f>SUM(D141:O141)</f>
        <v>86900</v>
      </c>
      <c r="Q141" s="326"/>
      <c r="R141" s="326"/>
      <c r="S141" s="326"/>
      <c r="T141" s="326"/>
      <c r="U141" s="326"/>
      <c r="V141" s="326"/>
      <c r="W141" s="326"/>
      <c r="AW141" s="1225"/>
    </row>
    <row r="142" s="21" customFormat="1" spans="2:49">
      <c r="B142" s="1225"/>
      <c r="C142" s="4" t="s">
        <v>172</v>
      </c>
      <c r="D142" s="1347">
        <f>C68/12</f>
        <v>5625</v>
      </c>
      <c r="E142" s="1337">
        <f>$D142</f>
        <v>5625</v>
      </c>
      <c r="F142" s="1337">
        <f t="shared" si="30"/>
        <v>5625</v>
      </c>
      <c r="G142" s="1337">
        <f t="shared" si="30"/>
        <v>5625</v>
      </c>
      <c r="H142" s="1337">
        <f t="shared" si="30"/>
        <v>5625</v>
      </c>
      <c r="I142" s="1337">
        <f t="shared" si="30"/>
        <v>5625</v>
      </c>
      <c r="J142" s="1337">
        <f t="shared" si="30"/>
        <v>5625</v>
      </c>
      <c r="K142" s="1337">
        <f t="shared" si="30"/>
        <v>5625</v>
      </c>
      <c r="L142" s="1337">
        <f t="shared" si="30"/>
        <v>5625</v>
      </c>
      <c r="M142" s="1337">
        <f t="shared" si="30"/>
        <v>5625</v>
      </c>
      <c r="N142" s="1337">
        <f t="shared" si="30"/>
        <v>5625</v>
      </c>
      <c r="O142" s="1337">
        <f t="shared" si="30"/>
        <v>5625</v>
      </c>
      <c r="P142" s="1341">
        <f>SUM(D142:O142)</f>
        <v>67500</v>
      </c>
      <c r="Q142" s="326"/>
      <c r="R142" s="326"/>
      <c r="S142" s="326"/>
      <c r="T142" s="326"/>
      <c r="U142" s="326"/>
      <c r="V142" s="326"/>
      <c r="W142" s="326"/>
      <c r="AW142" s="1225"/>
    </row>
    <row r="143" s="21" customFormat="1" spans="2:49">
      <c r="B143" s="1225"/>
      <c r="C143" s="540"/>
      <c r="D143" s="1348"/>
      <c r="E143" s="1343"/>
      <c r="F143" s="1343"/>
      <c r="G143" s="1343"/>
      <c r="H143" s="1343"/>
      <c r="I143" s="1343"/>
      <c r="J143" s="1343"/>
      <c r="K143" s="1343"/>
      <c r="L143" s="1343"/>
      <c r="M143" s="1343"/>
      <c r="N143" s="1343"/>
      <c r="O143" s="1343"/>
      <c r="P143" s="1341"/>
      <c r="Q143" s="326"/>
      <c r="R143" s="326"/>
      <c r="S143" s="326"/>
      <c r="T143" s="326"/>
      <c r="U143" s="326"/>
      <c r="V143" s="326"/>
      <c r="W143" s="326"/>
      <c r="AW143" s="1225"/>
    </row>
    <row r="144" s="21" customFormat="1" spans="2:49">
      <c r="B144" s="1225"/>
      <c r="C144" s="1349" t="s">
        <v>328</v>
      </c>
      <c r="D144" s="1336">
        <f>debtMonthlyPaymentsFY1(CycleInCalculation,1)</f>
        <v>1179.68734827119</v>
      </c>
      <c r="E144" s="1337">
        <f>debtMonthlyPaymentsFY1(CycleInCalculation,2)</f>
        <v>1179.68734827119</v>
      </c>
      <c r="F144" s="1337">
        <f>debtMonthlyPaymentsFY1(CycleInCalculation,3)</f>
        <v>1179.68734827119</v>
      </c>
      <c r="G144" s="1337">
        <f>debtMonthlyPaymentsFY1(CycleInCalculation,4)</f>
        <v>1179.68734827119</v>
      </c>
      <c r="H144" s="1337">
        <f>debtMonthlyPaymentsFY1(CycleInCalculation,5)</f>
        <v>1179.68734827119</v>
      </c>
      <c r="I144" s="1337">
        <f>debtMonthlyPaymentsFY1(CycleInCalculation,6)</f>
        <v>1179.68734827119</v>
      </c>
      <c r="J144" s="1337">
        <f>debtMonthlyPaymentsFY1(CycleInCalculation,7)</f>
        <v>1179.68734827119</v>
      </c>
      <c r="K144" s="1337">
        <f>debtMonthlyPaymentsFY1(CycleInCalculation,8)</f>
        <v>1179.68734827119</v>
      </c>
      <c r="L144" s="1337">
        <f>debtMonthlyPaymentsFY1(CycleInCalculation,9)</f>
        <v>1179.68734827119</v>
      </c>
      <c r="M144" s="1337">
        <f>debtMonthlyPaymentsFY1(CycleInCalculation,10)</f>
        <v>1179.68734827119</v>
      </c>
      <c r="N144" s="1337">
        <f>debtMonthlyPaymentsFY1(CycleInCalculation,11)</f>
        <v>1179.68734827119</v>
      </c>
      <c r="O144" s="1337">
        <f>debtMonthlyPaymentsFY1(CycleInCalculation,12)</f>
        <v>1179.68734827119</v>
      </c>
      <c r="P144" s="1341">
        <f>SUM(D144:O144)</f>
        <v>14156.2481792543</v>
      </c>
      <c r="Q144" s="326"/>
      <c r="R144" s="326"/>
      <c r="S144" s="326"/>
      <c r="T144" s="326"/>
      <c r="U144" s="326"/>
      <c r="V144" s="326"/>
      <c r="W144" s="326"/>
      <c r="AW144" s="1225"/>
    </row>
    <row r="145" s="21" customFormat="1" spans="2:49">
      <c r="B145" s="1225"/>
      <c r="C145" s="563"/>
      <c r="D145" s="1346"/>
      <c r="E145" s="1333"/>
      <c r="F145" s="1333"/>
      <c r="G145" s="1333"/>
      <c r="H145" s="1333"/>
      <c r="I145" s="1333"/>
      <c r="J145" s="1333"/>
      <c r="K145" s="1333"/>
      <c r="L145" s="1333"/>
      <c r="M145" s="1333"/>
      <c r="N145" s="1333"/>
      <c r="O145" s="1333"/>
      <c r="P145" s="1339"/>
      <c r="Q145" s="326"/>
      <c r="R145" s="326"/>
      <c r="S145" s="326"/>
      <c r="T145" s="326"/>
      <c r="U145" s="326"/>
      <c r="V145" s="326"/>
      <c r="W145" s="326"/>
      <c r="AW145" s="1225"/>
    </row>
    <row r="146" s="21" customFormat="1" spans="2:49">
      <c r="B146" s="568"/>
      <c r="C146" s="540" t="s">
        <v>329</v>
      </c>
      <c r="D146" s="1336">
        <f>SUM(D139:D145)+D148</f>
        <v>23379.6873482712</v>
      </c>
      <c r="E146" s="1336">
        <f t="shared" ref="E146:O146" si="31">SUM(E139:E145)+E148</f>
        <v>23379.6873482712</v>
      </c>
      <c r="F146" s="1336">
        <f t="shared" si="31"/>
        <v>23379.6873482712</v>
      </c>
      <c r="G146" s="1336">
        <f t="shared" si="31"/>
        <v>23379.6873482712</v>
      </c>
      <c r="H146" s="1336">
        <f t="shared" si="31"/>
        <v>23379.6873482712</v>
      </c>
      <c r="I146" s="1336">
        <f t="shared" si="31"/>
        <v>23379.6873482712</v>
      </c>
      <c r="J146" s="1336">
        <f t="shared" si="31"/>
        <v>23379.6873482712</v>
      </c>
      <c r="K146" s="1336">
        <f t="shared" si="31"/>
        <v>23379.6873482712</v>
      </c>
      <c r="L146" s="1336">
        <f t="shared" si="31"/>
        <v>23379.6873482712</v>
      </c>
      <c r="M146" s="1336">
        <f t="shared" si="31"/>
        <v>23379.6873482712</v>
      </c>
      <c r="N146" s="1336">
        <f t="shared" si="31"/>
        <v>23379.6873482712</v>
      </c>
      <c r="O146" s="1336">
        <f t="shared" si="31"/>
        <v>23379.6873482712</v>
      </c>
      <c r="P146" s="1356">
        <f>SUM(D146:O146)</f>
        <v>280556.248179254</v>
      </c>
      <c r="Q146" s="326"/>
      <c r="R146" s="326"/>
      <c r="S146" s="326"/>
      <c r="T146" s="326"/>
      <c r="U146" s="326"/>
      <c r="V146" s="326"/>
      <c r="W146" s="326"/>
      <c r="AW146" s="1225"/>
    </row>
    <row r="147" s="21" customFormat="1" spans="2:49">
      <c r="B147" s="573"/>
      <c r="C147" s="563"/>
      <c r="D147" s="1346"/>
      <c r="E147" s="1333"/>
      <c r="F147" s="1333"/>
      <c r="G147" s="1333"/>
      <c r="H147" s="1333"/>
      <c r="I147" s="1333"/>
      <c r="J147" s="1333"/>
      <c r="K147" s="1333"/>
      <c r="L147" s="1333"/>
      <c r="M147" s="1333"/>
      <c r="N147" s="1333"/>
      <c r="O147" s="1333"/>
      <c r="P147" s="1339"/>
      <c r="Q147" s="326"/>
      <c r="R147" s="326"/>
      <c r="S147" s="326"/>
      <c r="T147" s="326"/>
      <c r="U147" s="326"/>
      <c r="V147" s="326"/>
      <c r="W147" s="326"/>
      <c r="AW147" s="1225"/>
    </row>
    <row r="148" s="21" customFormat="1" spans="2:23">
      <c r="B148" s="1225"/>
      <c r="C148" s="563" t="s">
        <v>168</v>
      </c>
      <c r="D148" s="1350">
        <f>P148/12</f>
        <v>625</v>
      </c>
      <c r="E148" s="1350">
        <f>P148/12</f>
        <v>625</v>
      </c>
      <c r="F148" s="1350">
        <f>P148/12</f>
        <v>625</v>
      </c>
      <c r="G148" s="1350">
        <f>P148/12</f>
        <v>625</v>
      </c>
      <c r="H148" s="1350">
        <f>P148/12</f>
        <v>625</v>
      </c>
      <c r="I148" s="1350">
        <f>P148/12</f>
        <v>625</v>
      </c>
      <c r="J148" s="1350">
        <f>P148/12</f>
        <v>625</v>
      </c>
      <c r="K148" s="1350">
        <f>P148/12</f>
        <v>625</v>
      </c>
      <c r="L148" s="1350">
        <f>P148/12</f>
        <v>625</v>
      </c>
      <c r="M148" s="1350">
        <f>P148/12</f>
        <v>625</v>
      </c>
      <c r="N148" s="1350">
        <f>P148/12</f>
        <v>625</v>
      </c>
      <c r="O148" s="1350">
        <f>P148/12</f>
        <v>625</v>
      </c>
      <c r="P148" s="1357">
        <f>VLOOKUP(2.701,'Sim-Report'!1:1048576,3+CycleInCalculation,FALSE)*'Project-Start'!D36</f>
        <v>7500</v>
      </c>
      <c r="Q148" s="326"/>
      <c r="R148" s="326"/>
      <c r="S148" s="326"/>
      <c r="T148" s="326"/>
      <c r="U148" s="326"/>
      <c r="V148" s="326"/>
      <c r="W148" s="326"/>
    </row>
    <row r="149" s="21" customFormat="1" spans="2:49">
      <c r="B149" s="568"/>
      <c r="C149" s="540" t="s">
        <v>330</v>
      </c>
      <c r="D149" s="1336">
        <f t="shared" ref="D149:O149" si="32">D136-D146</f>
        <v>8219.18560738584</v>
      </c>
      <c r="E149" s="1337">
        <f t="shared" si="32"/>
        <v>8424.70096903537</v>
      </c>
      <c r="F149" s="1337">
        <f t="shared" si="32"/>
        <v>9163.43360011863</v>
      </c>
      <c r="G149" s="1337">
        <f t="shared" si="32"/>
        <v>35653.8211149377</v>
      </c>
      <c r="H149" s="1337">
        <f t="shared" si="32"/>
        <v>47214.7261749702</v>
      </c>
      <c r="I149" s="1337">
        <f t="shared" si="32"/>
        <v>75147.4566889232</v>
      </c>
      <c r="J149" s="1337">
        <f t="shared" si="32"/>
        <v>75147.4566889232</v>
      </c>
      <c r="K149" s="1337">
        <f t="shared" si="32"/>
        <v>69790.3181585345</v>
      </c>
      <c r="L149" s="1337">
        <f t="shared" si="32"/>
        <v>69790.3181585345</v>
      </c>
      <c r="M149" s="1337">
        <f t="shared" si="32"/>
        <v>67272.6378982073</v>
      </c>
      <c r="N149" s="1337">
        <f t="shared" si="32"/>
        <v>15409.9565596095</v>
      </c>
      <c r="O149" s="1337">
        <f t="shared" si="32"/>
        <v>9361.25308070494</v>
      </c>
      <c r="P149" s="1356">
        <f>SUM(D149:O149)</f>
        <v>490595.264699885</v>
      </c>
      <c r="Q149" s="326"/>
      <c r="R149" s="326"/>
      <c r="S149" s="326"/>
      <c r="T149" s="326"/>
      <c r="U149" s="326"/>
      <c r="V149" s="326"/>
      <c r="W149" s="326"/>
      <c r="AW149" s="1225"/>
    </row>
    <row r="150" s="21" customFormat="1" spans="3:49">
      <c r="C150" s="540" t="s">
        <v>331</v>
      </c>
      <c r="D150" s="1351">
        <f>VLOOKUP(3.11,'Sim-Report'!1:1048576,3+CycleInCalculation,FALSE)</f>
        <v>0.25</v>
      </c>
      <c r="E150" s="1343"/>
      <c r="F150" s="1343"/>
      <c r="G150" s="1343"/>
      <c r="H150" s="1343"/>
      <c r="I150" s="1343"/>
      <c r="J150" s="1343"/>
      <c r="K150" s="1343"/>
      <c r="L150" s="1343"/>
      <c r="M150" s="1343"/>
      <c r="N150" s="1343"/>
      <c r="O150" s="1343"/>
      <c r="P150" s="1339"/>
      <c r="Q150" s="326"/>
      <c r="R150" s="326"/>
      <c r="S150" s="326"/>
      <c r="T150" s="326"/>
      <c r="U150" s="326"/>
      <c r="V150" s="326"/>
      <c r="W150" s="326"/>
      <c r="AW150" s="1225"/>
    </row>
    <row r="151" s="21" customFormat="1" spans="2:49">
      <c r="B151" s="568"/>
      <c r="C151" s="540" t="s">
        <v>332</v>
      </c>
      <c r="D151" s="1336">
        <f>D149</f>
        <v>8219.18560738584</v>
      </c>
      <c r="E151" s="1337">
        <f t="shared" ref="E151:O151" si="33">D151+E149</f>
        <v>16643.8865764212</v>
      </c>
      <c r="F151" s="1337">
        <f t="shared" si="33"/>
        <v>25807.3201765399</v>
      </c>
      <c r="G151" s="1337">
        <f t="shared" si="33"/>
        <v>61461.1412914775</v>
      </c>
      <c r="H151" s="1337">
        <f t="shared" si="33"/>
        <v>108675.867466448</v>
      </c>
      <c r="I151" s="1337">
        <f t="shared" si="33"/>
        <v>183823.324155371</v>
      </c>
      <c r="J151" s="1337">
        <f t="shared" si="33"/>
        <v>258970.780844294</v>
      </c>
      <c r="K151" s="1337">
        <f t="shared" si="33"/>
        <v>328761.099002829</v>
      </c>
      <c r="L151" s="1337">
        <f t="shared" si="33"/>
        <v>398551.417161363</v>
      </c>
      <c r="M151" s="1337">
        <f t="shared" si="33"/>
        <v>465824.05505957</v>
      </c>
      <c r="N151" s="1337">
        <f t="shared" si="33"/>
        <v>481234.01161918</v>
      </c>
      <c r="O151" s="1337">
        <f t="shared" si="33"/>
        <v>490595.264699885</v>
      </c>
      <c r="P151" s="1339"/>
      <c r="Q151" s="326"/>
      <c r="R151" s="326"/>
      <c r="S151" s="326"/>
      <c r="T151" s="326"/>
      <c r="U151" s="326"/>
      <c r="V151" s="326"/>
      <c r="W151" s="326"/>
      <c r="AW151" s="1225"/>
    </row>
    <row r="152" s="21" customFormat="1" spans="2:49">
      <c r="B152" s="568"/>
      <c r="C152" s="540" t="s">
        <v>333</v>
      </c>
      <c r="D152" s="1336"/>
      <c r="E152" s="1337"/>
      <c r="F152" s="1337"/>
      <c r="G152" s="1337"/>
      <c r="H152" s="1337"/>
      <c r="I152" s="1337"/>
      <c r="J152" s="1337"/>
      <c r="K152" s="1337"/>
      <c r="L152" s="1337"/>
      <c r="M152" s="1337"/>
      <c r="N152" s="1337"/>
      <c r="O152" s="1337"/>
      <c r="P152" s="1341">
        <f>P153-C74</f>
        <v>217946.448524914</v>
      </c>
      <c r="Q152" s="326"/>
      <c r="R152" s="326"/>
      <c r="S152" s="326"/>
      <c r="T152" s="326"/>
      <c r="U152" s="326"/>
      <c r="V152" s="326"/>
      <c r="W152" s="326"/>
      <c r="AW152" s="1225"/>
    </row>
    <row r="153" s="21" customFormat="1" ht="12" spans="2:49">
      <c r="B153" s="540"/>
      <c r="C153" s="568" t="s">
        <v>334</v>
      </c>
      <c r="D153" s="1352">
        <f>ProfitAfterTaxes(D149,D151,D150)</f>
        <v>6164.38920553938</v>
      </c>
      <c r="E153" s="1224">
        <f>ProfitAfterTaxes(E149,E151,D150)</f>
        <v>6318.52572677653</v>
      </c>
      <c r="F153" s="1224">
        <f>ProfitAfterTaxes(F149,F151,D150)</f>
        <v>6872.57520008898</v>
      </c>
      <c r="G153" s="1224">
        <f>ProfitAfterTaxes(G149,G151,D150)</f>
        <v>26740.3658362033</v>
      </c>
      <c r="H153" s="1224">
        <f>ProfitAfterTaxes(H149,H151,D150)</f>
        <v>35411.0446312276</v>
      </c>
      <c r="I153" s="1224">
        <f>ProfitAfterTaxes(I149,I151,D150)</f>
        <v>56360.5925166924</v>
      </c>
      <c r="J153" s="1224">
        <f>ProfitAfterTaxes(J149,J151,D150)</f>
        <v>56360.5925166924</v>
      </c>
      <c r="K153" s="1224">
        <f>ProfitAfterTaxes(K149,K151,D150)</f>
        <v>52342.7386189009</v>
      </c>
      <c r="L153" s="1224">
        <f>ProfitAfterTaxes(L149,L151,D150)</f>
        <v>52342.7386189009</v>
      </c>
      <c r="M153" s="1224">
        <f>ProfitAfterTaxes(M149,M151,D150)</f>
        <v>50454.4784236555</v>
      </c>
      <c r="N153" s="1224">
        <f>ProfitAfterTaxes(N149,N151,D150)</f>
        <v>11557.4674197071</v>
      </c>
      <c r="O153" s="1224">
        <f>ProfitAfterTaxes(O149,O151,D150)</f>
        <v>7020.9398105287</v>
      </c>
      <c r="P153" s="1356">
        <f>SUM(D153:O153)</f>
        <v>367946.448524914</v>
      </c>
      <c r="Q153" s="326"/>
      <c r="R153" s="326"/>
      <c r="S153" s="326"/>
      <c r="T153" s="326"/>
      <c r="U153" s="326"/>
      <c r="V153" s="326"/>
      <c r="W153" s="326"/>
      <c r="AW153" s="1225"/>
    </row>
    <row r="154" s="21" customFormat="1" ht="12" spans="2:49">
      <c r="B154" s="14"/>
      <c r="C154" s="1263" t="s">
        <v>315</v>
      </c>
      <c r="D154" s="1329" t="s">
        <v>103</v>
      </c>
      <c r="E154" s="1329" t="s">
        <v>103</v>
      </c>
      <c r="F154" s="1329" t="s">
        <v>103</v>
      </c>
      <c r="G154" s="1329" t="s">
        <v>103</v>
      </c>
      <c r="H154" s="1329" t="s">
        <v>103</v>
      </c>
      <c r="I154" s="1329" t="s">
        <v>103</v>
      </c>
      <c r="J154" s="1329" t="s">
        <v>103</v>
      </c>
      <c r="K154" s="1329" t="s">
        <v>103</v>
      </c>
      <c r="L154" s="1329" t="s">
        <v>103</v>
      </c>
      <c r="M154" s="1329" t="s">
        <v>103</v>
      </c>
      <c r="N154" s="1329" t="s">
        <v>103</v>
      </c>
      <c r="O154" s="1329" t="s">
        <v>103</v>
      </c>
      <c r="P154" s="1338" t="s">
        <v>103</v>
      </c>
      <c r="Q154" s="326"/>
      <c r="R154" s="326"/>
      <c r="S154" s="326"/>
      <c r="T154" s="326"/>
      <c r="U154" s="326"/>
      <c r="V154" s="326"/>
      <c r="W154" s="326"/>
      <c r="AW154" s="1225"/>
    </row>
    <row r="155" s="21" customFormat="1" ht="12" spans="2:49">
      <c r="B155" s="14"/>
      <c r="C155" s="1263" t="s">
        <v>285</v>
      </c>
      <c r="D155" s="18" t="s">
        <v>256</v>
      </c>
      <c r="E155" s="18" t="s">
        <v>257</v>
      </c>
      <c r="F155" s="18" t="s">
        <v>258</v>
      </c>
      <c r="G155" s="18" t="s">
        <v>259</v>
      </c>
      <c r="H155" s="18" t="s">
        <v>260</v>
      </c>
      <c r="I155" s="18" t="s">
        <v>261</v>
      </c>
      <c r="J155" s="18" t="s">
        <v>262</v>
      </c>
      <c r="K155" s="18" t="s">
        <v>263</v>
      </c>
      <c r="L155" s="18" t="s">
        <v>264</v>
      </c>
      <c r="M155" s="18" t="s">
        <v>265</v>
      </c>
      <c r="N155" s="18" t="s">
        <v>266</v>
      </c>
      <c r="O155" s="18" t="s">
        <v>267</v>
      </c>
      <c r="P155" s="1338" t="s">
        <v>142</v>
      </c>
      <c r="Q155" s="326"/>
      <c r="R155" s="326"/>
      <c r="S155" s="326"/>
      <c r="T155" s="326"/>
      <c r="U155" s="326"/>
      <c r="V155" s="326"/>
      <c r="W155" s="326"/>
      <c r="AW155" s="1225"/>
    </row>
    <row r="156" s="21" customFormat="1" spans="2:49">
      <c r="B156" s="1304"/>
      <c r="C156" s="1304"/>
      <c r="D156" s="1353"/>
      <c r="E156" s="1353"/>
      <c r="F156" s="1353"/>
      <c r="G156" s="1353"/>
      <c r="H156" s="1353"/>
      <c r="I156" s="1353"/>
      <c r="J156" s="1353"/>
      <c r="K156" s="1353"/>
      <c r="L156" s="1353"/>
      <c r="M156" s="1353"/>
      <c r="N156" s="1353"/>
      <c r="O156" s="1353"/>
      <c r="P156" s="326"/>
      <c r="Q156" s="326"/>
      <c r="R156" s="326"/>
      <c r="S156" s="326"/>
      <c r="T156" s="326"/>
      <c r="U156" s="326"/>
      <c r="V156" s="326"/>
      <c r="W156" s="326"/>
      <c r="AR156" s="1225"/>
      <c r="AS156" s="1225"/>
      <c r="AT156" s="1225"/>
      <c r="AU156" s="1225"/>
      <c r="AV156" s="1225"/>
      <c r="AW156" s="1225"/>
    </row>
    <row r="157" s="21" customFormat="1" ht="16.5" spans="1:49">
      <c r="A157" s="1229">
        <v>5</v>
      </c>
      <c r="B157" s="1258" t="s">
        <v>335</v>
      </c>
      <c r="C157" s="1229"/>
      <c r="D157" s="1353"/>
      <c r="E157" s="1353"/>
      <c r="F157" s="1353"/>
      <c r="G157" s="1353"/>
      <c r="H157" s="1353"/>
      <c r="I157" s="1353"/>
      <c r="J157" s="1353"/>
      <c r="K157" s="1353"/>
      <c r="L157" s="1353"/>
      <c r="M157" s="1353"/>
      <c r="N157" s="1353"/>
      <c r="O157" s="1353"/>
      <c r="P157" s="326"/>
      <c r="Q157" s="326"/>
      <c r="R157" s="326"/>
      <c r="S157" s="326"/>
      <c r="T157" s="326"/>
      <c r="U157" s="326"/>
      <c r="V157" s="326"/>
      <c r="W157" s="326"/>
      <c r="AR157" s="1225"/>
      <c r="AS157" s="1225"/>
      <c r="AT157" s="1225"/>
      <c r="AU157" s="1225"/>
      <c r="AV157" s="1225"/>
      <c r="AW157" s="1225"/>
    </row>
    <row r="158" s="21" customFormat="1" ht="12" spans="2:49">
      <c r="B158" s="14" t="s">
        <v>315</v>
      </c>
      <c r="C158" s="14"/>
      <c r="D158" s="1329" t="s">
        <v>104</v>
      </c>
      <c r="E158" s="1329" t="s">
        <v>104</v>
      </c>
      <c r="F158" s="1329" t="s">
        <v>104</v>
      </c>
      <c r="G158" s="1329" t="s">
        <v>104</v>
      </c>
      <c r="H158" s="1329" t="s">
        <v>104</v>
      </c>
      <c r="I158" s="1329" t="s">
        <v>104</v>
      </c>
      <c r="J158" s="1329" t="s">
        <v>104</v>
      </c>
      <c r="K158" s="1329" t="s">
        <v>104</v>
      </c>
      <c r="L158" s="1329" t="s">
        <v>104</v>
      </c>
      <c r="M158" s="1329" t="s">
        <v>104</v>
      </c>
      <c r="N158" s="1329" t="s">
        <v>104</v>
      </c>
      <c r="O158" s="1329" t="s">
        <v>104</v>
      </c>
      <c r="P158" s="1338" t="s">
        <v>336</v>
      </c>
      <c r="Q158" s="326"/>
      <c r="R158" s="326"/>
      <c r="S158" s="326"/>
      <c r="T158" s="326"/>
      <c r="U158" s="326"/>
      <c r="V158" s="326"/>
      <c r="W158" s="326"/>
      <c r="AV158" s="1225"/>
      <c r="AW158" s="1225"/>
    </row>
    <row r="159" s="21" customFormat="1" ht="12" spans="2:49">
      <c r="B159" s="14" t="s">
        <v>285</v>
      </c>
      <c r="C159" s="14"/>
      <c r="D159" s="18" t="s">
        <v>256</v>
      </c>
      <c r="E159" s="18" t="s">
        <v>257</v>
      </c>
      <c r="F159" s="18" t="s">
        <v>258</v>
      </c>
      <c r="G159" s="18" t="s">
        <v>259</v>
      </c>
      <c r="H159" s="18" t="s">
        <v>260</v>
      </c>
      <c r="I159" s="18" t="s">
        <v>261</v>
      </c>
      <c r="J159" s="18" t="s">
        <v>262</v>
      </c>
      <c r="K159" s="18" t="s">
        <v>263</v>
      </c>
      <c r="L159" s="18" t="s">
        <v>264</v>
      </c>
      <c r="M159" s="18" t="s">
        <v>265</v>
      </c>
      <c r="N159" s="18" t="s">
        <v>266</v>
      </c>
      <c r="O159" s="18" t="s">
        <v>267</v>
      </c>
      <c r="P159" s="1338" t="s">
        <v>142</v>
      </c>
      <c r="Q159" s="326"/>
      <c r="R159" s="326"/>
      <c r="S159" s="326"/>
      <c r="T159" s="326"/>
      <c r="U159" s="326"/>
      <c r="V159" s="326"/>
      <c r="W159" s="326"/>
      <c r="AV159" s="1225"/>
      <c r="AW159" s="1225"/>
    </row>
    <row r="160" s="21" customFormat="1" spans="2:49">
      <c r="B160" s="548" t="s">
        <v>293</v>
      </c>
      <c r="C160" s="540" t="s">
        <v>317</v>
      </c>
      <c r="D160" s="1354">
        <f>Price4_36MoPr(VarCostByProduct,B160)</f>
        <v>4.49</v>
      </c>
      <c r="E160" s="1330"/>
      <c r="F160" s="1330"/>
      <c r="G160" s="1330"/>
      <c r="H160" s="1331"/>
      <c r="I160" s="1333"/>
      <c r="J160" s="1333"/>
      <c r="K160" s="1333"/>
      <c r="L160" s="1333"/>
      <c r="M160" s="1333"/>
      <c r="N160" s="1333"/>
      <c r="O160" s="1333"/>
      <c r="P160" s="1339"/>
      <c r="Q160" s="326"/>
      <c r="R160" s="326"/>
      <c r="S160" s="326"/>
      <c r="T160" s="326"/>
      <c r="U160" s="326"/>
      <c r="V160" s="326"/>
      <c r="W160" s="326"/>
      <c r="AV160" s="1225"/>
      <c r="AW160" s="1225"/>
    </row>
    <row r="161" s="21" customFormat="1" spans="2:49">
      <c r="B161" s="568"/>
      <c r="C161" s="540" t="s">
        <v>318</v>
      </c>
      <c r="D161" s="1355">
        <f>Varcosts4_36MoPr(VarCostByProduct,B160)</f>
        <v>0.82</v>
      </c>
      <c r="E161" s="1333"/>
      <c r="F161" s="1333"/>
      <c r="G161" s="1333"/>
      <c r="H161" s="1333"/>
      <c r="I161" s="1333"/>
      <c r="J161" s="1333"/>
      <c r="K161" s="1333"/>
      <c r="L161" s="1333"/>
      <c r="M161" s="1333"/>
      <c r="N161" s="1333"/>
      <c r="O161" s="1333"/>
      <c r="P161" s="1339"/>
      <c r="Q161" s="326"/>
      <c r="R161" s="326"/>
      <c r="S161" s="326"/>
      <c r="T161" s="326"/>
      <c r="U161" s="326"/>
      <c r="V161" s="326"/>
      <c r="W161" s="326"/>
      <c r="AV161" s="1225"/>
      <c r="AW161" s="1225"/>
    </row>
    <row r="162" s="21" customFormat="1" spans="2:49">
      <c r="B162" s="568"/>
      <c r="C162" s="554" t="s">
        <v>319</v>
      </c>
      <c r="D162" s="1334">
        <f>Sales4_36MoPr(SalesJan,"FY-2",$B160)</f>
        <v>391.184905660377</v>
      </c>
      <c r="E162" s="1334">
        <f>Sales4_36MoPr(SalesFeb,"FY-2",$B160)</f>
        <v>391.184905660377</v>
      </c>
      <c r="F162" s="1334">
        <f>Sales4_36MoPr(SalesMar,"FY-2",$B160)</f>
        <v>391.184905660377</v>
      </c>
      <c r="G162" s="1334">
        <f>Sales4_36MoPr(SalesApr,"FY-2",$B160)</f>
        <v>470.79802167552</v>
      </c>
      <c r="H162" s="1334">
        <f>Sales4_36MoPr(SalesMay,"FY-2",$B160)</f>
        <v>1318.04195804196</v>
      </c>
      <c r="I162" s="1334">
        <f>Sales4_36MoPr(SalesJun,"FY-2",$B160)</f>
        <v>1332.44215938303</v>
      </c>
      <c r="J162" s="1334">
        <f>Sales4_36MoPr(SalesJul,"FY-2",$B160)</f>
        <v>1332.44215938303</v>
      </c>
      <c r="K162" s="1334">
        <f>Sales4_36MoPr(SalesAug,"FY-2",$B160)</f>
        <v>1374.44902769593</v>
      </c>
      <c r="L162" s="1334">
        <f>Sales4_36MoPr(SalesSep,"FY-2",$B160)</f>
        <v>1374.44902769593</v>
      </c>
      <c r="M162" s="1334">
        <f>Sales4_36MoPr(SalesOct,"FY-2",$B160)</f>
        <v>1123.24195470799</v>
      </c>
      <c r="N162" s="1334">
        <f>Sales4_36MoPr(SalesNov,"FY-2",$B160)</f>
        <v>612.154546988358</v>
      </c>
      <c r="O162" s="1334">
        <f>Sales4_36MoPr(SalesDec,"FY-2",$B160)</f>
        <v>612.154546988358</v>
      </c>
      <c r="P162" s="1340">
        <f>SUM(D162:O162)</f>
        <v>10723.7281195412</v>
      </c>
      <c r="Q162" s="326"/>
      <c r="R162" s="326"/>
      <c r="S162" s="326"/>
      <c r="T162" s="326"/>
      <c r="U162" s="326"/>
      <c r="V162" s="326"/>
      <c r="W162" s="326"/>
      <c r="AV162" s="1225"/>
      <c r="AW162" s="1225"/>
    </row>
    <row r="163" s="21" customFormat="1" spans="2:49">
      <c r="B163" s="1335"/>
      <c r="C163" s="540" t="s">
        <v>320</v>
      </c>
      <c r="D163" s="1337">
        <f t="shared" ref="D163:O163" si="34">D162*$D160</f>
        <v>1756.42022641509</v>
      </c>
      <c r="E163" s="1337">
        <f t="shared" si="34"/>
        <v>1756.42022641509</v>
      </c>
      <c r="F163" s="1337">
        <f t="shared" si="34"/>
        <v>1756.42022641509</v>
      </c>
      <c r="G163" s="1337">
        <f t="shared" si="34"/>
        <v>2113.88311732309</v>
      </c>
      <c r="H163" s="1337">
        <f t="shared" si="34"/>
        <v>5918.00839160839</v>
      </c>
      <c r="I163" s="1337">
        <f t="shared" si="34"/>
        <v>5982.66529562982</v>
      </c>
      <c r="J163" s="1337">
        <f t="shared" si="34"/>
        <v>5982.66529562982</v>
      </c>
      <c r="K163" s="1337">
        <f t="shared" si="34"/>
        <v>6171.27613435475</v>
      </c>
      <c r="L163" s="1337">
        <f t="shared" si="34"/>
        <v>6171.27613435475</v>
      </c>
      <c r="M163" s="1337">
        <f t="shared" si="34"/>
        <v>5043.35637663886</v>
      </c>
      <c r="N163" s="1337">
        <f t="shared" si="34"/>
        <v>2748.57391597773</v>
      </c>
      <c r="O163" s="1337">
        <f t="shared" si="34"/>
        <v>2748.57391597773</v>
      </c>
      <c r="P163" s="1341">
        <f>SUM(D163:O163)</f>
        <v>48149.5392567402</v>
      </c>
      <c r="Q163" s="326"/>
      <c r="R163" s="326"/>
      <c r="S163" s="326"/>
      <c r="T163" s="326"/>
      <c r="U163" s="326"/>
      <c r="V163" s="326"/>
      <c r="W163" s="326"/>
      <c r="AV163" s="1225"/>
      <c r="AW163" s="1225"/>
    </row>
    <row r="164" s="21" customFormat="1" spans="2:49">
      <c r="B164" s="568"/>
      <c r="C164" s="540" t="s">
        <v>321</v>
      </c>
      <c r="D164" s="1337">
        <f>D162*$D$80</f>
        <v>320.77162264151</v>
      </c>
      <c r="E164" s="1337">
        <f>E162*$D$80</f>
        <v>320.77162264151</v>
      </c>
      <c r="F164" s="1337">
        <f t="shared" ref="F164:O164" si="35">F162*$D161</f>
        <v>320.77162264151</v>
      </c>
      <c r="G164" s="1337">
        <f t="shared" si="35"/>
        <v>386.054377773927</v>
      </c>
      <c r="H164" s="1337">
        <f t="shared" si="35"/>
        <v>1080.79440559441</v>
      </c>
      <c r="I164" s="1337">
        <f t="shared" si="35"/>
        <v>1092.60257069409</v>
      </c>
      <c r="J164" s="1337">
        <f t="shared" si="35"/>
        <v>1092.60257069409</v>
      </c>
      <c r="K164" s="1337">
        <f t="shared" si="35"/>
        <v>1127.04820271067</v>
      </c>
      <c r="L164" s="1337">
        <f t="shared" si="35"/>
        <v>1127.04820271067</v>
      </c>
      <c r="M164" s="1337">
        <f t="shared" si="35"/>
        <v>921.058402860548</v>
      </c>
      <c r="N164" s="1337">
        <f t="shared" si="35"/>
        <v>501.966728530454</v>
      </c>
      <c r="O164" s="1337">
        <f t="shared" si="35"/>
        <v>501.966728530454</v>
      </c>
      <c r="P164" s="1341">
        <f>SUM(D164:O164)</f>
        <v>8793.45705802382</v>
      </c>
      <c r="Q164" s="326"/>
      <c r="R164" s="326"/>
      <c r="S164" s="326"/>
      <c r="T164" s="326"/>
      <c r="U164" s="326"/>
      <c r="V164" s="326"/>
      <c r="W164" s="326"/>
      <c r="AV164" s="1225"/>
      <c r="AW164" s="1225"/>
    </row>
    <row r="165" s="21" customFormat="1" spans="2:49">
      <c r="B165" s="568"/>
      <c r="C165" s="540" t="s">
        <v>322</v>
      </c>
      <c r="D165" s="1337">
        <f>D163-D164</f>
        <v>1435.64860377359</v>
      </c>
      <c r="E165" s="1337">
        <f t="shared" ref="E165:O165" si="36">E163-E164</f>
        <v>1435.64860377359</v>
      </c>
      <c r="F165" s="1337">
        <f t="shared" si="36"/>
        <v>1435.64860377359</v>
      </c>
      <c r="G165" s="1337">
        <f t="shared" si="36"/>
        <v>1727.82873954916</v>
      </c>
      <c r="H165" s="1337">
        <f t="shared" si="36"/>
        <v>4837.21398601399</v>
      </c>
      <c r="I165" s="1337">
        <f t="shared" si="36"/>
        <v>4890.06272493573</v>
      </c>
      <c r="J165" s="1337">
        <f t="shared" si="36"/>
        <v>4890.06272493573</v>
      </c>
      <c r="K165" s="1337">
        <f t="shared" si="36"/>
        <v>5044.22793164408</v>
      </c>
      <c r="L165" s="1337">
        <f t="shared" si="36"/>
        <v>5044.22793164408</v>
      </c>
      <c r="M165" s="1337">
        <f t="shared" si="36"/>
        <v>4122.29797377831</v>
      </c>
      <c r="N165" s="1337">
        <f t="shared" si="36"/>
        <v>2246.60718744728</v>
      </c>
      <c r="O165" s="1337">
        <f t="shared" si="36"/>
        <v>2246.60718744728</v>
      </c>
      <c r="P165" s="1341">
        <f>SUM(D165:O165)</f>
        <v>39356.0821987164</v>
      </c>
      <c r="Q165" s="326"/>
      <c r="R165" s="326"/>
      <c r="S165" s="326"/>
      <c r="T165" s="326"/>
      <c r="U165" s="326"/>
      <c r="V165" s="326"/>
      <c r="W165" s="326"/>
      <c r="AV165" s="1225"/>
      <c r="AW165" s="1225"/>
    </row>
    <row r="166" s="21" customFormat="1" spans="2:49">
      <c r="B166" s="548" t="s">
        <v>294</v>
      </c>
      <c r="C166" s="540" t="s">
        <v>317</v>
      </c>
      <c r="D166" s="1354">
        <f>Price4_36MoPr(VarCostByProduct,B166)</f>
        <v>6.99</v>
      </c>
      <c r="E166" s="1330"/>
      <c r="F166" s="1330"/>
      <c r="G166" s="1330"/>
      <c r="H166" s="1331"/>
      <c r="I166" s="1333"/>
      <c r="J166" s="1333"/>
      <c r="K166" s="1333"/>
      <c r="L166" s="1333"/>
      <c r="M166" s="1333"/>
      <c r="N166" s="1333"/>
      <c r="O166" s="1333"/>
      <c r="P166" s="1341"/>
      <c r="Q166" s="326"/>
      <c r="R166" s="326"/>
      <c r="S166" s="326"/>
      <c r="T166" s="326"/>
      <c r="U166" s="326"/>
      <c r="V166" s="326"/>
      <c r="W166" s="326"/>
      <c r="AV166" s="1225"/>
      <c r="AW166" s="1225"/>
    </row>
    <row r="167" s="21" customFormat="1" spans="2:49">
      <c r="B167" s="568"/>
      <c r="C167" s="540" t="s">
        <v>318</v>
      </c>
      <c r="D167" s="1355">
        <f>Varcosts4_36MoPr(VarCostByProduct,B166)</f>
        <v>0.86</v>
      </c>
      <c r="E167" s="1333"/>
      <c r="F167" s="1333"/>
      <c r="G167" s="1333"/>
      <c r="H167" s="1333"/>
      <c r="I167" s="1333"/>
      <c r="J167" s="1333"/>
      <c r="K167" s="1333"/>
      <c r="L167" s="1333"/>
      <c r="M167" s="1333"/>
      <c r="N167" s="1333"/>
      <c r="O167" s="1333"/>
      <c r="P167" s="1341"/>
      <c r="Q167" s="326"/>
      <c r="R167" s="326"/>
      <c r="S167" s="326"/>
      <c r="T167" s="326"/>
      <c r="U167" s="326"/>
      <c r="V167" s="326"/>
      <c r="W167" s="326"/>
      <c r="AV167" s="1225"/>
      <c r="AW167" s="1225"/>
    </row>
    <row r="168" s="21" customFormat="1" spans="2:49">
      <c r="B168" s="568"/>
      <c r="C168" s="554" t="s">
        <v>319</v>
      </c>
      <c r="D168" s="1334">
        <f>Sales4_36MoPr(SalesJan,"FY-2",$B166)</f>
        <v>510.660098522167</v>
      </c>
      <c r="E168" s="1334">
        <f>Sales4_36MoPr(SalesFeb,"FY-2",$B166)</f>
        <v>440.673354871621</v>
      </c>
      <c r="F168" s="1334">
        <f>Sales4_36MoPr(SalesMar,"FY-2",$B166)</f>
        <v>510.660098522167</v>
      </c>
      <c r="G168" s="1334">
        <f>Sales4_36MoPr(SalesApr,"FY-2",$B166)</f>
        <v>655.202780996524</v>
      </c>
      <c r="H168" s="1334">
        <f>Sales4_36MoPr(SalesMay,"FY-2",$B166)</f>
        <v>1280.85667215815</v>
      </c>
      <c r="I168" s="1334">
        <f>Sales4_36MoPr(SalesJun,"FY-2",$B166)</f>
        <v>1261.04314955564</v>
      </c>
      <c r="J168" s="1334">
        <f>Sales4_36MoPr(SalesJul,"FY-2",$B166)</f>
        <v>1261.04314955564</v>
      </c>
      <c r="K168" s="1334">
        <f>Sales4_36MoPr(SalesAug,"FY-2",$B166)</f>
        <v>1294.69455960768</v>
      </c>
      <c r="L168" s="1334">
        <f>Sales4_36MoPr(SalesSep,"FY-2",$B166)</f>
        <v>1294.69455960768</v>
      </c>
      <c r="M168" s="1334">
        <f>Sales4_36MoPr(SalesOct,"FY-2",$B166)</f>
        <v>1280.85667215815</v>
      </c>
      <c r="N168" s="1334">
        <f>Sales4_36MoPr(SalesNov,"FY-2",$B166)</f>
        <v>510.660098522167</v>
      </c>
      <c r="O168" s="1334">
        <f>Sales4_36MoPr(SalesDec,"FY-2",$B166)</f>
        <v>440.673354871621</v>
      </c>
      <c r="P168" s="1340">
        <f>SUM(D168:O168)</f>
        <v>10741.7185489492</v>
      </c>
      <c r="Q168" s="326"/>
      <c r="R168" s="326"/>
      <c r="S168" s="326"/>
      <c r="T168" s="326"/>
      <c r="U168" s="326"/>
      <c r="V168" s="326"/>
      <c r="W168" s="326"/>
      <c r="AV168" s="1225"/>
      <c r="AW168" s="1225"/>
    </row>
    <row r="169" s="21" customFormat="1" spans="2:49">
      <c r="B169" s="1335"/>
      <c r="C169" s="540" t="s">
        <v>320</v>
      </c>
      <c r="D169" s="1337">
        <f t="shared" ref="D169:O169" si="37">D168*$D166</f>
        <v>3569.51408866995</v>
      </c>
      <c r="E169" s="1337">
        <f t="shared" si="37"/>
        <v>3080.30675055263</v>
      </c>
      <c r="F169" s="1337">
        <f t="shared" si="37"/>
        <v>3569.51408866995</v>
      </c>
      <c r="G169" s="1337">
        <f t="shared" si="37"/>
        <v>4579.8674391657</v>
      </c>
      <c r="H169" s="1337">
        <f t="shared" si="37"/>
        <v>8953.1881383855</v>
      </c>
      <c r="I169" s="1337">
        <f t="shared" si="37"/>
        <v>8814.69161539389</v>
      </c>
      <c r="J169" s="1337">
        <f t="shared" si="37"/>
        <v>8814.69161539389</v>
      </c>
      <c r="K169" s="1337">
        <f t="shared" si="37"/>
        <v>9049.91497165769</v>
      </c>
      <c r="L169" s="1337">
        <f t="shared" si="37"/>
        <v>9049.91497165769</v>
      </c>
      <c r="M169" s="1337">
        <f t="shared" si="37"/>
        <v>8953.1881383855</v>
      </c>
      <c r="N169" s="1337">
        <f t="shared" si="37"/>
        <v>3569.51408866995</v>
      </c>
      <c r="O169" s="1337">
        <f t="shared" si="37"/>
        <v>3080.30675055263</v>
      </c>
      <c r="P169" s="1341">
        <f>SUM(D169:O169)</f>
        <v>75084.612657155</v>
      </c>
      <c r="Q169" s="326"/>
      <c r="R169" s="326"/>
      <c r="S169" s="326"/>
      <c r="T169" s="326"/>
      <c r="U169" s="326"/>
      <c r="V169" s="326"/>
      <c r="W169" s="326"/>
      <c r="AV169" s="1225"/>
      <c r="AW169" s="1225"/>
    </row>
    <row r="170" s="21" customFormat="1" spans="2:49">
      <c r="B170" s="568"/>
      <c r="C170" s="540" t="s">
        <v>321</v>
      </c>
      <c r="D170" s="1337">
        <f>D168*$D$80</f>
        <v>418.741280788177</v>
      </c>
      <c r="E170" s="1337">
        <f>E168*$D$80</f>
        <v>361.352150994729</v>
      </c>
      <c r="F170" s="1337">
        <f t="shared" ref="F170:O170" si="38">F168*$D167</f>
        <v>439.167684729064</v>
      </c>
      <c r="G170" s="1337">
        <f t="shared" si="38"/>
        <v>563.47439165701</v>
      </c>
      <c r="H170" s="1337">
        <f t="shared" si="38"/>
        <v>1101.53673805601</v>
      </c>
      <c r="I170" s="1337">
        <f t="shared" si="38"/>
        <v>1084.49710861785</v>
      </c>
      <c r="J170" s="1337">
        <f t="shared" si="38"/>
        <v>1084.49710861785</v>
      </c>
      <c r="K170" s="1337">
        <f t="shared" si="38"/>
        <v>1113.43732126261</v>
      </c>
      <c r="L170" s="1337">
        <f t="shared" si="38"/>
        <v>1113.43732126261</v>
      </c>
      <c r="M170" s="1337">
        <f t="shared" si="38"/>
        <v>1101.53673805601</v>
      </c>
      <c r="N170" s="1337">
        <f t="shared" si="38"/>
        <v>439.167684729064</v>
      </c>
      <c r="O170" s="1337">
        <f t="shared" si="38"/>
        <v>378.979085189594</v>
      </c>
      <c r="P170" s="1341">
        <f>SUM(D170:O170)</f>
        <v>9199.82461396057</v>
      </c>
      <c r="Q170" s="326"/>
      <c r="R170" s="326"/>
      <c r="S170" s="326"/>
      <c r="T170" s="326"/>
      <c r="U170" s="326"/>
      <c r="V170" s="326"/>
      <c r="W170" s="326"/>
      <c r="AV170" s="1225"/>
      <c r="AW170" s="1225"/>
    </row>
    <row r="171" s="21" customFormat="1" spans="2:49">
      <c r="B171" s="568"/>
      <c r="C171" s="540" t="s">
        <v>322</v>
      </c>
      <c r="D171" s="1337">
        <f>D169-D170</f>
        <v>3150.77280788177</v>
      </c>
      <c r="E171" s="1337">
        <f t="shared" ref="E171:O171" si="39">E169-E170</f>
        <v>2718.9545995579</v>
      </c>
      <c r="F171" s="1337">
        <f t="shared" si="39"/>
        <v>3130.34640394089</v>
      </c>
      <c r="G171" s="1337">
        <f t="shared" si="39"/>
        <v>4016.39304750869</v>
      </c>
      <c r="H171" s="1337">
        <f t="shared" si="39"/>
        <v>7851.65140032949</v>
      </c>
      <c r="I171" s="1337">
        <f t="shared" si="39"/>
        <v>7730.19450677605</v>
      </c>
      <c r="J171" s="1337">
        <f t="shared" si="39"/>
        <v>7730.19450677605</v>
      </c>
      <c r="K171" s="1337">
        <f t="shared" si="39"/>
        <v>7936.47765039508</v>
      </c>
      <c r="L171" s="1337">
        <f t="shared" si="39"/>
        <v>7936.47765039508</v>
      </c>
      <c r="M171" s="1337">
        <f t="shared" si="39"/>
        <v>7851.65140032949</v>
      </c>
      <c r="N171" s="1337">
        <f t="shared" si="39"/>
        <v>3130.34640394089</v>
      </c>
      <c r="O171" s="1337">
        <f t="shared" si="39"/>
        <v>2701.32766536303</v>
      </c>
      <c r="P171" s="1341">
        <f>SUM(D171:O171)</f>
        <v>65884.7880431944</v>
      </c>
      <c r="Q171" s="326"/>
      <c r="R171" s="326"/>
      <c r="S171" s="326"/>
      <c r="T171" s="326"/>
      <c r="U171" s="326"/>
      <c r="V171" s="326"/>
      <c r="W171" s="326"/>
      <c r="AV171" s="1225"/>
      <c r="AW171" s="1225"/>
    </row>
    <row r="172" s="21" customFormat="1" spans="2:49">
      <c r="B172" s="548" t="s">
        <v>295</v>
      </c>
      <c r="C172" s="540" t="s">
        <v>317</v>
      </c>
      <c r="D172" s="1354">
        <f>Price4_36MoPr(VarCostByProduct,B172)</f>
        <v>5.49</v>
      </c>
      <c r="E172" s="1330"/>
      <c r="F172" s="1330"/>
      <c r="G172" s="1330"/>
      <c r="H172" s="1331"/>
      <c r="I172" s="1333"/>
      <c r="J172" s="1333"/>
      <c r="K172" s="1333"/>
      <c r="L172" s="1333"/>
      <c r="M172" s="1333"/>
      <c r="N172" s="1333"/>
      <c r="O172" s="1333"/>
      <c r="P172" s="1341"/>
      <c r="Q172" s="326"/>
      <c r="R172" s="326"/>
      <c r="S172" s="326"/>
      <c r="T172" s="326"/>
      <c r="U172" s="326"/>
      <c r="V172" s="326"/>
      <c r="W172" s="326"/>
      <c r="AV172" s="1225"/>
      <c r="AW172" s="1225"/>
    </row>
    <row r="173" s="21" customFormat="1" spans="2:49">
      <c r="B173" s="568"/>
      <c r="C173" s="540" t="s">
        <v>318</v>
      </c>
      <c r="D173" s="1355">
        <f>Varcosts4_36MoPr(VarCostByProduct,B172)</f>
        <v>0.83</v>
      </c>
      <c r="E173" s="1333"/>
      <c r="F173" s="1333"/>
      <c r="G173" s="1333"/>
      <c r="H173" s="1333"/>
      <c r="I173" s="1333"/>
      <c r="J173" s="1333"/>
      <c r="K173" s="1333"/>
      <c r="L173" s="1333"/>
      <c r="M173" s="1333"/>
      <c r="N173" s="1333"/>
      <c r="O173" s="1333"/>
      <c r="P173" s="1341"/>
      <c r="Q173" s="326"/>
      <c r="R173" s="326"/>
      <c r="S173" s="326"/>
      <c r="T173" s="326"/>
      <c r="U173" s="326"/>
      <c r="V173" s="326"/>
      <c r="W173" s="326"/>
      <c r="AV173" s="1225"/>
      <c r="AW173" s="1225"/>
    </row>
    <row r="174" s="21" customFormat="1" spans="2:49">
      <c r="B174" s="568"/>
      <c r="C174" s="554" t="s">
        <v>319</v>
      </c>
      <c r="D174" s="1334">
        <f>Sales4_36MoPr(SalesJan,"FY-2",$B172)</f>
        <v>0</v>
      </c>
      <c r="E174" s="1334">
        <f>Sales4_36MoPr(SalesFeb,"FY-2",$B172)</f>
        <v>0</v>
      </c>
      <c r="F174" s="1334">
        <f>Sales4_36MoPr(SalesMar,"FY-2",$B172)</f>
        <v>0</v>
      </c>
      <c r="G174" s="1334">
        <f>Sales4_36MoPr(SalesApr,"FY-2",$B172)</f>
        <v>0</v>
      </c>
      <c r="H174" s="1334">
        <f>Sales4_36MoPr(SalesMay,"FY-2",$B172)</f>
        <v>1059.29554876992</v>
      </c>
      <c r="I174" s="1334">
        <f>Sales4_36MoPr(SalesJun,"FY-2",$B172)</f>
        <v>1155.59514411264</v>
      </c>
      <c r="J174" s="1334">
        <f>Sales4_36MoPr(SalesJul,"FY-2",$B172)</f>
        <v>1155.59514411264</v>
      </c>
      <c r="K174" s="1334">
        <f>Sales4_36MoPr(SalesAug,"FY-2",$B172)</f>
        <v>1155.59514411264</v>
      </c>
      <c r="L174" s="1334">
        <f>Sales4_36MoPr(SalesSep,"FY-2",$B172)</f>
        <v>1155.59514411264</v>
      </c>
      <c r="M174" s="1334">
        <f>Sales4_36MoPr(SalesOct,"FY-2",$B172)</f>
        <v>1059.29554876992</v>
      </c>
      <c r="N174" s="1334">
        <f>Sales4_36MoPr(SalesNov,"FY-2",$B172)</f>
        <v>1240</v>
      </c>
      <c r="O174" s="1334">
        <f>Sales4_36MoPr(SalesDec,"FY-2",$B172)</f>
        <v>0</v>
      </c>
      <c r="P174" s="1340">
        <f>SUM(D174:O174)</f>
        <v>7980.9716739904</v>
      </c>
      <c r="Q174" s="326"/>
      <c r="R174" s="326"/>
      <c r="S174" s="326"/>
      <c r="T174" s="326"/>
      <c r="U174" s="326"/>
      <c r="V174" s="326"/>
      <c r="W174" s="326"/>
      <c r="AV174" s="1225"/>
      <c r="AW174" s="1225"/>
    </row>
    <row r="175" s="21" customFormat="1" spans="2:49">
      <c r="B175" s="1335"/>
      <c r="C175" s="540" t="s">
        <v>320</v>
      </c>
      <c r="D175" s="1337">
        <f t="shared" ref="D175:O175" si="40">D174*$D172</f>
        <v>0</v>
      </c>
      <c r="E175" s="1337">
        <f t="shared" si="40"/>
        <v>0</v>
      </c>
      <c r="F175" s="1337">
        <f t="shared" si="40"/>
        <v>0</v>
      </c>
      <c r="G175" s="1337">
        <f t="shared" si="40"/>
        <v>0</v>
      </c>
      <c r="H175" s="1337">
        <f t="shared" si="40"/>
        <v>5815.53256274686</v>
      </c>
      <c r="I175" s="1337">
        <f t="shared" si="40"/>
        <v>6344.21734117839</v>
      </c>
      <c r="J175" s="1337">
        <f t="shared" si="40"/>
        <v>6344.21734117839</v>
      </c>
      <c r="K175" s="1337">
        <f t="shared" si="40"/>
        <v>6344.21734117839</v>
      </c>
      <c r="L175" s="1337">
        <f t="shared" si="40"/>
        <v>6344.21734117839</v>
      </c>
      <c r="M175" s="1337">
        <f t="shared" si="40"/>
        <v>5815.53256274686</v>
      </c>
      <c r="N175" s="1337">
        <f t="shared" si="40"/>
        <v>6807.6</v>
      </c>
      <c r="O175" s="1337">
        <f t="shared" si="40"/>
        <v>0</v>
      </c>
      <c r="P175" s="1341">
        <f>SUM(D175:O175)</f>
        <v>43815.5344902073</v>
      </c>
      <c r="Q175" s="326"/>
      <c r="R175" s="326"/>
      <c r="S175" s="326"/>
      <c r="T175" s="326"/>
      <c r="U175" s="326"/>
      <c r="V175" s="326"/>
      <c r="W175" s="326"/>
      <c r="AV175" s="1225"/>
      <c r="AW175" s="1225"/>
    </row>
    <row r="176" s="21" customFormat="1" spans="2:49">
      <c r="B176" s="568"/>
      <c r="C176" s="540" t="s">
        <v>321</v>
      </c>
      <c r="D176" s="1337">
        <f>D174*$D$80</f>
        <v>0</v>
      </c>
      <c r="E176" s="1337">
        <f>E174*$D$80</f>
        <v>0</v>
      </c>
      <c r="F176" s="1337">
        <f t="shared" ref="F176:O176" si="41">F174*$D173</f>
        <v>0</v>
      </c>
      <c r="G176" s="1337">
        <f t="shared" si="41"/>
        <v>0</v>
      </c>
      <c r="H176" s="1337">
        <f t="shared" si="41"/>
        <v>879.215305479034</v>
      </c>
      <c r="I176" s="1337">
        <f t="shared" si="41"/>
        <v>959.143969613491</v>
      </c>
      <c r="J176" s="1337">
        <f t="shared" si="41"/>
        <v>959.143969613491</v>
      </c>
      <c r="K176" s="1337">
        <f t="shared" si="41"/>
        <v>959.143969613491</v>
      </c>
      <c r="L176" s="1337">
        <f t="shared" si="41"/>
        <v>959.143969613491</v>
      </c>
      <c r="M176" s="1337">
        <f t="shared" si="41"/>
        <v>879.215305479034</v>
      </c>
      <c r="N176" s="1337">
        <f t="shared" si="41"/>
        <v>1029.2</v>
      </c>
      <c r="O176" s="1337">
        <f t="shared" si="41"/>
        <v>0</v>
      </c>
      <c r="P176" s="1341">
        <f>SUM(D176:O176)</f>
        <v>6624.20648941203</v>
      </c>
      <c r="Q176" s="326"/>
      <c r="R176" s="326"/>
      <c r="S176" s="326"/>
      <c r="T176" s="326"/>
      <c r="U176" s="326"/>
      <c r="V176" s="326"/>
      <c r="W176" s="326"/>
      <c r="AV176" s="1225"/>
      <c r="AW176" s="1225"/>
    </row>
    <row r="177" s="21" customFormat="1" spans="2:49">
      <c r="B177" s="568"/>
      <c r="C177" s="540" t="s">
        <v>322</v>
      </c>
      <c r="D177" s="1337">
        <f>D175-D176</f>
        <v>0</v>
      </c>
      <c r="E177" s="1337">
        <f t="shared" ref="E177:O177" si="42">E175-E176</f>
        <v>0</v>
      </c>
      <c r="F177" s="1337">
        <f t="shared" si="42"/>
        <v>0</v>
      </c>
      <c r="G177" s="1337">
        <f t="shared" si="42"/>
        <v>0</v>
      </c>
      <c r="H177" s="1337">
        <f t="shared" si="42"/>
        <v>4936.31725726783</v>
      </c>
      <c r="I177" s="1337">
        <f t="shared" si="42"/>
        <v>5385.0733715649</v>
      </c>
      <c r="J177" s="1337">
        <f t="shared" si="42"/>
        <v>5385.0733715649</v>
      </c>
      <c r="K177" s="1337">
        <f t="shared" si="42"/>
        <v>5385.0733715649</v>
      </c>
      <c r="L177" s="1337">
        <f t="shared" si="42"/>
        <v>5385.0733715649</v>
      </c>
      <c r="M177" s="1337">
        <f t="shared" si="42"/>
        <v>4936.31725726783</v>
      </c>
      <c r="N177" s="1337">
        <f t="shared" si="42"/>
        <v>5778.4</v>
      </c>
      <c r="O177" s="1337">
        <f t="shared" si="42"/>
        <v>0</v>
      </c>
      <c r="P177" s="1341">
        <f>SUM(D177:O177)</f>
        <v>37191.3280007953</v>
      </c>
      <c r="Q177" s="326"/>
      <c r="R177" s="326"/>
      <c r="S177" s="326"/>
      <c r="T177" s="326"/>
      <c r="U177" s="326"/>
      <c r="V177" s="326"/>
      <c r="W177" s="326"/>
      <c r="AV177" s="1225"/>
      <c r="AW177" s="1225"/>
    </row>
    <row r="178" s="21" customFormat="1" spans="2:49">
      <c r="B178" s="548" t="s">
        <v>296</v>
      </c>
      <c r="C178" s="540" t="s">
        <v>317</v>
      </c>
      <c r="D178" s="1354">
        <f>Price4_36MoPr(VarCostByProduct,B178)</f>
        <v>6.99</v>
      </c>
      <c r="E178" s="1330"/>
      <c r="F178" s="1330"/>
      <c r="G178" s="1330"/>
      <c r="H178" s="1331"/>
      <c r="I178" s="1333"/>
      <c r="J178" s="1333"/>
      <c r="K178" s="1333"/>
      <c r="L178" s="1333"/>
      <c r="M178" s="1333"/>
      <c r="N178" s="1333"/>
      <c r="O178" s="1333"/>
      <c r="P178" s="1341"/>
      <c r="Q178" s="326"/>
      <c r="R178" s="326"/>
      <c r="S178" s="326"/>
      <c r="T178" s="326"/>
      <c r="U178" s="326"/>
      <c r="V178" s="326"/>
      <c r="W178" s="326"/>
      <c r="AV178" s="1225"/>
      <c r="AW178" s="1225"/>
    </row>
    <row r="179" s="21" customFormat="1" spans="2:49">
      <c r="B179" s="568"/>
      <c r="C179" s="540" t="s">
        <v>318</v>
      </c>
      <c r="D179" s="1355">
        <f>Varcosts4_36MoPr(VarCostByProduct,B178)</f>
        <v>0.84</v>
      </c>
      <c r="E179" s="1333"/>
      <c r="F179" s="1333"/>
      <c r="G179" s="1333"/>
      <c r="H179" s="1333"/>
      <c r="I179" s="1333"/>
      <c r="J179" s="1333"/>
      <c r="K179" s="1333"/>
      <c r="L179" s="1333"/>
      <c r="M179" s="1333"/>
      <c r="N179" s="1333"/>
      <c r="O179" s="1333"/>
      <c r="P179" s="1341"/>
      <c r="Q179" s="326"/>
      <c r="R179" s="326"/>
      <c r="S179" s="326"/>
      <c r="T179" s="326"/>
      <c r="U179" s="326"/>
      <c r="V179" s="326"/>
      <c r="W179" s="326"/>
      <c r="AV179" s="1225"/>
      <c r="AW179" s="1225"/>
    </row>
    <row r="180" s="21" customFormat="1" spans="2:49">
      <c r="B180" s="568"/>
      <c r="C180" s="554" t="s">
        <v>319</v>
      </c>
      <c r="D180" s="1334">
        <f>Sales4_36MoPr(SalesJan,"FY-2",$B178)</f>
        <v>1230.4948293792</v>
      </c>
      <c r="E180" s="1334">
        <f>Sales4_36MoPr(SalesFeb,"FY-2",$B178)</f>
        <v>1230.4948293792</v>
      </c>
      <c r="F180" s="1334">
        <f>Sales4_36MoPr(SalesMar,"FY-2",$B178)</f>
        <v>1240</v>
      </c>
      <c r="G180" s="1334">
        <f>Sales4_36MoPr(SalesApr,"FY-2",$B178)</f>
        <v>1240</v>
      </c>
      <c r="H180" s="1334">
        <f>Sales4_36MoPr(SalesMay,"FY-2",$B178)</f>
        <v>1968.79172700672</v>
      </c>
      <c r="I180" s="1334">
        <f>Sales4_36MoPr(SalesJun,"FY-2",$B178)</f>
        <v>2460.9896587584</v>
      </c>
      <c r="J180" s="1334">
        <f>Sales4_36MoPr(SalesJul,"FY-2",$B178)</f>
        <v>2460.9896587584</v>
      </c>
      <c r="K180" s="1334">
        <f>Sales4_36MoPr(SalesAug,"FY-2",$B178)</f>
        <v>2480</v>
      </c>
      <c r="L180" s="1334">
        <f>Sales4_36MoPr(SalesSep,"FY-2",$B178)</f>
        <v>2480</v>
      </c>
      <c r="M180" s="1334">
        <f>Sales4_36MoPr(SalesOct,"FY-2",$B178)</f>
        <v>2480</v>
      </c>
      <c r="N180" s="1334">
        <f>Sales4_36MoPr(SalesNov,"FY-2",$B178)</f>
        <v>1240</v>
      </c>
      <c r="O180" s="1334">
        <f>Sales4_36MoPr(SalesDec,"FY-2",$B178)</f>
        <v>1240</v>
      </c>
      <c r="P180" s="1340">
        <f>SUM(D180:O180)</f>
        <v>21751.7607032819</v>
      </c>
      <c r="Q180" s="326"/>
      <c r="R180" s="326"/>
      <c r="S180" s="326"/>
      <c r="T180" s="326"/>
      <c r="U180" s="326"/>
      <c r="V180" s="326"/>
      <c r="W180" s="326"/>
      <c r="AV180" s="1225"/>
      <c r="AW180" s="1225"/>
    </row>
    <row r="181" s="21" customFormat="1" spans="2:49">
      <c r="B181" s="1335"/>
      <c r="C181" s="540" t="s">
        <v>320</v>
      </c>
      <c r="D181" s="1337">
        <f t="shared" ref="D181:O181" si="43">D180*$D178</f>
        <v>8601.15885736061</v>
      </c>
      <c r="E181" s="1337">
        <f t="shared" si="43"/>
        <v>8601.15885736061</v>
      </c>
      <c r="F181" s="1337">
        <f t="shared" si="43"/>
        <v>8667.6</v>
      </c>
      <c r="G181" s="1337">
        <f t="shared" si="43"/>
        <v>8667.6</v>
      </c>
      <c r="H181" s="1337">
        <f t="shared" si="43"/>
        <v>13761.854171777</v>
      </c>
      <c r="I181" s="1337">
        <f t="shared" si="43"/>
        <v>17202.3177147212</v>
      </c>
      <c r="J181" s="1337">
        <f t="shared" si="43"/>
        <v>17202.3177147212</v>
      </c>
      <c r="K181" s="1337">
        <f t="shared" si="43"/>
        <v>17335.2</v>
      </c>
      <c r="L181" s="1337">
        <f t="shared" si="43"/>
        <v>17335.2</v>
      </c>
      <c r="M181" s="1337">
        <f t="shared" si="43"/>
        <v>17335.2</v>
      </c>
      <c r="N181" s="1337">
        <f t="shared" si="43"/>
        <v>8667.6</v>
      </c>
      <c r="O181" s="1337">
        <f t="shared" si="43"/>
        <v>8667.6</v>
      </c>
      <c r="P181" s="1357">
        <f>SUM(D181:O181)</f>
        <v>152044.807315941</v>
      </c>
      <c r="Q181" s="326"/>
      <c r="R181" s="326"/>
      <c r="S181" s="326"/>
      <c r="T181" s="326"/>
      <c r="U181" s="326"/>
      <c r="V181" s="326"/>
      <c r="W181" s="326"/>
      <c r="AV181" s="1225"/>
      <c r="AW181" s="1225"/>
    </row>
    <row r="182" s="21" customFormat="1" spans="2:49">
      <c r="B182" s="568"/>
      <c r="C182" s="540" t="s">
        <v>321</v>
      </c>
      <c r="D182" s="1337">
        <f>D180*$D$80</f>
        <v>1009.00576009094</v>
      </c>
      <c r="E182" s="1337">
        <f>E180*$D$80</f>
        <v>1009.00576009094</v>
      </c>
      <c r="F182" s="1337">
        <f t="shared" ref="F182:O182" si="44">F180*$D179</f>
        <v>1041.6</v>
      </c>
      <c r="G182" s="1337">
        <f t="shared" si="44"/>
        <v>1041.6</v>
      </c>
      <c r="H182" s="1337">
        <f t="shared" si="44"/>
        <v>1653.78505068565</v>
      </c>
      <c r="I182" s="1337">
        <f t="shared" si="44"/>
        <v>2067.23131335706</v>
      </c>
      <c r="J182" s="1337">
        <f t="shared" si="44"/>
        <v>2067.23131335706</v>
      </c>
      <c r="K182" s="1337">
        <f t="shared" si="44"/>
        <v>2083.2</v>
      </c>
      <c r="L182" s="1337">
        <f t="shared" si="44"/>
        <v>2083.2</v>
      </c>
      <c r="M182" s="1337">
        <f t="shared" si="44"/>
        <v>2083.2</v>
      </c>
      <c r="N182" s="1337">
        <f t="shared" si="44"/>
        <v>1041.6</v>
      </c>
      <c r="O182" s="1337">
        <f t="shared" si="44"/>
        <v>1041.6</v>
      </c>
      <c r="P182" s="1341">
        <f>SUM(D182:O182)</f>
        <v>18222.2591975816</v>
      </c>
      <c r="Q182" s="326"/>
      <c r="R182" s="326"/>
      <c r="S182" s="326"/>
      <c r="T182" s="326"/>
      <c r="U182" s="326"/>
      <c r="V182" s="326"/>
      <c r="W182" s="326"/>
      <c r="AV182" s="1225"/>
      <c r="AW182" s="1225"/>
    </row>
    <row r="183" s="21" customFormat="1" spans="2:49">
      <c r="B183" s="568"/>
      <c r="C183" s="540" t="s">
        <v>322</v>
      </c>
      <c r="D183" s="1337">
        <f>D181-D182</f>
        <v>7592.15309726967</v>
      </c>
      <c r="E183" s="1337">
        <f t="shared" ref="E183:O183" si="45">E181-E182</f>
        <v>7592.15309726967</v>
      </c>
      <c r="F183" s="1337">
        <f t="shared" si="45"/>
        <v>7626</v>
      </c>
      <c r="G183" s="1337">
        <f t="shared" si="45"/>
        <v>7626</v>
      </c>
      <c r="H183" s="1337">
        <f t="shared" si="45"/>
        <v>12108.0691210913</v>
      </c>
      <c r="I183" s="1337">
        <f t="shared" si="45"/>
        <v>15135.0864013642</v>
      </c>
      <c r="J183" s="1337">
        <f t="shared" si="45"/>
        <v>15135.0864013642</v>
      </c>
      <c r="K183" s="1337">
        <f t="shared" si="45"/>
        <v>15252</v>
      </c>
      <c r="L183" s="1337">
        <f t="shared" si="45"/>
        <v>15252</v>
      </c>
      <c r="M183" s="1337">
        <f t="shared" si="45"/>
        <v>15252</v>
      </c>
      <c r="N183" s="1337">
        <f t="shared" si="45"/>
        <v>7626</v>
      </c>
      <c r="O183" s="1337">
        <f t="shared" si="45"/>
        <v>7626</v>
      </c>
      <c r="P183" s="1341">
        <f>SUM(D183:O183)</f>
        <v>133822.548118359</v>
      </c>
      <c r="Q183" s="326"/>
      <c r="R183" s="326"/>
      <c r="S183" s="326"/>
      <c r="T183" s="326"/>
      <c r="U183" s="326"/>
      <c r="V183" s="326"/>
      <c r="W183" s="326"/>
      <c r="AV183" s="1225"/>
      <c r="AW183" s="1225"/>
    </row>
    <row r="184" s="21" customFormat="1" spans="2:49">
      <c r="B184" s="548" t="s">
        <v>297</v>
      </c>
      <c r="C184" s="540" t="s">
        <v>317</v>
      </c>
      <c r="D184" s="1354">
        <f>Price4_36MoPr(VarCostByProduct,B184)</f>
        <v>5.99</v>
      </c>
      <c r="E184" s="1330"/>
      <c r="F184" s="1330"/>
      <c r="G184" s="1330"/>
      <c r="H184" s="1331"/>
      <c r="I184" s="1333"/>
      <c r="J184" s="1333"/>
      <c r="K184" s="1333"/>
      <c r="L184" s="1333"/>
      <c r="M184" s="1333"/>
      <c r="N184" s="1333"/>
      <c r="O184" s="1333"/>
      <c r="P184" s="1341"/>
      <c r="Q184" s="326"/>
      <c r="R184" s="326"/>
      <c r="S184" s="326"/>
      <c r="T184" s="326"/>
      <c r="U184" s="326"/>
      <c r="V184" s="326"/>
      <c r="W184" s="326"/>
      <c r="AV184" s="1225"/>
      <c r="AW184" s="1225"/>
    </row>
    <row r="185" s="21" customFormat="1" spans="2:49">
      <c r="B185" s="568"/>
      <c r="C185" s="540" t="s">
        <v>318</v>
      </c>
      <c r="D185" s="1355">
        <f>Varcosts4_36MoPr(VarCostByProduct,B184)</f>
        <v>0.83</v>
      </c>
      <c r="E185" s="1333"/>
      <c r="F185" s="1333"/>
      <c r="G185" s="1333"/>
      <c r="H185" s="1333"/>
      <c r="I185" s="1333"/>
      <c r="J185" s="1333"/>
      <c r="K185" s="1333"/>
      <c r="L185" s="1333"/>
      <c r="M185" s="1333"/>
      <c r="N185" s="1333"/>
      <c r="O185" s="1333"/>
      <c r="P185" s="1341"/>
      <c r="Q185" s="326"/>
      <c r="R185" s="326"/>
      <c r="S185" s="326"/>
      <c r="T185" s="326"/>
      <c r="U185" s="326"/>
      <c r="V185" s="326"/>
      <c r="W185" s="326"/>
      <c r="AV185" s="1225"/>
      <c r="AW185" s="1225"/>
    </row>
    <row r="186" s="21" customFormat="1" spans="2:49">
      <c r="B186" s="568"/>
      <c r="C186" s="554" t="s">
        <v>319</v>
      </c>
      <c r="D186" s="1334">
        <f>Sales4_36MoPr(SalesJan,"FY-2",$B184)</f>
        <v>1230.4948293792</v>
      </c>
      <c r="E186" s="1334">
        <f>Sales4_36MoPr(SalesFeb,"FY-2",$B184)</f>
        <v>1230.4948293792</v>
      </c>
      <c r="F186" s="1334">
        <f>Sales4_36MoPr(SalesMar,"FY-2",$B184)</f>
        <v>1240</v>
      </c>
      <c r="G186" s="1334">
        <f>Sales4_36MoPr(SalesApr,"FY-2",$B184)</f>
        <v>1240</v>
      </c>
      <c r="H186" s="1334">
        <f>Sales4_36MoPr(SalesMay,"FY-2",$B184)</f>
        <v>1968.79172700672</v>
      </c>
      <c r="I186" s="1334">
        <f>Sales4_36MoPr(SalesJun,"FY-2",$B184)</f>
        <v>2460.9896587584</v>
      </c>
      <c r="J186" s="1334">
        <f>Sales4_36MoPr(SalesJul,"FY-2",$B184)</f>
        <v>2460.9896587584</v>
      </c>
      <c r="K186" s="1334">
        <f>Sales4_36MoPr(SalesAug,"FY-2",$B184)</f>
        <v>2480</v>
      </c>
      <c r="L186" s="1334">
        <f>Sales4_36MoPr(SalesSep,"FY-2",$B184)</f>
        <v>2480</v>
      </c>
      <c r="M186" s="1334">
        <f>Sales4_36MoPr(SalesOct,"FY-2",$B184)</f>
        <v>2480</v>
      </c>
      <c r="N186" s="1334">
        <f>Sales4_36MoPr(SalesNov,"FY-2",$B184)</f>
        <v>1240</v>
      </c>
      <c r="O186" s="1334">
        <f>Sales4_36MoPr(SalesDec,"FY-2",$B184)</f>
        <v>1240</v>
      </c>
      <c r="P186" s="1340">
        <f>SUM(D186:O186)</f>
        <v>21751.7607032819</v>
      </c>
      <c r="Q186" s="326"/>
      <c r="R186" s="326"/>
      <c r="S186" s="326"/>
      <c r="T186" s="326"/>
      <c r="U186" s="326"/>
      <c r="V186" s="326"/>
      <c r="W186" s="326"/>
      <c r="AV186" s="1225"/>
      <c r="AW186" s="1225"/>
    </row>
    <row r="187" s="21" customFormat="1" spans="2:49">
      <c r="B187" s="1335"/>
      <c r="C187" s="540" t="s">
        <v>320</v>
      </c>
      <c r="D187" s="1337">
        <f t="shared" ref="D187:O187" si="46">D186*$D184</f>
        <v>7370.66402798141</v>
      </c>
      <c r="E187" s="1337">
        <f t="shared" si="46"/>
        <v>7370.66402798141</v>
      </c>
      <c r="F187" s="1337">
        <f t="shared" si="46"/>
        <v>7427.6</v>
      </c>
      <c r="G187" s="1337">
        <f t="shared" si="46"/>
        <v>7427.6</v>
      </c>
      <c r="H187" s="1337">
        <f t="shared" si="46"/>
        <v>11793.0624447703</v>
      </c>
      <c r="I187" s="1337">
        <f t="shared" si="46"/>
        <v>14741.3280559628</v>
      </c>
      <c r="J187" s="1337">
        <f t="shared" si="46"/>
        <v>14741.3280559628</v>
      </c>
      <c r="K187" s="1337">
        <f t="shared" si="46"/>
        <v>14855.2</v>
      </c>
      <c r="L187" s="1337">
        <f t="shared" si="46"/>
        <v>14855.2</v>
      </c>
      <c r="M187" s="1337">
        <f t="shared" si="46"/>
        <v>14855.2</v>
      </c>
      <c r="N187" s="1337">
        <f t="shared" si="46"/>
        <v>7427.6</v>
      </c>
      <c r="O187" s="1337">
        <f t="shared" si="46"/>
        <v>7427.6</v>
      </c>
      <c r="P187" s="1341">
        <f>SUM(D187:O187)</f>
        <v>130293.046612659</v>
      </c>
      <c r="Q187" s="326"/>
      <c r="R187" s="326"/>
      <c r="S187" s="326"/>
      <c r="T187" s="326"/>
      <c r="U187" s="326"/>
      <c r="V187" s="326"/>
      <c r="W187" s="326"/>
      <c r="AV187" s="1225"/>
      <c r="AW187" s="1225"/>
    </row>
    <row r="188" s="21" customFormat="1" spans="2:49">
      <c r="B188" s="568"/>
      <c r="C188" s="540" t="s">
        <v>321</v>
      </c>
      <c r="D188" s="1337">
        <f>D186*$D$80</f>
        <v>1009.00576009094</v>
      </c>
      <c r="E188" s="1337">
        <f>E186*$D$80</f>
        <v>1009.00576009094</v>
      </c>
      <c r="F188" s="1337">
        <f t="shared" ref="F188:O188" si="47">F186*$D185</f>
        <v>1029.2</v>
      </c>
      <c r="G188" s="1337">
        <f t="shared" si="47"/>
        <v>1029.2</v>
      </c>
      <c r="H188" s="1337">
        <f t="shared" si="47"/>
        <v>1634.09713341558</v>
      </c>
      <c r="I188" s="1337">
        <f t="shared" si="47"/>
        <v>2042.62141676947</v>
      </c>
      <c r="J188" s="1337">
        <f t="shared" si="47"/>
        <v>2042.62141676947</v>
      </c>
      <c r="K188" s="1337">
        <f t="shared" si="47"/>
        <v>2058.4</v>
      </c>
      <c r="L188" s="1337">
        <f t="shared" si="47"/>
        <v>2058.4</v>
      </c>
      <c r="M188" s="1337">
        <f t="shared" si="47"/>
        <v>2058.4</v>
      </c>
      <c r="N188" s="1337">
        <f t="shared" si="47"/>
        <v>1029.2</v>
      </c>
      <c r="O188" s="1337">
        <f t="shared" si="47"/>
        <v>1029.2</v>
      </c>
      <c r="P188" s="1341">
        <f>SUM(D188:O188)</f>
        <v>18029.3514871364</v>
      </c>
      <c r="Q188" s="326"/>
      <c r="R188" s="326"/>
      <c r="S188" s="326"/>
      <c r="T188" s="326"/>
      <c r="U188" s="326"/>
      <c r="V188" s="326"/>
      <c r="W188" s="326"/>
      <c r="AV188" s="1225"/>
      <c r="AW188" s="1225"/>
    </row>
    <row r="189" s="21" customFormat="1" spans="2:49">
      <c r="B189" s="568"/>
      <c r="C189" s="540" t="s">
        <v>322</v>
      </c>
      <c r="D189" s="1337">
        <f>D187-D188</f>
        <v>6361.65826789047</v>
      </c>
      <c r="E189" s="1337">
        <f t="shared" ref="E189:O189" si="48">E187-E188</f>
        <v>6361.65826789047</v>
      </c>
      <c r="F189" s="1337">
        <f t="shared" si="48"/>
        <v>6398.4</v>
      </c>
      <c r="G189" s="1337">
        <f t="shared" si="48"/>
        <v>6398.4</v>
      </c>
      <c r="H189" s="1337">
        <f t="shared" si="48"/>
        <v>10158.9653113547</v>
      </c>
      <c r="I189" s="1337">
        <f t="shared" si="48"/>
        <v>12698.7066391933</v>
      </c>
      <c r="J189" s="1337">
        <f t="shared" si="48"/>
        <v>12698.7066391933</v>
      </c>
      <c r="K189" s="1337">
        <f t="shared" si="48"/>
        <v>12796.8</v>
      </c>
      <c r="L189" s="1337">
        <f t="shared" si="48"/>
        <v>12796.8</v>
      </c>
      <c r="M189" s="1337">
        <f t="shared" si="48"/>
        <v>12796.8</v>
      </c>
      <c r="N189" s="1337">
        <f t="shared" si="48"/>
        <v>6398.4</v>
      </c>
      <c r="O189" s="1337">
        <f t="shared" si="48"/>
        <v>6398.4</v>
      </c>
      <c r="P189" s="1341">
        <f>SUM(D189:O189)</f>
        <v>112263.695125522</v>
      </c>
      <c r="Q189" s="326"/>
      <c r="R189" s="326"/>
      <c r="S189" s="326"/>
      <c r="T189" s="326"/>
      <c r="U189" s="326"/>
      <c r="V189" s="326"/>
      <c r="W189" s="326"/>
      <c r="AV189" s="1225"/>
      <c r="AW189" s="1225"/>
    </row>
    <row r="190" s="21" customFormat="1" spans="2:49">
      <c r="B190" s="548" t="s">
        <v>298</v>
      </c>
      <c r="C190" s="540" t="s">
        <v>317</v>
      </c>
      <c r="D190" s="1354">
        <f>Price4_36MoPr(VarCostByProduct,B190)</f>
        <v>5.99</v>
      </c>
      <c r="E190" s="1330"/>
      <c r="F190" s="1330"/>
      <c r="G190" s="1330"/>
      <c r="H190" s="1331"/>
      <c r="I190" s="1333"/>
      <c r="J190" s="1333"/>
      <c r="K190" s="1333"/>
      <c r="L190" s="1333"/>
      <c r="M190" s="1333"/>
      <c r="N190" s="1333"/>
      <c r="O190" s="1333"/>
      <c r="P190" s="1341"/>
      <c r="Q190" s="326"/>
      <c r="R190" s="326"/>
      <c r="S190" s="326"/>
      <c r="T190" s="326"/>
      <c r="U190" s="326"/>
      <c r="V190" s="326"/>
      <c r="W190" s="326"/>
      <c r="AV190" s="1225"/>
      <c r="AW190" s="1225"/>
    </row>
    <row r="191" s="21" customFormat="1" spans="2:49">
      <c r="B191" s="568"/>
      <c r="C191" s="540" t="s">
        <v>318</v>
      </c>
      <c r="D191" s="1355">
        <f>Varcosts4_36MoPr(VarCostByProduct,B190)</f>
        <v>0.83</v>
      </c>
      <c r="E191" s="1333"/>
      <c r="F191" s="1333"/>
      <c r="G191" s="1333"/>
      <c r="H191" s="1333"/>
      <c r="I191" s="1333"/>
      <c r="J191" s="1333"/>
      <c r="K191" s="1333"/>
      <c r="L191" s="1333"/>
      <c r="M191" s="1333"/>
      <c r="N191" s="1333"/>
      <c r="O191" s="1333"/>
      <c r="P191" s="1341"/>
      <c r="Q191" s="326"/>
      <c r="R191" s="326"/>
      <c r="S191" s="326"/>
      <c r="T191" s="326"/>
      <c r="U191" s="326"/>
      <c r="V191" s="326"/>
      <c r="W191" s="326"/>
      <c r="AV191" s="1225"/>
      <c r="AW191" s="1225"/>
    </row>
    <row r="192" s="21" customFormat="1" spans="2:49">
      <c r="B192" s="568"/>
      <c r="C192" s="554" t="s">
        <v>319</v>
      </c>
      <c r="D192" s="1334">
        <f>Sales4_36MoPr(SalesJan,"FY-2",$B190)</f>
        <v>1230.4948293792</v>
      </c>
      <c r="E192" s="1334">
        <f>Sales4_36MoPr(SalesFeb,"FY-2",$B190)</f>
        <v>1230.4948293792</v>
      </c>
      <c r="F192" s="1334">
        <f>Sales4_36MoPr(SalesMar,"FY-2",$B190)</f>
        <v>1240</v>
      </c>
      <c r="G192" s="1334">
        <f>Sales4_36MoPr(SalesApr,"FY-2",$B190)</f>
        <v>1240</v>
      </c>
      <c r="H192" s="1334">
        <f>Sales4_36MoPr(SalesMay,"FY-2",$B190)</f>
        <v>1968.79172700672</v>
      </c>
      <c r="I192" s="1334">
        <f>Sales4_36MoPr(SalesJun,"FY-2",$B190)</f>
        <v>2460.9896587584</v>
      </c>
      <c r="J192" s="1334">
        <f>Sales4_36MoPr(SalesJul,"FY-2",$B190)</f>
        <v>2460.9896587584</v>
      </c>
      <c r="K192" s="1334">
        <f>Sales4_36MoPr(SalesAug,"FY-2",$B190)</f>
        <v>2480</v>
      </c>
      <c r="L192" s="1334">
        <f>Sales4_36MoPr(SalesSep,"FY-2",$B190)</f>
        <v>2480</v>
      </c>
      <c r="M192" s="1334">
        <f>Sales4_36MoPr(SalesOct,"FY-2",$B190)</f>
        <v>2480</v>
      </c>
      <c r="N192" s="1334">
        <f>Sales4_36MoPr(SalesNov,"FY-2",$B190)</f>
        <v>1240</v>
      </c>
      <c r="O192" s="1334">
        <f>Sales4_36MoPr(SalesDec,"FY-2",$B190)</f>
        <v>1240</v>
      </c>
      <c r="P192" s="1340">
        <f>SUM(D192:O192)</f>
        <v>21751.7607032819</v>
      </c>
      <c r="Q192" s="326"/>
      <c r="R192" s="326"/>
      <c r="S192" s="326"/>
      <c r="T192" s="326"/>
      <c r="U192" s="326"/>
      <c r="V192" s="326"/>
      <c r="W192" s="326"/>
      <c r="AV192" s="1225"/>
      <c r="AW192" s="1225"/>
    </row>
    <row r="193" s="21" customFormat="1" spans="2:49">
      <c r="B193" s="1335"/>
      <c r="C193" s="540" t="s">
        <v>320</v>
      </c>
      <c r="D193" s="1337">
        <f t="shared" ref="D193:O193" si="49">D192*$D190</f>
        <v>7370.66402798141</v>
      </c>
      <c r="E193" s="1337">
        <f t="shared" si="49"/>
        <v>7370.66402798141</v>
      </c>
      <c r="F193" s="1337">
        <f t="shared" si="49"/>
        <v>7427.6</v>
      </c>
      <c r="G193" s="1337">
        <f t="shared" si="49"/>
        <v>7427.6</v>
      </c>
      <c r="H193" s="1337">
        <f t="shared" si="49"/>
        <v>11793.0624447703</v>
      </c>
      <c r="I193" s="1337">
        <f t="shared" si="49"/>
        <v>14741.3280559628</v>
      </c>
      <c r="J193" s="1337">
        <f t="shared" si="49"/>
        <v>14741.3280559628</v>
      </c>
      <c r="K193" s="1337">
        <f t="shared" si="49"/>
        <v>14855.2</v>
      </c>
      <c r="L193" s="1337">
        <f t="shared" si="49"/>
        <v>14855.2</v>
      </c>
      <c r="M193" s="1337">
        <f t="shared" si="49"/>
        <v>14855.2</v>
      </c>
      <c r="N193" s="1337">
        <f t="shared" si="49"/>
        <v>7427.6</v>
      </c>
      <c r="O193" s="1337">
        <f t="shared" si="49"/>
        <v>7427.6</v>
      </c>
      <c r="P193" s="1341">
        <f>SUM(D193:O193)</f>
        <v>130293.046612659</v>
      </c>
      <c r="Q193" s="326"/>
      <c r="R193" s="326"/>
      <c r="S193" s="326"/>
      <c r="T193" s="326"/>
      <c r="U193" s="326"/>
      <c r="V193" s="326"/>
      <c r="W193" s="326"/>
      <c r="AV193" s="1225"/>
      <c r="AW193" s="1225"/>
    </row>
    <row r="194" s="21" customFormat="1" spans="2:49">
      <c r="B194" s="568"/>
      <c r="C194" s="540" t="s">
        <v>321</v>
      </c>
      <c r="D194" s="1337">
        <f>D192*$D$80</f>
        <v>1009.00576009094</v>
      </c>
      <c r="E194" s="1337">
        <f>E192*$D$80</f>
        <v>1009.00576009094</v>
      </c>
      <c r="F194" s="1337">
        <f t="shared" ref="F194:O194" si="50">F192*$D191</f>
        <v>1029.2</v>
      </c>
      <c r="G194" s="1337">
        <f t="shared" si="50"/>
        <v>1029.2</v>
      </c>
      <c r="H194" s="1337">
        <f t="shared" si="50"/>
        <v>1634.09713341558</v>
      </c>
      <c r="I194" s="1337">
        <f t="shared" si="50"/>
        <v>2042.62141676947</v>
      </c>
      <c r="J194" s="1337">
        <f t="shared" si="50"/>
        <v>2042.62141676947</v>
      </c>
      <c r="K194" s="1337">
        <f t="shared" si="50"/>
        <v>2058.4</v>
      </c>
      <c r="L194" s="1337">
        <f t="shared" si="50"/>
        <v>2058.4</v>
      </c>
      <c r="M194" s="1337">
        <f t="shared" si="50"/>
        <v>2058.4</v>
      </c>
      <c r="N194" s="1337">
        <f t="shared" si="50"/>
        <v>1029.2</v>
      </c>
      <c r="O194" s="1337">
        <f t="shared" si="50"/>
        <v>1029.2</v>
      </c>
      <c r="P194" s="1341">
        <f>SUM(D194:O194)</f>
        <v>18029.3514871364</v>
      </c>
      <c r="Q194" s="326"/>
      <c r="R194" s="326"/>
      <c r="S194" s="326"/>
      <c r="T194" s="326"/>
      <c r="U194" s="326"/>
      <c r="V194" s="326"/>
      <c r="W194" s="326"/>
      <c r="AV194" s="1225"/>
      <c r="AW194" s="1225"/>
    </row>
    <row r="195" s="21" customFormat="1" spans="2:49">
      <c r="B195" s="568"/>
      <c r="C195" s="540" t="s">
        <v>322</v>
      </c>
      <c r="D195" s="1337">
        <f>D193-D194</f>
        <v>6361.65826789047</v>
      </c>
      <c r="E195" s="1337">
        <f t="shared" ref="E195:O195" si="51">E193-E194</f>
        <v>6361.65826789047</v>
      </c>
      <c r="F195" s="1337">
        <f t="shared" si="51"/>
        <v>6398.4</v>
      </c>
      <c r="G195" s="1337">
        <f t="shared" si="51"/>
        <v>6398.4</v>
      </c>
      <c r="H195" s="1337">
        <f t="shared" si="51"/>
        <v>10158.9653113547</v>
      </c>
      <c r="I195" s="1337">
        <f t="shared" si="51"/>
        <v>12698.7066391933</v>
      </c>
      <c r="J195" s="1337">
        <f t="shared" si="51"/>
        <v>12698.7066391933</v>
      </c>
      <c r="K195" s="1337">
        <f t="shared" si="51"/>
        <v>12796.8</v>
      </c>
      <c r="L195" s="1337">
        <f t="shared" si="51"/>
        <v>12796.8</v>
      </c>
      <c r="M195" s="1337">
        <f t="shared" si="51"/>
        <v>12796.8</v>
      </c>
      <c r="N195" s="1337">
        <f t="shared" si="51"/>
        <v>6398.4</v>
      </c>
      <c r="O195" s="1337">
        <f t="shared" si="51"/>
        <v>6398.4</v>
      </c>
      <c r="P195" s="1341">
        <f>SUM(D195:O195)</f>
        <v>112263.695125522</v>
      </c>
      <c r="Q195" s="326"/>
      <c r="R195" s="326"/>
      <c r="S195" s="326"/>
      <c r="T195" s="326"/>
      <c r="U195" s="326"/>
      <c r="V195" s="326"/>
      <c r="W195" s="326"/>
      <c r="AV195" s="1225"/>
      <c r="AW195" s="1225"/>
    </row>
    <row r="196" s="21" customFormat="1" spans="2:49">
      <c r="B196" s="548" t="s">
        <v>299</v>
      </c>
      <c r="C196" s="540" t="s">
        <v>317</v>
      </c>
      <c r="D196" s="1354">
        <f>Price4_36MoPr(VarCostByProduct,B196)</f>
        <v>2.45</v>
      </c>
      <c r="E196" s="1330"/>
      <c r="F196" s="1330"/>
      <c r="G196" s="1330"/>
      <c r="H196" s="1331"/>
      <c r="I196" s="1333"/>
      <c r="J196" s="1333"/>
      <c r="K196" s="1333"/>
      <c r="L196" s="1333"/>
      <c r="M196" s="1333"/>
      <c r="N196" s="1333"/>
      <c r="O196" s="1333"/>
      <c r="P196" s="1341"/>
      <c r="Q196" s="326"/>
      <c r="R196" s="326"/>
      <c r="S196" s="326"/>
      <c r="T196" s="326"/>
      <c r="U196" s="326"/>
      <c r="V196" s="326"/>
      <c r="W196" s="326"/>
      <c r="AV196" s="1225"/>
      <c r="AW196" s="1225"/>
    </row>
    <row r="197" s="21" customFormat="1" spans="2:49">
      <c r="B197" s="568"/>
      <c r="C197" s="540" t="s">
        <v>318</v>
      </c>
      <c r="D197" s="1355">
        <f>Varcosts4_36MoPr(VarCostByProduct,B196)</f>
        <v>0.82</v>
      </c>
      <c r="E197" s="1333"/>
      <c r="F197" s="1333"/>
      <c r="G197" s="1333"/>
      <c r="H197" s="1333"/>
      <c r="I197" s="1333"/>
      <c r="J197" s="1333"/>
      <c r="K197" s="1333"/>
      <c r="L197" s="1333"/>
      <c r="M197" s="1333"/>
      <c r="N197" s="1333"/>
      <c r="O197" s="1333"/>
      <c r="P197" s="1341"/>
      <c r="Q197" s="326"/>
      <c r="R197" s="326"/>
      <c r="S197" s="326"/>
      <c r="T197" s="326"/>
      <c r="U197" s="326"/>
      <c r="V197" s="326"/>
      <c r="W197" s="326"/>
      <c r="AV197" s="1225"/>
      <c r="AW197" s="1225"/>
    </row>
    <row r="198" s="21" customFormat="1" spans="2:49">
      <c r="B198" s="568"/>
      <c r="C198" s="554" t="s">
        <v>319</v>
      </c>
      <c r="D198" s="1334">
        <f>Sales4_36MoPr(SalesJan,"FY-2",$B196)</f>
        <v>2088.81509433962</v>
      </c>
      <c r="E198" s="1334">
        <f>Sales4_36MoPr(SalesFeb,"FY-2",$B196)</f>
        <v>2088.81509433962</v>
      </c>
      <c r="F198" s="1334">
        <f>Sales4_36MoPr(SalesMar,"FY-2",$B196)</f>
        <v>2088.81509433962</v>
      </c>
      <c r="G198" s="1334">
        <f>Sales4_36MoPr(SalesApr,"FY-2",$B196)</f>
        <v>9217.72968754176</v>
      </c>
      <c r="H198" s="1334">
        <f>Sales4_36MoPr(SalesMay,"FY-2",$B196)</f>
        <v>8601.95804195804</v>
      </c>
      <c r="I198" s="1334">
        <f>Sales4_36MoPr(SalesJun,"FY-2",$B196)</f>
        <v>11067.557840617</v>
      </c>
      <c r="J198" s="1334">
        <f>Sales4_36MoPr(SalesJul,"FY-2",$B196)</f>
        <v>11067.557840617</v>
      </c>
      <c r="K198" s="1334">
        <f>Sales4_36MoPr(SalesAug,"FY-2",$B196)</f>
        <v>9785.55097230406</v>
      </c>
      <c r="L198" s="1334">
        <f>Sales4_36MoPr(SalesSep,"FY-2",$B196)</f>
        <v>9785.55097230406</v>
      </c>
      <c r="M198" s="1334">
        <f>Sales4_36MoPr(SalesOct,"FY-2",$B196)</f>
        <v>8796.75804529201</v>
      </c>
      <c r="N198" s="1334">
        <f>Sales4_36MoPr(SalesNov,"FY-2",$B196)</f>
        <v>1867.84545301164</v>
      </c>
      <c r="O198" s="1334">
        <f>Sales4_36MoPr(SalesDec,"FY-2",$B196)</f>
        <v>1867.84545301164</v>
      </c>
      <c r="P198" s="1340">
        <f>SUM(D198:O198)</f>
        <v>78324.799589676</v>
      </c>
      <c r="Q198" s="326"/>
      <c r="R198" s="326"/>
      <c r="S198" s="326"/>
      <c r="T198" s="326"/>
      <c r="U198" s="326"/>
      <c r="V198" s="326"/>
      <c r="W198" s="326"/>
      <c r="AV198" s="1225"/>
      <c r="AW198" s="1225"/>
    </row>
    <row r="199" s="21" customFormat="1" spans="2:49">
      <c r="B199" s="1335"/>
      <c r="C199" s="540" t="s">
        <v>320</v>
      </c>
      <c r="D199" s="1337">
        <f t="shared" ref="D199:O199" si="52">D198*$D196</f>
        <v>5117.59698113208</v>
      </c>
      <c r="E199" s="1337">
        <f t="shared" si="52"/>
        <v>5117.59698113208</v>
      </c>
      <c r="F199" s="1337">
        <f t="shared" si="52"/>
        <v>5117.59698113208</v>
      </c>
      <c r="G199" s="1337">
        <f t="shared" si="52"/>
        <v>22583.4377344773</v>
      </c>
      <c r="H199" s="1337">
        <f t="shared" si="52"/>
        <v>21074.7972027972</v>
      </c>
      <c r="I199" s="1337">
        <f t="shared" si="52"/>
        <v>27115.5167095116</v>
      </c>
      <c r="J199" s="1337">
        <f t="shared" si="52"/>
        <v>27115.5167095116</v>
      </c>
      <c r="K199" s="1337">
        <f t="shared" si="52"/>
        <v>23974.599882145</v>
      </c>
      <c r="L199" s="1337">
        <f t="shared" si="52"/>
        <v>23974.599882145</v>
      </c>
      <c r="M199" s="1337">
        <f t="shared" si="52"/>
        <v>21552.0572109654</v>
      </c>
      <c r="N199" s="1337">
        <f t="shared" si="52"/>
        <v>4576.22135987852</v>
      </c>
      <c r="O199" s="1337">
        <f t="shared" si="52"/>
        <v>4576.22135987852</v>
      </c>
      <c r="P199" s="1341">
        <f>SUM(D199:O199)</f>
        <v>191895.758994706</v>
      </c>
      <c r="Q199" s="326"/>
      <c r="R199" s="326"/>
      <c r="S199" s="326"/>
      <c r="T199" s="326"/>
      <c r="U199" s="326"/>
      <c r="V199" s="326"/>
      <c r="W199" s="326"/>
      <c r="AV199" s="1225"/>
      <c r="AW199" s="1225"/>
    </row>
    <row r="200" s="21" customFormat="1" spans="2:49">
      <c r="B200" s="568"/>
      <c r="C200" s="540" t="s">
        <v>321</v>
      </c>
      <c r="D200" s="1337">
        <f>D198*$D$80</f>
        <v>1712.82837735849</v>
      </c>
      <c r="E200" s="1337">
        <f>E198*$D$80</f>
        <v>1712.82837735849</v>
      </c>
      <c r="F200" s="1337">
        <f t="shared" ref="F200:O200" si="53">F198*$D197</f>
        <v>1712.82837735849</v>
      </c>
      <c r="G200" s="1337">
        <f t="shared" si="53"/>
        <v>7558.53834378424</v>
      </c>
      <c r="H200" s="1337">
        <f t="shared" si="53"/>
        <v>7053.6055944056</v>
      </c>
      <c r="I200" s="1337">
        <f t="shared" si="53"/>
        <v>9075.39742930591</v>
      </c>
      <c r="J200" s="1337">
        <f t="shared" si="53"/>
        <v>9075.39742930591</v>
      </c>
      <c r="K200" s="1337">
        <f t="shared" si="53"/>
        <v>8024.15179728933</v>
      </c>
      <c r="L200" s="1337">
        <f t="shared" si="53"/>
        <v>8024.15179728933</v>
      </c>
      <c r="M200" s="1337">
        <f t="shared" si="53"/>
        <v>7213.34159713945</v>
      </c>
      <c r="N200" s="1337">
        <f t="shared" si="53"/>
        <v>1531.63327146955</v>
      </c>
      <c r="O200" s="1337">
        <f t="shared" si="53"/>
        <v>1531.63327146955</v>
      </c>
      <c r="P200" s="1341">
        <f>SUM(D200:O200)</f>
        <v>64226.3356635344</v>
      </c>
      <c r="Q200" s="326"/>
      <c r="R200" s="326"/>
      <c r="S200" s="326"/>
      <c r="T200" s="326"/>
      <c r="U200" s="326"/>
      <c r="V200" s="326"/>
      <c r="W200" s="326"/>
      <c r="AV200" s="1225"/>
      <c r="AW200" s="1225"/>
    </row>
    <row r="201" s="21" customFormat="1" spans="2:49">
      <c r="B201" s="568"/>
      <c r="C201" s="540" t="s">
        <v>322</v>
      </c>
      <c r="D201" s="1337">
        <f>D199-D200</f>
        <v>3404.76860377358</v>
      </c>
      <c r="E201" s="1337">
        <f t="shared" ref="E201:O201" si="54">E199-E200</f>
        <v>3404.76860377358</v>
      </c>
      <c r="F201" s="1337">
        <f t="shared" si="54"/>
        <v>3404.76860377358</v>
      </c>
      <c r="G201" s="1337">
        <f t="shared" si="54"/>
        <v>15024.8993906931</v>
      </c>
      <c r="H201" s="1337">
        <f t="shared" si="54"/>
        <v>14021.1916083916</v>
      </c>
      <c r="I201" s="1337">
        <f t="shared" si="54"/>
        <v>18040.1192802057</v>
      </c>
      <c r="J201" s="1337">
        <f t="shared" si="54"/>
        <v>18040.1192802057</v>
      </c>
      <c r="K201" s="1337">
        <f t="shared" si="54"/>
        <v>15950.4480848556</v>
      </c>
      <c r="L201" s="1337">
        <f t="shared" si="54"/>
        <v>15950.4480848556</v>
      </c>
      <c r="M201" s="1337">
        <f t="shared" si="54"/>
        <v>14338.715613826</v>
      </c>
      <c r="N201" s="1337">
        <f t="shared" si="54"/>
        <v>3044.58808840898</v>
      </c>
      <c r="O201" s="1337">
        <f t="shared" si="54"/>
        <v>3044.58808840898</v>
      </c>
      <c r="P201" s="1341">
        <f>SUM(D201:O201)</f>
        <v>127669.423331172</v>
      </c>
      <c r="Q201" s="326"/>
      <c r="R201" s="326"/>
      <c r="S201" s="326"/>
      <c r="T201" s="326"/>
      <c r="U201" s="326"/>
      <c r="V201" s="326"/>
      <c r="W201" s="326"/>
      <c r="AV201" s="1225"/>
      <c r="AW201" s="1225"/>
    </row>
    <row r="202" s="21" customFormat="1" spans="2:49">
      <c r="B202" s="548" t="s">
        <v>300</v>
      </c>
      <c r="C202" s="540" t="s">
        <v>317</v>
      </c>
      <c r="D202" s="1354">
        <f>Price4_36MoPr(VarCostByProduct,B202)</f>
        <v>2.99</v>
      </c>
      <c r="E202" s="1330"/>
      <c r="F202" s="1330"/>
      <c r="G202" s="1330"/>
      <c r="H202" s="1331"/>
      <c r="I202" s="1333"/>
      <c r="J202" s="1333"/>
      <c r="K202" s="1333"/>
      <c r="L202" s="1333"/>
      <c r="M202" s="1333"/>
      <c r="N202" s="1333"/>
      <c r="O202" s="1333"/>
      <c r="P202" s="1341"/>
      <c r="Q202" s="326"/>
      <c r="R202" s="326"/>
      <c r="S202" s="326"/>
      <c r="T202" s="326"/>
      <c r="U202" s="326"/>
      <c r="V202" s="326"/>
      <c r="W202" s="326"/>
      <c r="AV202" s="1225"/>
      <c r="AW202" s="1225"/>
    </row>
    <row r="203" s="21" customFormat="1" spans="2:49">
      <c r="B203" s="568"/>
      <c r="C203" s="540" t="s">
        <v>318</v>
      </c>
      <c r="D203" s="1355">
        <f>Varcosts4_36MoPr(VarCostByProduct,B202)</f>
        <v>0.86</v>
      </c>
      <c r="E203" s="1333"/>
      <c r="F203" s="1333"/>
      <c r="G203" s="1333"/>
      <c r="H203" s="1333"/>
      <c r="I203" s="1333"/>
      <c r="J203" s="1333"/>
      <c r="K203" s="1333"/>
      <c r="L203" s="1333"/>
      <c r="M203" s="1333"/>
      <c r="N203" s="1333"/>
      <c r="O203" s="1333"/>
      <c r="P203" s="1341"/>
      <c r="Q203" s="326"/>
      <c r="R203" s="326"/>
      <c r="S203" s="326"/>
      <c r="T203" s="326"/>
      <c r="U203" s="326"/>
      <c r="V203" s="326"/>
      <c r="W203" s="326"/>
      <c r="AV203" s="1225"/>
      <c r="AW203" s="1225"/>
    </row>
    <row r="204" s="21" customFormat="1" spans="2:49">
      <c r="B204" s="568"/>
      <c r="C204" s="554" t="s">
        <v>319</v>
      </c>
      <c r="D204" s="1334">
        <f>Sales4_36MoPr(SalesJan,"FY-2",$B202)</f>
        <v>1969.33990147783</v>
      </c>
      <c r="E204" s="1334">
        <f>Sales4_36MoPr(SalesFeb,"FY-2",$B202)</f>
        <v>2039.32664512838</v>
      </c>
      <c r="F204" s="1334">
        <f>Sales4_36MoPr(SalesMar,"FY-2",$B202)</f>
        <v>1969.33990147783</v>
      </c>
      <c r="G204" s="1334">
        <f>Sales4_36MoPr(SalesApr,"FY-2",$B202)</f>
        <v>9264.79721900348</v>
      </c>
      <c r="H204" s="1334">
        <f>Sales4_36MoPr(SalesMay,"FY-2",$B202)</f>
        <v>9879.14332784184</v>
      </c>
      <c r="I204" s="1334">
        <f>Sales4_36MoPr(SalesJun,"FY-2",$B202)</f>
        <v>12378.9568504444</v>
      </c>
      <c r="J204" s="1334">
        <f>Sales4_36MoPr(SalesJul,"FY-2",$B202)</f>
        <v>12378.9568504444</v>
      </c>
      <c r="K204" s="1334">
        <f>Sales4_36MoPr(SalesAug,"FY-2",$B202)</f>
        <v>10893.6805398221</v>
      </c>
      <c r="L204" s="1334">
        <f>Sales4_36MoPr(SalesSep,"FY-2",$B202)</f>
        <v>10893.6805398221</v>
      </c>
      <c r="M204" s="1334">
        <f>Sales4_36MoPr(SalesOct,"FY-2",$B202)</f>
        <v>9879.14332784184</v>
      </c>
      <c r="N204" s="1334">
        <f>Sales4_36MoPr(SalesNov,"FY-2",$B202)</f>
        <v>1969.33990147783</v>
      </c>
      <c r="O204" s="1334">
        <f>Sales4_36MoPr(SalesDec,"FY-2",$B202)</f>
        <v>2039.32664512838</v>
      </c>
      <c r="P204" s="1340">
        <f>SUM(D204:O204)</f>
        <v>85555.0316499103</v>
      </c>
      <c r="Q204" s="326"/>
      <c r="R204" s="326"/>
      <c r="S204" s="326"/>
      <c r="T204" s="326"/>
      <c r="U204" s="326"/>
      <c r="V204" s="326"/>
      <c r="W204" s="326"/>
      <c r="AV204" s="1225"/>
      <c r="AW204" s="1225"/>
    </row>
    <row r="205" s="21" customFormat="1" spans="2:49">
      <c r="B205" s="1335"/>
      <c r="C205" s="540" t="s">
        <v>320</v>
      </c>
      <c r="D205" s="1337">
        <f t="shared" ref="D205:O205" si="55">D204*$D202</f>
        <v>5888.32630541872</v>
      </c>
      <c r="E205" s="1337">
        <f t="shared" si="55"/>
        <v>6097.58666893386</v>
      </c>
      <c r="F205" s="1337">
        <f t="shared" si="55"/>
        <v>5888.32630541872</v>
      </c>
      <c r="G205" s="1337">
        <f t="shared" si="55"/>
        <v>27701.7436848204</v>
      </c>
      <c r="H205" s="1337">
        <f t="shared" si="55"/>
        <v>29538.6385502471</v>
      </c>
      <c r="I205" s="1337">
        <f t="shared" si="55"/>
        <v>37013.0809828287</v>
      </c>
      <c r="J205" s="1337">
        <f t="shared" si="55"/>
        <v>37013.0809828287</v>
      </c>
      <c r="K205" s="1337">
        <f t="shared" si="55"/>
        <v>32572.104814068</v>
      </c>
      <c r="L205" s="1337">
        <f t="shared" si="55"/>
        <v>32572.104814068</v>
      </c>
      <c r="M205" s="1337">
        <f t="shared" si="55"/>
        <v>29538.6385502471</v>
      </c>
      <c r="N205" s="1337">
        <f t="shared" si="55"/>
        <v>5888.32630541872</v>
      </c>
      <c r="O205" s="1337">
        <f t="shared" si="55"/>
        <v>6097.58666893386</v>
      </c>
      <c r="P205" s="1341">
        <f>SUM(D205:O205)</f>
        <v>255809.544633232</v>
      </c>
      <c r="Q205" s="326"/>
      <c r="R205" s="326"/>
      <c r="S205" s="326"/>
      <c r="T205" s="326"/>
      <c r="U205" s="326"/>
      <c r="V205" s="326"/>
      <c r="W205" s="326"/>
      <c r="AV205" s="1225"/>
      <c r="AW205" s="1225"/>
    </row>
    <row r="206" s="21" customFormat="1" spans="2:49">
      <c r="B206" s="568"/>
      <c r="C206" s="540" t="s">
        <v>321</v>
      </c>
      <c r="D206" s="1337">
        <f>D204*$D$80</f>
        <v>1614.85871921182</v>
      </c>
      <c r="E206" s="1337">
        <f>E204*$D$80</f>
        <v>1672.24784900527</v>
      </c>
      <c r="F206" s="1337">
        <f t="shared" ref="F206:O206" si="56">F204*$D203</f>
        <v>1693.63231527094</v>
      </c>
      <c r="G206" s="1337">
        <f t="shared" si="56"/>
        <v>7967.72560834299</v>
      </c>
      <c r="H206" s="1337">
        <f t="shared" si="56"/>
        <v>8496.06326194399</v>
      </c>
      <c r="I206" s="1337">
        <f t="shared" si="56"/>
        <v>10645.9028913822</v>
      </c>
      <c r="J206" s="1337">
        <f t="shared" si="56"/>
        <v>10645.9028913822</v>
      </c>
      <c r="K206" s="1337">
        <f t="shared" si="56"/>
        <v>9368.56526424699</v>
      </c>
      <c r="L206" s="1337">
        <f t="shared" si="56"/>
        <v>9368.56526424699</v>
      </c>
      <c r="M206" s="1337">
        <f t="shared" si="56"/>
        <v>8496.06326194399</v>
      </c>
      <c r="N206" s="1337">
        <f t="shared" si="56"/>
        <v>1693.63231527094</v>
      </c>
      <c r="O206" s="1337">
        <f t="shared" si="56"/>
        <v>1753.82091481041</v>
      </c>
      <c r="P206" s="1341">
        <f>SUM(D206:O206)</f>
        <v>73416.9805570586</v>
      </c>
      <c r="Q206" s="326"/>
      <c r="R206" s="326"/>
      <c r="S206" s="326"/>
      <c r="T206" s="326"/>
      <c r="U206" s="326"/>
      <c r="V206" s="326"/>
      <c r="W206" s="326"/>
      <c r="AV206" s="1225"/>
      <c r="AW206" s="1225"/>
    </row>
    <row r="207" s="21" customFormat="1" spans="2:49">
      <c r="B207" s="568"/>
      <c r="C207" s="540" t="s">
        <v>322</v>
      </c>
      <c r="D207" s="1337">
        <f>D205-D206</f>
        <v>4273.4675862069</v>
      </c>
      <c r="E207" s="1337">
        <f t="shared" ref="E207:O207" si="57">E205-E206</f>
        <v>4425.33881992858</v>
      </c>
      <c r="F207" s="1337">
        <f t="shared" si="57"/>
        <v>4194.69399014778</v>
      </c>
      <c r="G207" s="1337">
        <f t="shared" si="57"/>
        <v>19734.0180764774</v>
      </c>
      <c r="H207" s="1337">
        <f t="shared" si="57"/>
        <v>21042.5752883031</v>
      </c>
      <c r="I207" s="1337">
        <f t="shared" si="57"/>
        <v>26367.1780914465</v>
      </c>
      <c r="J207" s="1337">
        <f t="shared" si="57"/>
        <v>26367.1780914465</v>
      </c>
      <c r="K207" s="1337">
        <f t="shared" si="57"/>
        <v>23203.539549821</v>
      </c>
      <c r="L207" s="1337">
        <f t="shared" si="57"/>
        <v>23203.539549821</v>
      </c>
      <c r="M207" s="1337">
        <f t="shared" si="57"/>
        <v>21042.5752883031</v>
      </c>
      <c r="N207" s="1337">
        <f t="shared" si="57"/>
        <v>4194.69399014778</v>
      </c>
      <c r="O207" s="1337">
        <f t="shared" si="57"/>
        <v>4343.76575412345</v>
      </c>
      <c r="P207" s="1341">
        <f>SUM(D207:O207)</f>
        <v>182392.564076173</v>
      </c>
      <c r="Q207" s="326"/>
      <c r="R207" s="326"/>
      <c r="S207" s="326"/>
      <c r="T207" s="326"/>
      <c r="U207" s="326"/>
      <c r="V207" s="326"/>
      <c r="W207" s="326"/>
      <c r="AV207" s="1225"/>
      <c r="AW207" s="1225"/>
    </row>
    <row r="208" s="21" customFormat="1" spans="2:49">
      <c r="B208" s="548" t="s">
        <v>301</v>
      </c>
      <c r="C208" s="540" t="s">
        <v>317</v>
      </c>
      <c r="D208" s="1354">
        <f>Price4_36MoPr(VarCostByProduct,B208)</f>
        <v>1.99</v>
      </c>
      <c r="E208" s="1330"/>
      <c r="F208" s="1330"/>
      <c r="G208" s="1330"/>
      <c r="H208" s="1331"/>
      <c r="I208" s="1333"/>
      <c r="J208" s="1333"/>
      <c r="K208" s="1333"/>
      <c r="L208" s="1333"/>
      <c r="M208" s="1333"/>
      <c r="N208" s="1333"/>
      <c r="O208" s="1333"/>
      <c r="P208" s="1341"/>
      <c r="Q208" s="326"/>
      <c r="R208" s="326"/>
      <c r="S208" s="326"/>
      <c r="T208" s="326"/>
      <c r="U208" s="326"/>
      <c r="V208" s="326"/>
      <c r="W208" s="326"/>
      <c r="AV208" s="1225"/>
      <c r="AW208" s="1225"/>
    </row>
    <row r="209" s="21" customFormat="1" spans="2:49">
      <c r="B209" s="568"/>
      <c r="C209" s="540" t="s">
        <v>318</v>
      </c>
      <c r="D209" s="1355">
        <f>Varcosts4_36MoPr(VarCostByProduct,B208)</f>
        <v>0.83</v>
      </c>
      <c r="E209" s="1333"/>
      <c r="F209" s="1333"/>
      <c r="G209" s="1333"/>
      <c r="H209" s="1333"/>
      <c r="I209" s="1333"/>
      <c r="J209" s="1333"/>
      <c r="K209" s="1333"/>
      <c r="L209" s="1333"/>
      <c r="M209" s="1333"/>
      <c r="N209" s="1333"/>
      <c r="O209" s="1333"/>
      <c r="P209" s="1341"/>
      <c r="Q209" s="326"/>
      <c r="R209" s="326"/>
      <c r="S209" s="326"/>
      <c r="T209" s="326"/>
      <c r="U209" s="326"/>
      <c r="V209" s="326"/>
      <c r="W209" s="326"/>
      <c r="AV209" s="1225"/>
      <c r="AW209" s="1225"/>
    </row>
    <row r="210" s="21" customFormat="1" spans="2:49">
      <c r="B210" s="568"/>
      <c r="C210" s="554" t="s">
        <v>319</v>
      </c>
      <c r="D210" s="1334">
        <f>Sales4_36MoPr(SalesJan,"FY-2",$B208)</f>
        <v>28.5155118623989</v>
      </c>
      <c r="E210" s="1334">
        <f>Sales4_36MoPr(SalesFeb,"FY-2",$B208)</f>
        <v>28.5155118623989</v>
      </c>
      <c r="F210" s="1334">
        <f>Sales4_36MoPr(SalesMar,"FY-2",$B208)</f>
        <v>0</v>
      </c>
      <c r="G210" s="1334">
        <f>Sales4_36MoPr(SalesApr,"FY-2",$B208)</f>
        <v>231.472290782716</v>
      </c>
      <c r="H210" s="1334">
        <f>Sales4_36MoPr(SalesMay,"FY-2",$B208)</f>
        <v>1714.32927020992</v>
      </c>
      <c r="I210" s="1334">
        <f>Sales4_36MoPr(SalesJun,"FY-2",$B208)</f>
        <v>141.43587961216</v>
      </c>
      <c r="J210" s="1334">
        <f>Sales4_36MoPr(SalesJul,"FY-2",$B208)</f>
        <v>141.43587961216</v>
      </c>
      <c r="K210" s="1334">
        <f>Sales4_36MoPr(SalesAug,"FY-2",$B208)</f>
        <v>296.029756457596</v>
      </c>
      <c r="L210" s="1334">
        <f>Sales4_36MoPr(SalesSep,"FY-2",$B208)</f>
        <v>296.029756457596</v>
      </c>
      <c r="M210" s="1334">
        <f>Sales4_36MoPr(SalesOct,"FY-2",$B208)</f>
        <v>180.704451230078</v>
      </c>
      <c r="N210" s="1334">
        <f>Sales4_36MoPr(SalesNov,"FY-2",$B208)</f>
        <v>0</v>
      </c>
      <c r="O210" s="1334">
        <f>Sales4_36MoPr(SalesDec,"FY-2",$B208)</f>
        <v>0</v>
      </c>
      <c r="P210" s="1340">
        <f>SUM(D210:O210)</f>
        <v>3058.46830808702</v>
      </c>
      <c r="Q210" s="326"/>
      <c r="R210" s="326"/>
      <c r="S210" s="326"/>
      <c r="T210" s="326"/>
      <c r="U210" s="326"/>
      <c r="V210" s="326"/>
      <c r="W210" s="326"/>
      <c r="AV210" s="1225"/>
      <c r="AW210" s="1225"/>
    </row>
    <row r="211" s="21" customFormat="1" spans="2:49">
      <c r="B211" s="1335"/>
      <c r="C211" s="540" t="s">
        <v>320</v>
      </c>
      <c r="D211" s="1337">
        <f t="shared" ref="D211:O211" si="58">D210*$D208</f>
        <v>56.7458686061737</v>
      </c>
      <c r="E211" s="1337">
        <f t="shared" si="58"/>
        <v>56.7458686061737</v>
      </c>
      <c r="F211" s="1337">
        <f t="shared" si="58"/>
        <v>0</v>
      </c>
      <c r="G211" s="1337">
        <f t="shared" si="58"/>
        <v>460.629858657605</v>
      </c>
      <c r="H211" s="1337">
        <f t="shared" si="58"/>
        <v>3411.51524771774</v>
      </c>
      <c r="I211" s="1337">
        <f t="shared" si="58"/>
        <v>281.457400428198</v>
      </c>
      <c r="J211" s="1337">
        <f t="shared" si="58"/>
        <v>281.457400428198</v>
      </c>
      <c r="K211" s="1337">
        <f t="shared" si="58"/>
        <v>589.099215350616</v>
      </c>
      <c r="L211" s="1337">
        <f t="shared" si="58"/>
        <v>589.099215350616</v>
      </c>
      <c r="M211" s="1337">
        <f t="shared" si="58"/>
        <v>359.601857947855</v>
      </c>
      <c r="N211" s="1337">
        <f t="shared" si="58"/>
        <v>0</v>
      </c>
      <c r="O211" s="1337">
        <f t="shared" si="58"/>
        <v>0</v>
      </c>
      <c r="P211" s="1341">
        <f>SUM(D211:O211)</f>
        <v>6086.35193309318</v>
      </c>
      <c r="Q211" s="326"/>
      <c r="R211" s="326"/>
      <c r="S211" s="326"/>
      <c r="T211" s="326"/>
      <c r="U211" s="326"/>
      <c r="V211" s="326"/>
      <c r="W211" s="326"/>
      <c r="AV211" s="1225"/>
      <c r="AW211" s="1225"/>
    </row>
    <row r="212" s="21" customFormat="1" spans="2:49">
      <c r="B212" s="568"/>
      <c r="C212" s="540" t="s">
        <v>321</v>
      </c>
      <c r="D212" s="1337">
        <f>D210*$D$80</f>
        <v>23.3827197271671</v>
      </c>
      <c r="E212" s="1337">
        <f>E210*$D$80</f>
        <v>23.3827197271671</v>
      </c>
      <c r="F212" s="1337">
        <f t="shared" ref="F212:O212" si="59">F210*$D209</f>
        <v>0</v>
      </c>
      <c r="G212" s="1337">
        <f t="shared" si="59"/>
        <v>192.122001349655</v>
      </c>
      <c r="H212" s="1337">
        <f t="shared" si="59"/>
        <v>1422.89329427423</v>
      </c>
      <c r="I212" s="1337">
        <f t="shared" si="59"/>
        <v>117.391780078092</v>
      </c>
      <c r="J212" s="1337">
        <f t="shared" si="59"/>
        <v>117.391780078092</v>
      </c>
      <c r="K212" s="1337">
        <f t="shared" si="59"/>
        <v>245.704697859805</v>
      </c>
      <c r="L212" s="1337">
        <f t="shared" si="59"/>
        <v>245.704697859805</v>
      </c>
      <c r="M212" s="1337">
        <f t="shared" si="59"/>
        <v>149.984694520965</v>
      </c>
      <c r="N212" s="1337">
        <f t="shared" si="59"/>
        <v>0</v>
      </c>
      <c r="O212" s="1337">
        <f t="shared" si="59"/>
        <v>0</v>
      </c>
      <c r="P212" s="1341">
        <f>SUM(D212:O212)</f>
        <v>2537.95838547498</v>
      </c>
      <c r="Q212" s="326"/>
      <c r="R212" s="326"/>
      <c r="S212" s="326"/>
      <c r="T212" s="326"/>
      <c r="U212" s="326"/>
      <c r="V212" s="326"/>
      <c r="W212" s="326"/>
      <c r="AV212" s="1225"/>
      <c r="AW212" s="1225"/>
    </row>
    <row r="213" s="21" customFormat="1" spans="2:49">
      <c r="B213" s="568"/>
      <c r="C213" s="540" t="s">
        <v>322</v>
      </c>
      <c r="D213" s="1337">
        <f>D211-D212</f>
        <v>33.3631488790067</v>
      </c>
      <c r="E213" s="1337">
        <f t="shared" ref="E213:O213" si="60">E211-E212</f>
        <v>33.3631488790067</v>
      </c>
      <c r="F213" s="1337">
        <f t="shared" si="60"/>
        <v>0</v>
      </c>
      <c r="G213" s="1337">
        <f t="shared" si="60"/>
        <v>268.507857307951</v>
      </c>
      <c r="H213" s="1337">
        <f t="shared" si="60"/>
        <v>1988.62195344351</v>
      </c>
      <c r="I213" s="1337">
        <f t="shared" si="60"/>
        <v>164.065620350105</v>
      </c>
      <c r="J213" s="1337">
        <f t="shared" si="60"/>
        <v>164.065620350105</v>
      </c>
      <c r="K213" s="1337">
        <f t="shared" si="60"/>
        <v>343.394517490811</v>
      </c>
      <c r="L213" s="1337">
        <f t="shared" si="60"/>
        <v>343.394517490811</v>
      </c>
      <c r="M213" s="1337">
        <f t="shared" si="60"/>
        <v>209.617163426891</v>
      </c>
      <c r="N213" s="1337">
        <f t="shared" si="60"/>
        <v>0</v>
      </c>
      <c r="O213" s="1337">
        <f t="shared" si="60"/>
        <v>0</v>
      </c>
      <c r="P213" s="1341">
        <f>SUM(D213:O213)</f>
        <v>3548.3935476182</v>
      </c>
      <c r="Q213" s="326"/>
      <c r="R213" s="326"/>
      <c r="S213" s="326"/>
      <c r="T213" s="326"/>
      <c r="U213" s="326"/>
      <c r="V213" s="326"/>
      <c r="W213" s="326"/>
      <c r="AV213" s="1225"/>
      <c r="AW213" s="1225"/>
    </row>
    <row r="214" s="21" customFormat="1" spans="2:23">
      <c r="B214" s="1358"/>
      <c r="C214" s="1304"/>
      <c r="D214" s="1359"/>
      <c r="E214" s="1343"/>
      <c r="F214" s="1343"/>
      <c r="G214" s="1343"/>
      <c r="H214" s="1343"/>
      <c r="I214" s="1343"/>
      <c r="J214" s="1343"/>
      <c r="K214" s="1343"/>
      <c r="L214" s="1343"/>
      <c r="M214" s="1343"/>
      <c r="N214" s="1343"/>
      <c r="O214" s="1343"/>
      <c r="P214" s="1341"/>
      <c r="Q214" s="326"/>
      <c r="R214" s="326"/>
      <c r="S214" s="326"/>
      <c r="T214" s="326"/>
      <c r="U214" s="326"/>
      <c r="V214" s="326"/>
      <c r="W214" s="326"/>
    </row>
    <row r="215" s="21" customFormat="1" spans="2:23">
      <c r="B215" s="568"/>
      <c r="C215" s="540" t="s">
        <v>323</v>
      </c>
      <c r="D215" s="1345">
        <f t="shared" ref="D215:O215" si="61">SUMIF($C160:$C214,"Revenue",D160:D214)</f>
        <v>39731.0903835654</v>
      </c>
      <c r="E215" s="1345">
        <f t="shared" si="61"/>
        <v>39451.1434089633</v>
      </c>
      <c r="F215" s="1345">
        <f t="shared" si="61"/>
        <v>39854.6576016358</v>
      </c>
      <c r="G215" s="1345">
        <f t="shared" si="61"/>
        <v>80962.3618344441</v>
      </c>
      <c r="H215" s="1345">
        <f t="shared" si="61"/>
        <v>112059.65915482</v>
      </c>
      <c r="I215" s="1345">
        <f t="shared" si="61"/>
        <v>132236.603171617</v>
      </c>
      <c r="J215" s="1345">
        <f t="shared" si="61"/>
        <v>132236.603171617</v>
      </c>
      <c r="K215" s="1345">
        <f t="shared" si="61"/>
        <v>125746.812358754</v>
      </c>
      <c r="L215" s="1345">
        <f t="shared" si="61"/>
        <v>125746.812358754</v>
      </c>
      <c r="M215" s="1345">
        <f t="shared" si="61"/>
        <v>118307.974696932</v>
      </c>
      <c r="N215" s="1345">
        <f t="shared" si="61"/>
        <v>47113.0356699449</v>
      </c>
      <c r="O215" s="1345">
        <f t="shared" si="61"/>
        <v>40025.4886953427</v>
      </c>
      <c r="P215" s="1341">
        <f>SUM(D215:O215)</f>
        <v>1033472.24250639</v>
      </c>
      <c r="Q215" s="326"/>
      <c r="R215" s="326"/>
      <c r="S215" s="326"/>
      <c r="T215" s="326"/>
      <c r="U215" s="326"/>
      <c r="V215" s="326"/>
      <c r="W215" s="326"/>
    </row>
    <row r="216" s="21" customFormat="1" spans="2:23">
      <c r="B216" s="568"/>
      <c r="C216" s="540" t="s">
        <v>324</v>
      </c>
      <c r="D216" s="1345">
        <f t="shared" ref="D216:O216" si="62">SUMIF($C160:$C214,"Expenses",D160:D214)</f>
        <v>7117.6</v>
      </c>
      <c r="E216" s="1345">
        <f t="shared" si="62"/>
        <v>7117.6</v>
      </c>
      <c r="F216" s="1345">
        <f t="shared" si="62"/>
        <v>7266.4</v>
      </c>
      <c r="G216" s="1345">
        <f t="shared" si="62"/>
        <v>19767.9147229078</v>
      </c>
      <c r="H216" s="1345">
        <f t="shared" si="62"/>
        <v>24956.0879172701</v>
      </c>
      <c r="I216" s="1345">
        <f t="shared" si="62"/>
        <v>29127.4098965876</v>
      </c>
      <c r="J216" s="1345">
        <f t="shared" si="62"/>
        <v>29127.4098965876</v>
      </c>
      <c r="K216" s="1345">
        <f t="shared" si="62"/>
        <v>27038.0512529829</v>
      </c>
      <c r="L216" s="1345">
        <f t="shared" si="62"/>
        <v>27038.0512529829</v>
      </c>
      <c r="M216" s="1345">
        <f t="shared" si="62"/>
        <v>24961.2</v>
      </c>
      <c r="N216" s="1345">
        <f t="shared" si="62"/>
        <v>8295.6</v>
      </c>
      <c r="O216" s="1345">
        <f t="shared" si="62"/>
        <v>7266.4</v>
      </c>
      <c r="P216" s="1341">
        <f>SUM(D216:O216)</f>
        <v>219079.724939319</v>
      </c>
      <c r="Q216" s="326"/>
      <c r="R216" s="326"/>
      <c r="S216" s="326"/>
      <c r="T216" s="326"/>
      <c r="U216" s="326"/>
      <c r="V216" s="326"/>
      <c r="W216" s="326"/>
    </row>
    <row r="217" s="21" customFormat="1" spans="2:23">
      <c r="B217" s="568"/>
      <c r="C217" s="540" t="s">
        <v>325</v>
      </c>
      <c r="D217" s="1345">
        <f t="shared" ref="D217:O217" si="63">SUMIF($C160:$C214,"Contribution",D160:D214)</f>
        <v>32613.4903835654</v>
      </c>
      <c r="E217" s="1345">
        <f t="shared" si="63"/>
        <v>32333.5434089633</v>
      </c>
      <c r="F217" s="1345">
        <f t="shared" si="63"/>
        <v>32588.2576016358</v>
      </c>
      <c r="G217" s="1345">
        <f t="shared" si="63"/>
        <v>61194.4471115363</v>
      </c>
      <c r="H217" s="1345">
        <f t="shared" si="63"/>
        <v>87103.5712375503</v>
      </c>
      <c r="I217" s="1345">
        <f t="shared" si="63"/>
        <v>103109.19327503</v>
      </c>
      <c r="J217" s="1345">
        <f t="shared" si="63"/>
        <v>103109.19327503</v>
      </c>
      <c r="K217" s="1345">
        <f t="shared" si="63"/>
        <v>98708.7611057716</v>
      </c>
      <c r="L217" s="1345">
        <f t="shared" si="63"/>
        <v>98708.7611057716</v>
      </c>
      <c r="M217" s="1345">
        <f t="shared" si="63"/>
        <v>93346.7746969316</v>
      </c>
      <c r="N217" s="1345">
        <f t="shared" si="63"/>
        <v>38817.4356699449</v>
      </c>
      <c r="O217" s="1345">
        <f t="shared" si="63"/>
        <v>32759.0886953427</v>
      </c>
      <c r="P217" s="1341">
        <f>SUM(D217:O217)</f>
        <v>814392.517567073</v>
      </c>
      <c r="Q217" s="326"/>
      <c r="R217" s="326"/>
      <c r="S217" s="326"/>
      <c r="T217" s="326"/>
      <c r="U217" s="326"/>
      <c r="V217" s="326"/>
      <c r="W217" s="326"/>
    </row>
    <row r="218" s="21" customFormat="1" spans="2:23">
      <c r="B218" s="1358"/>
      <c r="C218" s="1304"/>
      <c r="D218" s="1360"/>
      <c r="E218" s="1333"/>
      <c r="F218" s="1333"/>
      <c r="G218" s="1333"/>
      <c r="H218" s="1333"/>
      <c r="I218" s="1333"/>
      <c r="J218" s="1333"/>
      <c r="K218" s="1333"/>
      <c r="L218" s="1333"/>
      <c r="M218" s="1333"/>
      <c r="N218" s="1333"/>
      <c r="O218" s="1333"/>
      <c r="P218" s="1341"/>
      <c r="Q218" s="326"/>
      <c r="R218" s="326"/>
      <c r="S218" s="326"/>
      <c r="T218" s="326"/>
      <c r="U218" s="326"/>
      <c r="V218" s="326"/>
      <c r="W218" s="326"/>
    </row>
    <row r="219" s="21" customFormat="1" ht="12.75" customHeight="1" spans="2:23">
      <c r="B219" s="1358" t="s">
        <v>337</v>
      </c>
      <c r="C219" s="326" t="s">
        <v>338</v>
      </c>
      <c r="D219" s="1360"/>
      <c r="E219" s="1333"/>
      <c r="F219" s="1333"/>
      <c r="G219" s="1333"/>
      <c r="H219" s="1333"/>
      <c r="I219" s="1333"/>
      <c r="J219" s="1333"/>
      <c r="K219" s="1333"/>
      <c r="L219" s="1333"/>
      <c r="M219" s="1333"/>
      <c r="N219" s="1333"/>
      <c r="O219" s="1333"/>
      <c r="P219" s="1341"/>
      <c r="Q219" s="326"/>
      <c r="R219" s="326"/>
      <c r="S219" s="326"/>
      <c r="T219" s="326"/>
      <c r="U219" s="326"/>
      <c r="V219" s="326"/>
      <c r="W219" s="326"/>
    </row>
    <row r="220" s="21" customFormat="1" spans="3:49">
      <c r="C220" s="4" t="s">
        <v>308</v>
      </c>
      <c r="D220" s="1337">
        <f>D65/12</f>
        <v>6666.66666666667</v>
      </c>
      <c r="E220" s="1337">
        <f t="shared" ref="E220:O223" si="64">$D220</f>
        <v>6666.66666666667</v>
      </c>
      <c r="F220" s="1337">
        <f t="shared" si="64"/>
        <v>6666.66666666667</v>
      </c>
      <c r="G220" s="1337">
        <f t="shared" si="64"/>
        <v>6666.66666666667</v>
      </c>
      <c r="H220" s="1337">
        <f t="shared" si="64"/>
        <v>6666.66666666667</v>
      </c>
      <c r="I220" s="1337">
        <f t="shared" si="64"/>
        <v>6666.66666666667</v>
      </c>
      <c r="J220" s="1337">
        <f t="shared" si="64"/>
        <v>6666.66666666667</v>
      </c>
      <c r="K220" s="1337">
        <f t="shared" si="64"/>
        <v>6666.66666666667</v>
      </c>
      <c r="L220" s="1337">
        <f t="shared" si="64"/>
        <v>6666.66666666667</v>
      </c>
      <c r="M220" s="1337">
        <f t="shared" si="64"/>
        <v>6666.66666666667</v>
      </c>
      <c r="N220" s="1337">
        <f t="shared" si="64"/>
        <v>6666.66666666667</v>
      </c>
      <c r="O220" s="1337">
        <f t="shared" si="64"/>
        <v>6666.66666666667</v>
      </c>
      <c r="P220" s="1341">
        <f>SUM(D220:O220)</f>
        <v>80000</v>
      </c>
      <c r="Q220" s="326"/>
      <c r="R220" s="326"/>
      <c r="S220" s="326"/>
      <c r="T220" s="326"/>
      <c r="U220" s="326"/>
      <c r="V220" s="326"/>
      <c r="W220" s="326"/>
      <c r="AW220" s="1225"/>
    </row>
    <row r="221" s="21" customFormat="1" spans="3:49">
      <c r="C221" s="4" t="s">
        <v>309</v>
      </c>
      <c r="D221" s="1361">
        <f>D66/12</f>
        <v>2220.83333333333</v>
      </c>
      <c r="E221" s="1337">
        <f t="shared" si="64"/>
        <v>2220.83333333333</v>
      </c>
      <c r="F221" s="1337">
        <f t="shared" si="64"/>
        <v>2220.83333333333</v>
      </c>
      <c r="G221" s="1337">
        <f t="shared" si="64"/>
        <v>2220.83333333333</v>
      </c>
      <c r="H221" s="1337">
        <f t="shared" si="64"/>
        <v>2220.83333333333</v>
      </c>
      <c r="I221" s="1337">
        <f t="shared" si="64"/>
        <v>2220.83333333333</v>
      </c>
      <c r="J221" s="1337">
        <f t="shared" si="64"/>
        <v>2220.83333333333</v>
      </c>
      <c r="K221" s="1337">
        <f t="shared" si="64"/>
        <v>2220.83333333333</v>
      </c>
      <c r="L221" s="1337">
        <f t="shared" si="64"/>
        <v>2220.83333333333</v>
      </c>
      <c r="M221" s="1337">
        <f t="shared" si="64"/>
        <v>2220.83333333333</v>
      </c>
      <c r="N221" s="1337">
        <f t="shared" si="64"/>
        <v>2220.83333333333</v>
      </c>
      <c r="O221" s="1337">
        <f t="shared" si="64"/>
        <v>2220.83333333333</v>
      </c>
      <c r="P221" s="1341">
        <f>SUM(D221:O221)</f>
        <v>26650</v>
      </c>
      <c r="Q221" s="326"/>
      <c r="R221" s="326"/>
      <c r="S221" s="326"/>
      <c r="T221" s="326"/>
      <c r="U221" s="326"/>
      <c r="V221" s="326"/>
      <c r="W221" s="326"/>
      <c r="AW221" s="1225"/>
    </row>
    <row r="222" s="21" customFormat="1" spans="3:49">
      <c r="C222" s="4" t="s">
        <v>69</v>
      </c>
      <c r="D222" s="1361">
        <f>D67/12</f>
        <v>6065.83333333333</v>
      </c>
      <c r="E222" s="1337">
        <f t="shared" si="64"/>
        <v>6065.83333333333</v>
      </c>
      <c r="F222" s="1337">
        <f t="shared" si="64"/>
        <v>6065.83333333333</v>
      </c>
      <c r="G222" s="1337">
        <f t="shared" si="64"/>
        <v>6065.83333333333</v>
      </c>
      <c r="H222" s="1337">
        <f t="shared" si="64"/>
        <v>6065.83333333333</v>
      </c>
      <c r="I222" s="1337">
        <f t="shared" si="64"/>
        <v>6065.83333333333</v>
      </c>
      <c r="J222" s="1337">
        <f t="shared" si="64"/>
        <v>6065.83333333333</v>
      </c>
      <c r="K222" s="1337">
        <f t="shared" si="64"/>
        <v>6065.83333333333</v>
      </c>
      <c r="L222" s="1337">
        <f t="shared" si="64"/>
        <v>6065.83333333333</v>
      </c>
      <c r="M222" s="1337">
        <f t="shared" si="64"/>
        <v>6065.83333333333</v>
      </c>
      <c r="N222" s="1337">
        <f t="shared" si="64"/>
        <v>6065.83333333333</v>
      </c>
      <c r="O222" s="1337">
        <f t="shared" si="64"/>
        <v>6065.83333333333</v>
      </c>
      <c r="P222" s="1341">
        <f>SUM(D222:O222)</f>
        <v>72790</v>
      </c>
      <c r="Q222" s="326"/>
      <c r="R222" s="326"/>
      <c r="S222" s="326"/>
      <c r="T222" s="326"/>
      <c r="U222" s="326"/>
      <c r="V222" s="326"/>
      <c r="W222" s="326"/>
      <c r="AW222" s="1225"/>
    </row>
    <row r="223" s="21" customFormat="1" spans="3:49">
      <c r="C223" s="4" t="s">
        <v>172</v>
      </c>
      <c r="D223" s="1361">
        <f>D68/12</f>
        <v>5906.25</v>
      </c>
      <c r="E223" s="1337">
        <f t="shared" si="64"/>
        <v>5906.25</v>
      </c>
      <c r="F223" s="1337">
        <f t="shared" si="64"/>
        <v>5906.25</v>
      </c>
      <c r="G223" s="1337">
        <f t="shared" si="64"/>
        <v>5906.25</v>
      </c>
      <c r="H223" s="1337">
        <f t="shared" si="64"/>
        <v>5906.25</v>
      </c>
      <c r="I223" s="1337">
        <f t="shared" si="64"/>
        <v>5906.25</v>
      </c>
      <c r="J223" s="1337">
        <f t="shared" si="64"/>
        <v>5906.25</v>
      </c>
      <c r="K223" s="1337">
        <f t="shared" si="64"/>
        <v>5906.25</v>
      </c>
      <c r="L223" s="1337">
        <f t="shared" si="64"/>
        <v>5906.25</v>
      </c>
      <c r="M223" s="1337">
        <f t="shared" si="64"/>
        <v>5906.25</v>
      </c>
      <c r="N223" s="1337">
        <f t="shared" si="64"/>
        <v>5906.25</v>
      </c>
      <c r="O223" s="1337">
        <f t="shared" si="64"/>
        <v>5906.25</v>
      </c>
      <c r="P223" s="1341">
        <f>SUM(D223:O223)</f>
        <v>70875</v>
      </c>
      <c r="Q223" s="326"/>
      <c r="R223" s="326"/>
      <c r="S223" s="326"/>
      <c r="T223" s="326"/>
      <c r="U223" s="326"/>
      <c r="V223" s="326"/>
      <c r="W223" s="326"/>
      <c r="AW223" s="1225"/>
    </row>
    <row r="224" s="21" customFormat="1" spans="2:23">
      <c r="B224" s="540"/>
      <c r="C224" s="540"/>
      <c r="D224" s="1359"/>
      <c r="E224" s="1343"/>
      <c r="F224" s="1343"/>
      <c r="G224" s="1343"/>
      <c r="H224" s="1343"/>
      <c r="I224" s="1343"/>
      <c r="J224" s="1343"/>
      <c r="K224" s="1343"/>
      <c r="L224" s="1343"/>
      <c r="M224" s="1343"/>
      <c r="N224" s="1343"/>
      <c r="O224" s="1343"/>
      <c r="P224" s="1341"/>
      <c r="Q224" s="326"/>
      <c r="R224" s="326"/>
      <c r="S224" s="326"/>
      <c r="T224" s="326"/>
      <c r="U224" s="326"/>
      <c r="V224" s="326"/>
      <c r="W224" s="326"/>
    </row>
    <row r="225" s="21" customFormat="1" spans="2:23">
      <c r="B225" s="1225"/>
      <c r="C225" s="563" t="s">
        <v>328</v>
      </c>
      <c r="D225" s="1337">
        <f>debtMonthlyPaymentsFY2(CycleInCalculation,1)</f>
        <v>1179.68734827119</v>
      </c>
      <c r="E225" s="1337">
        <f>debtMonthlyPaymentsFY2(CycleInCalculation,2)</f>
        <v>1179.68734827119</v>
      </c>
      <c r="F225" s="1337">
        <f>debtMonthlyPaymentsFY2(CycleInCalculation,3)</f>
        <v>1179.68734827119</v>
      </c>
      <c r="G225" s="1337">
        <f>debtMonthlyPaymentsFY2(CycleInCalculation,4)</f>
        <v>1179.68734827119</v>
      </c>
      <c r="H225" s="1337">
        <f>debtMonthlyPaymentsFY2(CycleInCalculation,5)</f>
        <v>1179.68734827119</v>
      </c>
      <c r="I225" s="1337">
        <f>debtMonthlyPaymentsFY2(CycleInCalculation,6)</f>
        <v>1179.68734827119</v>
      </c>
      <c r="J225" s="1337">
        <f>debtMonthlyPaymentsFY2(CycleInCalculation,7)</f>
        <v>1179.68734827119</v>
      </c>
      <c r="K225" s="1337">
        <f>debtMonthlyPaymentsFY2(CycleInCalculation,8)</f>
        <v>1179.68734827119</v>
      </c>
      <c r="L225" s="1337">
        <f>debtMonthlyPaymentsFY2(CycleInCalculation,9)</f>
        <v>1179.68734827119</v>
      </c>
      <c r="M225" s="1337">
        <f>debtMonthlyPaymentsFY2(CycleInCalculation,10)</f>
        <v>1179.68734827119</v>
      </c>
      <c r="N225" s="1337">
        <f>debtMonthlyPaymentsFY2(CycleInCalculation,11)</f>
        <v>1179.68734827119</v>
      </c>
      <c r="O225" s="1337">
        <f>debtMonthlyPaymentsFY2(CycleInCalculation,12)</f>
        <v>1179.68734827119</v>
      </c>
      <c r="P225" s="1341">
        <f>SUM(D225:O225)</f>
        <v>14156.2481792543</v>
      </c>
      <c r="Q225" s="326"/>
      <c r="R225" s="326"/>
      <c r="S225" s="326"/>
      <c r="T225" s="326"/>
      <c r="U225" s="326"/>
      <c r="V225" s="326"/>
      <c r="W225" s="326"/>
    </row>
    <row r="226" s="21" customFormat="1" spans="2:23">
      <c r="B226" s="563"/>
      <c r="C226" s="563"/>
      <c r="D226" s="1360"/>
      <c r="E226" s="1333"/>
      <c r="F226" s="1333"/>
      <c r="G226" s="1333"/>
      <c r="H226" s="1333"/>
      <c r="I226" s="1333"/>
      <c r="J226" s="1333"/>
      <c r="K226" s="1333"/>
      <c r="L226" s="1333"/>
      <c r="M226" s="1333"/>
      <c r="N226" s="1333"/>
      <c r="O226" s="1333"/>
      <c r="P226" s="1339"/>
      <c r="Q226" s="326"/>
      <c r="R226" s="326"/>
      <c r="S226" s="326"/>
      <c r="T226" s="326"/>
      <c r="U226" s="326"/>
      <c r="V226" s="326"/>
      <c r="W226" s="326"/>
    </row>
    <row r="227" s="21" customFormat="1" spans="2:23">
      <c r="B227" s="568"/>
      <c r="C227" s="540" t="s">
        <v>329</v>
      </c>
      <c r="D227" s="1362">
        <f>SUM(D220:D226)+D229</f>
        <v>23226.7706816045</v>
      </c>
      <c r="E227" s="1362">
        <f t="shared" ref="E227:O227" si="65">SUM(E220:E226)+E229</f>
        <v>23226.7706816045</v>
      </c>
      <c r="F227" s="1362">
        <f t="shared" si="65"/>
        <v>23226.7706816045</v>
      </c>
      <c r="G227" s="1362">
        <f t="shared" si="65"/>
        <v>23226.7706816045</v>
      </c>
      <c r="H227" s="1362">
        <f t="shared" si="65"/>
        <v>23226.7706816045</v>
      </c>
      <c r="I227" s="1362">
        <f t="shared" si="65"/>
        <v>23226.7706816045</v>
      </c>
      <c r="J227" s="1362">
        <f t="shared" si="65"/>
        <v>23226.7706816045</v>
      </c>
      <c r="K227" s="1362">
        <f t="shared" si="65"/>
        <v>23226.7706816045</v>
      </c>
      <c r="L227" s="1362">
        <f t="shared" si="65"/>
        <v>23226.7706816045</v>
      </c>
      <c r="M227" s="1362">
        <f t="shared" si="65"/>
        <v>23226.7706816045</v>
      </c>
      <c r="N227" s="1362">
        <f t="shared" si="65"/>
        <v>23226.7706816045</v>
      </c>
      <c r="O227" s="1362">
        <f t="shared" si="65"/>
        <v>23226.7706816045</v>
      </c>
      <c r="P227" s="1356">
        <f>SUM(D227:O227)</f>
        <v>278721.248179254</v>
      </c>
      <c r="Q227" s="326"/>
      <c r="R227" s="326"/>
      <c r="S227" s="326"/>
      <c r="T227" s="326"/>
      <c r="U227" s="326"/>
      <c r="V227" s="326"/>
      <c r="W227" s="326"/>
    </row>
    <row r="228" s="21" customFormat="1" spans="2:23">
      <c r="B228" s="1225"/>
      <c r="C228" s="1351"/>
      <c r="D228" s="1360"/>
      <c r="E228" s="1333"/>
      <c r="F228" s="1333"/>
      <c r="G228" s="1333"/>
      <c r="H228" s="1333"/>
      <c r="I228" s="1333"/>
      <c r="J228" s="1333"/>
      <c r="K228" s="1333"/>
      <c r="L228" s="1333"/>
      <c r="M228" s="1333"/>
      <c r="N228" s="1333"/>
      <c r="O228" s="1333"/>
      <c r="P228" s="1339"/>
      <c r="Q228" s="326"/>
      <c r="R228" s="326"/>
      <c r="S228" s="326"/>
      <c r="T228" s="326"/>
      <c r="U228" s="326"/>
      <c r="V228" s="326"/>
      <c r="W228" s="326"/>
    </row>
    <row r="229" s="21" customFormat="1" spans="2:23">
      <c r="B229" s="1225"/>
      <c r="C229" s="563" t="s">
        <v>168</v>
      </c>
      <c r="D229" s="1350">
        <f>P229/12</f>
        <v>1187.5</v>
      </c>
      <c r="E229" s="1350">
        <f>P229/12</f>
        <v>1187.5</v>
      </c>
      <c r="F229" s="1350">
        <f>P229/12</f>
        <v>1187.5</v>
      </c>
      <c r="G229" s="1350">
        <f>P229/12</f>
        <v>1187.5</v>
      </c>
      <c r="H229" s="1350">
        <f>P229/12</f>
        <v>1187.5</v>
      </c>
      <c r="I229" s="1350">
        <f>P229/12</f>
        <v>1187.5</v>
      </c>
      <c r="J229" s="1350">
        <f>P229/12</f>
        <v>1187.5</v>
      </c>
      <c r="K229" s="1350">
        <f>P229/12</f>
        <v>1187.5</v>
      </c>
      <c r="L229" s="1350">
        <f>P229/12</f>
        <v>1187.5</v>
      </c>
      <c r="M229" s="1350">
        <f>P229/12</f>
        <v>1187.5</v>
      </c>
      <c r="N229" s="1350">
        <f>P229/12</f>
        <v>1187.5</v>
      </c>
      <c r="O229" s="1350">
        <f>P229/12</f>
        <v>1187.5</v>
      </c>
      <c r="P229" s="1357">
        <f>VLOOKUP(2.711,'Sim-Report'!1:1048576,3+CycleInCalculation,FALSE)*'Project-Start'!D36</f>
        <v>14250</v>
      </c>
      <c r="Q229" s="326"/>
      <c r="R229" s="326"/>
      <c r="S229" s="326"/>
      <c r="T229" s="326"/>
      <c r="U229" s="326"/>
      <c r="V229" s="326"/>
      <c r="W229" s="326"/>
    </row>
    <row r="230" s="21" customFormat="1" spans="2:23">
      <c r="B230" s="568"/>
      <c r="C230" s="540" t="s">
        <v>330</v>
      </c>
      <c r="D230" s="1362">
        <f>D217-D227</f>
        <v>9386.71970196093</v>
      </c>
      <c r="E230" s="1337">
        <f t="shared" ref="E230:O230" si="66">E217-E227</f>
        <v>9106.77272735874</v>
      </c>
      <c r="F230" s="1337">
        <f t="shared" si="66"/>
        <v>9361.48692003132</v>
      </c>
      <c r="G230" s="1337">
        <f t="shared" si="66"/>
        <v>37967.6764299318</v>
      </c>
      <c r="H230" s="1337">
        <f t="shared" si="66"/>
        <v>63876.8005559457</v>
      </c>
      <c r="I230" s="1337">
        <f t="shared" si="66"/>
        <v>79882.4225934253</v>
      </c>
      <c r="J230" s="1337">
        <f t="shared" si="66"/>
        <v>79882.4225934253</v>
      </c>
      <c r="K230" s="1337">
        <f t="shared" si="66"/>
        <v>75481.990424167</v>
      </c>
      <c r="L230" s="1337">
        <f t="shared" si="66"/>
        <v>75481.990424167</v>
      </c>
      <c r="M230" s="1337">
        <f t="shared" si="66"/>
        <v>70120.0040153271</v>
      </c>
      <c r="N230" s="1337">
        <f t="shared" si="66"/>
        <v>15590.6649883404</v>
      </c>
      <c r="O230" s="1337">
        <f t="shared" si="66"/>
        <v>9532.31801373821</v>
      </c>
      <c r="P230" s="1356">
        <f>SUM(D230:O230)</f>
        <v>535671.269387819</v>
      </c>
      <c r="Q230" s="326"/>
      <c r="R230" s="326"/>
      <c r="S230" s="326"/>
      <c r="T230" s="326"/>
      <c r="U230" s="326"/>
      <c r="V230" s="326"/>
      <c r="W230" s="326"/>
    </row>
    <row r="231" s="21" customFormat="1" spans="3:23">
      <c r="C231" s="540" t="s">
        <v>331</v>
      </c>
      <c r="D231" s="540">
        <f>VLOOKUP(3.11,'Sim-Report'!1:1048576,3+CycleInCalculation,FALSE)</f>
        <v>0.25</v>
      </c>
      <c r="E231" s="1343"/>
      <c r="F231" s="1343"/>
      <c r="G231" s="1343"/>
      <c r="H231" s="1343"/>
      <c r="I231" s="1343"/>
      <c r="J231" s="1343"/>
      <c r="K231" s="1343"/>
      <c r="L231" s="1343"/>
      <c r="M231" s="1343"/>
      <c r="N231" s="1343"/>
      <c r="O231" s="1343"/>
      <c r="P231" s="1339"/>
      <c r="Q231" s="326"/>
      <c r="R231" s="326"/>
      <c r="S231" s="326"/>
      <c r="T231" s="326"/>
      <c r="U231" s="326"/>
      <c r="V231" s="326"/>
      <c r="W231" s="326"/>
    </row>
    <row r="232" s="21" customFormat="1" spans="2:23">
      <c r="B232" s="1358"/>
      <c r="C232" s="1304" t="s">
        <v>332</v>
      </c>
      <c r="D232" s="1362">
        <f>D230</f>
        <v>9386.71970196093</v>
      </c>
      <c r="E232" s="1337">
        <f t="shared" ref="E232:O232" si="67">D232+E230</f>
        <v>18493.4924293197</v>
      </c>
      <c r="F232" s="1337">
        <f t="shared" si="67"/>
        <v>27854.979349351</v>
      </c>
      <c r="G232" s="1337">
        <f t="shared" si="67"/>
        <v>65822.6557792827</v>
      </c>
      <c r="H232" s="1337">
        <f t="shared" si="67"/>
        <v>129699.456335228</v>
      </c>
      <c r="I232" s="1337">
        <f t="shared" si="67"/>
        <v>209581.878928654</v>
      </c>
      <c r="J232" s="1337">
        <f t="shared" si="67"/>
        <v>289464.301522079</v>
      </c>
      <c r="K232" s="1337">
        <f t="shared" si="67"/>
        <v>364946.291946246</v>
      </c>
      <c r="L232" s="1337">
        <f t="shared" si="67"/>
        <v>440428.282370413</v>
      </c>
      <c r="M232" s="1337">
        <f t="shared" si="67"/>
        <v>510548.28638574</v>
      </c>
      <c r="N232" s="1337">
        <f t="shared" si="67"/>
        <v>526138.951374081</v>
      </c>
      <c r="O232" s="1337">
        <f t="shared" si="67"/>
        <v>535671.269387819</v>
      </c>
      <c r="P232" s="1339"/>
      <c r="Q232" s="326"/>
      <c r="R232" s="326"/>
      <c r="S232" s="326"/>
      <c r="T232" s="326"/>
      <c r="U232" s="326"/>
      <c r="V232" s="326"/>
      <c r="W232" s="326"/>
    </row>
    <row r="233" s="21" customFormat="1" spans="2:23">
      <c r="B233" s="1358"/>
      <c r="C233" s="1304" t="s">
        <v>333</v>
      </c>
      <c r="D233" s="1362"/>
      <c r="E233" s="1337"/>
      <c r="F233" s="1337"/>
      <c r="G233" s="1337"/>
      <c r="H233" s="1337"/>
      <c r="I233" s="1337"/>
      <c r="J233" s="1337"/>
      <c r="K233" s="1337"/>
      <c r="L233" s="1337"/>
      <c r="M233" s="1337"/>
      <c r="N233" s="1337"/>
      <c r="O233" s="1337"/>
      <c r="P233" s="1341">
        <f>P234+P152</f>
        <v>619699.900565778</v>
      </c>
      <c r="Q233" s="326"/>
      <c r="R233" s="326"/>
      <c r="S233" s="326"/>
      <c r="T233" s="326"/>
      <c r="U233" s="326"/>
      <c r="V233" s="326"/>
      <c r="W233" s="326"/>
    </row>
    <row r="234" s="21" customFormat="1" ht="12" spans="2:23">
      <c r="B234" s="1304"/>
      <c r="C234" s="1358" t="s">
        <v>334</v>
      </c>
      <c r="D234" s="1224">
        <f>ProfitAfterTaxes(D230,D232,D231)</f>
        <v>7040.03977647069</v>
      </c>
      <c r="E234" s="1224">
        <f>ProfitAfterTaxes(E230,E232,D231)</f>
        <v>6830.07954551905</v>
      </c>
      <c r="F234" s="1224">
        <f>ProfitAfterTaxes(F230,F232,D231)</f>
        <v>7021.11519002349</v>
      </c>
      <c r="G234" s="1224">
        <f>ProfitAfterTaxes(G230,G232,D231)</f>
        <v>28475.7573224488</v>
      </c>
      <c r="H234" s="1224">
        <f>ProfitAfterTaxes(H230,H232,D231)</f>
        <v>47907.6004169593</v>
      </c>
      <c r="I234" s="1224">
        <f>ProfitAfterTaxes(I230,I232,D231)</f>
        <v>59911.816945069</v>
      </c>
      <c r="J234" s="1224">
        <f>ProfitAfterTaxes(J230,J232,D231)</f>
        <v>59911.816945069</v>
      </c>
      <c r="K234" s="1224">
        <f>ProfitAfterTaxes(K230,K232,D231)</f>
        <v>56611.4928181253</v>
      </c>
      <c r="L234" s="1224">
        <f>ProfitAfterTaxes(L230,L232,D231)</f>
        <v>56611.4928181253</v>
      </c>
      <c r="M234" s="1224">
        <f>ProfitAfterTaxes(M230,M232,D231)</f>
        <v>52590.0030114953</v>
      </c>
      <c r="N234" s="1224">
        <f>ProfitAfterTaxes(N230,N232,D231)</f>
        <v>11692.9987412553</v>
      </c>
      <c r="O234" s="1224">
        <f>ProfitAfterTaxes(O230,O232,D231)</f>
        <v>7149.23851030366</v>
      </c>
      <c r="P234" s="1356">
        <f>SUM(D234:O234)</f>
        <v>401753.452040864</v>
      </c>
      <c r="Q234" s="326"/>
      <c r="R234" s="326"/>
      <c r="S234" s="326"/>
      <c r="T234" s="326"/>
      <c r="U234" s="326"/>
      <c r="V234" s="326"/>
      <c r="W234" s="326"/>
    </row>
    <row r="235" s="21" customFormat="1" ht="12" spans="2:23">
      <c r="B235" s="14"/>
      <c r="C235" s="14" t="s">
        <v>315</v>
      </c>
      <c r="D235" s="1329" t="s">
        <v>104</v>
      </c>
      <c r="E235" s="1329" t="s">
        <v>104</v>
      </c>
      <c r="F235" s="1329" t="s">
        <v>104</v>
      </c>
      <c r="G235" s="1329" t="s">
        <v>104</v>
      </c>
      <c r="H235" s="1329" t="s">
        <v>104</v>
      </c>
      <c r="I235" s="1329" t="s">
        <v>104</v>
      </c>
      <c r="J235" s="1329" t="s">
        <v>104</v>
      </c>
      <c r="K235" s="1329" t="s">
        <v>104</v>
      </c>
      <c r="L235" s="1329" t="s">
        <v>104</v>
      </c>
      <c r="M235" s="1329" t="s">
        <v>104</v>
      </c>
      <c r="N235" s="1329" t="s">
        <v>104</v>
      </c>
      <c r="O235" s="1329" t="s">
        <v>104</v>
      </c>
      <c r="P235" s="1338" t="s">
        <v>104</v>
      </c>
      <c r="Q235" s="326"/>
      <c r="R235" s="326"/>
      <c r="S235" s="326"/>
      <c r="T235" s="326"/>
      <c r="U235" s="326"/>
      <c r="V235" s="326"/>
      <c r="W235" s="326"/>
    </row>
    <row r="236" s="21" customFormat="1" ht="12" spans="2:23">
      <c r="B236" s="14"/>
      <c r="C236" s="14" t="s">
        <v>285</v>
      </c>
      <c r="D236" s="18" t="s">
        <v>256</v>
      </c>
      <c r="E236" s="18" t="s">
        <v>257</v>
      </c>
      <c r="F236" s="18" t="s">
        <v>258</v>
      </c>
      <c r="G236" s="18" t="s">
        <v>259</v>
      </c>
      <c r="H236" s="18" t="s">
        <v>260</v>
      </c>
      <c r="I236" s="18" t="s">
        <v>261</v>
      </c>
      <c r="J236" s="18" t="s">
        <v>262</v>
      </c>
      <c r="K236" s="18" t="s">
        <v>263</v>
      </c>
      <c r="L236" s="18" t="s">
        <v>264</v>
      </c>
      <c r="M236" s="18" t="s">
        <v>265</v>
      </c>
      <c r="N236" s="18" t="s">
        <v>266</v>
      </c>
      <c r="O236" s="18" t="s">
        <v>267</v>
      </c>
      <c r="P236" s="1338" t="s">
        <v>142</v>
      </c>
      <c r="Q236" s="326"/>
      <c r="R236" s="326"/>
      <c r="S236" s="326"/>
      <c r="T236" s="326"/>
      <c r="U236" s="326"/>
      <c r="V236" s="326"/>
      <c r="W236" s="326"/>
    </row>
    <row r="237" s="21" customFormat="1" spans="2:23">
      <c r="B237" s="326"/>
      <c r="C237" s="326"/>
      <c r="D237" s="326"/>
      <c r="E237" s="326"/>
      <c r="F237" s="326"/>
      <c r="G237" s="326"/>
      <c r="H237" s="326"/>
      <c r="I237" s="326"/>
      <c r="J237" s="326"/>
      <c r="K237" s="326"/>
      <c r="L237" s="326"/>
      <c r="M237" s="326"/>
      <c r="N237" s="326"/>
      <c r="O237" s="326"/>
      <c r="P237" s="326"/>
      <c r="Q237" s="326"/>
      <c r="R237" s="326"/>
      <c r="S237" s="326"/>
      <c r="T237" s="326"/>
      <c r="U237" s="326"/>
      <c r="V237" s="326"/>
      <c r="W237" s="326"/>
    </row>
    <row r="238" s="21" customFormat="1" ht="16.5" spans="1:23">
      <c r="A238" s="1229">
        <v>6</v>
      </c>
      <c r="B238" s="1258" t="s">
        <v>339</v>
      </c>
      <c r="C238" s="1258"/>
      <c r="D238" s="326"/>
      <c r="E238" s="326"/>
      <c r="F238" s="326"/>
      <c r="G238" s="326"/>
      <c r="H238" s="326"/>
      <c r="I238" s="326"/>
      <c r="J238" s="326"/>
      <c r="K238" s="326"/>
      <c r="L238" s="326"/>
      <c r="M238" s="326"/>
      <c r="N238" s="326"/>
      <c r="O238" s="326"/>
      <c r="P238" s="326"/>
      <c r="Q238" s="326"/>
      <c r="R238" s="326"/>
      <c r="S238" s="326"/>
      <c r="T238" s="326"/>
      <c r="U238" s="326"/>
      <c r="V238" s="326"/>
      <c r="W238" s="326"/>
    </row>
    <row r="239" s="21" customFormat="1" ht="12" spans="2:23">
      <c r="B239" s="14" t="s">
        <v>315</v>
      </c>
      <c r="C239" s="14"/>
      <c r="D239" s="1329" t="s">
        <v>105</v>
      </c>
      <c r="E239" s="1329" t="s">
        <v>105</v>
      </c>
      <c r="F239" s="1329" t="s">
        <v>105</v>
      </c>
      <c r="G239" s="1329" t="s">
        <v>105</v>
      </c>
      <c r="H239" s="1329" t="s">
        <v>105</v>
      </c>
      <c r="I239" s="1329" t="s">
        <v>105</v>
      </c>
      <c r="J239" s="1329" t="s">
        <v>105</v>
      </c>
      <c r="K239" s="1329" t="s">
        <v>105</v>
      </c>
      <c r="L239" s="1329" t="s">
        <v>105</v>
      </c>
      <c r="M239" s="1329" t="s">
        <v>105</v>
      </c>
      <c r="N239" s="1329" t="s">
        <v>105</v>
      </c>
      <c r="O239" s="1366" t="s">
        <v>105</v>
      </c>
      <c r="P239" s="1338" t="s">
        <v>105</v>
      </c>
      <c r="Q239" s="326"/>
      <c r="R239" s="326"/>
      <c r="S239" s="326"/>
      <c r="T239" s="326"/>
      <c r="U239" s="326"/>
      <c r="V239" s="326"/>
      <c r="W239" s="326"/>
    </row>
    <row r="240" s="21" customFormat="1" ht="12" spans="2:23">
      <c r="B240" s="14" t="s">
        <v>285</v>
      </c>
      <c r="C240" s="14"/>
      <c r="D240" s="18" t="s">
        <v>256</v>
      </c>
      <c r="E240" s="18" t="s">
        <v>257</v>
      </c>
      <c r="F240" s="18" t="s">
        <v>258</v>
      </c>
      <c r="G240" s="18" t="s">
        <v>259</v>
      </c>
      <c r="H240" s="18" t="s">
        <v>260</v>
      </c>
      <c r="I240" s="18" t="s">
        <v>261</v>
      </c>
      <c r="J240" s="18" t="s">
        <v>262</v>
      </c>
      <c r="K240" s="18" t="s">
        <v>263</v>
      </c>
      <c r="L240" s="18" t="s">
        <v>264</v>
      </c>
      <c r="M240" s="18" t="s">
        <v>265</v>
      </c>
      <c r="N240" s="18" t="s">
        <v>266</v>
      </c>
      <c r="O240" s="1367" t="s">
        <v>267</v>
      </c>
      <c r="P240" s="1338" t="s">
        <v>340</v>
      </c>
      <c r="Q240" s="326"/>
      <c r="R240" s="326"/>
      <c r="S240" s="326"/>
      <c r="T240" s="326"/>
      <c r="U240" s="326"/>
      <c r="V240" s="326"/>
      <c r="W240" s="326"/>
    </row>
    <row r="241" s="21" customFormat="1" spans="2:23">
      <c r="B241" s="548" t="s">
        <v>293</v>
      </c>
      <c r="C241" s="1363" t="s">
        <v>317</v>
      </c>
      <c r="D241" s="1354">
        <f>Price4_36MoPr(VarCostByProduct,B241)</f>
        <v>4.49</v>
      </c>
      <c r="E241" s="1330"/>
      <c r="F241" s="1330"/>
      <c r="G241" s="1330"/>
      <c r="H241" s="1331"/>
      <c r="I241" s="1333"/>
      <c r="J241" s="1333"/>
      <c r="K241" s="1333"/>
      <c r="L241" s="1333"/>
      <c r="M241" s="1333"/>
      <c r="N241" s="1333"/>
      <c r="O241" s="1333"/>
      <c r="P241" s="1339"/>
      <c r="Q241" s="326"/>
      <c r="R241" s="326"/>
      <c r="S241" s="326"/>
      <c r="T241" s="326"/>
      <c r="U241" s="326"/>
      <c r="V241" s="326"/>
      <c r="W241" s="326"/>
    </row>
    <row r="242" s="21" customFormat="1" spans="2:23">
      <c r="B242" s="1358"/>
      <c r="C242" s="1363" t="s">
        <v>318</v>
      </c>
      <c r="D242" s="1355">
        <f>Varcosts4_36MoPr(VarCostByProduct,B241)</f>
        <v>0.82</v>
      </c>
      <c r="E242" s="1333"/>
      <c r="F242" s="1333"/>
      <c r="G242" s="1333"/>
      <c r="H242" s="1333"/>
      <c r="I242" s="1333"/>
      <c r="J242" s="1333"/>
      <c r="K242" s="1333"/>
      <c r="L242" s="1333"/>
      <c r="M242" s="1333"/>
      <c r="N242" s="1333"/>
      <c r="O242" s="1333"/>
      <c r="P242" s="1339"/>
      <c r="Q242" s="326"/>
      <c r="R242" s="326"/>
      <c r="S242" s="326"/>
      <c r="T242" s="326"/>
      <c r="U242" s="326"/>
      <c r="V242" s="326"/>
      <c r="W242" s="326"/>
    </row>
    <row r="243" s="21" customFormat="1" spans="2:23">
      <c r="B243" s="1358"/>
      <c r="C243" s="1364" t="s">
        <v>319</v>
      </c>
      <c r="D243" s="1334">
        <f>Sales4_36MoPr(SalesJan,"FY-3",$B241)</f>
        <v>663.4996042752</v>
      </c>
      <c r="E243" s="1334">
        <f>Sales4_36MoPr(SalesFeb,"FY-3",$B241)</f>
        <v>663.4996042752</v>
      </c>
      <c r="F243" s="1334">
        <f>Sales4_36MoPr(SalesMar,"FY-3",$B241)</f>
        <v>663.4996042752</v>
      </c>
      <c r="G243" s="1334">
        <f>Sales4_36MoPr(SalesApr,"FY-3",$B241)</f>
        <v>645.224839400428</v>
      </c>
      <c r="H243" s="1334">
        <f>Sales4_36MoPr(SalesMay,"FY-3",$B241)</f>
        <v>1927.8310940499</v>
      </c>
      <c r="I243" s="1334">
        <f>Sales4_36MoPr(SalesJun,"FY-3",$B241)</f>
        <v>1880.3120124805</v>
      </c>
      <c r="J243" s="1334">
        <f>Sales4_36MoPr(SalesJul,"FY-3",$B241)</f>
        <v>1880.3120124805</v>
      </c>
      <c r="K243" s="1334">
        <f>Sales4_36MoPr(SalesAug,"FY-3",$B241)</f>
        <v>1969.41176470588</v>
      </c>
      <c r="L243" s="1334">
        <f>Sales4_36MoPr(SalesSep,"FY-3",$B241)</f>
        <v>1969.41176470588</v>
      </c>
      <c r="M243" s="1334">
        <f>Sales4_36MoPr(SalesOct,"FY-3",$B241)</f>
        <v>1649.26108374384</v>
      </c>
      <c r="N243" s="1334">
        <f>Sales4_36MoPr(SalesNov,"FY-3",$B241)</f>
        <v>1050.94170403587</v>
      </c>
      <c r="O243" s="1334">
        <f>Sales4_36MoPr(SalesDec,"FY-3",$B241)</f>
        <v>1050.94170403587</v>
      </c>
      <c r="P243" s="1340">
        <f>SUM(D243:O243)</f>
        <v>16014.1467924643</v>
      </c>
      <c r="Q243" s="326"/>
      <c r="R243" s="326"/>
      <c r="S243" s="326"/>
      <c r="T243" s="326"/>
      <c r="U243" s="326"/>
      <c r="V243" s="326"/>
      <c r="W243" s="326"/>
    </row>
    <row r="244" s="21" customFormat="1" spans="2:23">
      <c r="B244" s="1365"/>
      <c r="C244" s="1363" t="s">
        <v>320</v>
      </c>
      <c r="D244" s="1337">
        <f t="shared" ref="D244:O244" si="68">D243*$D241</f>
        <v>2979.11322319565</v>
      </c>
      <c r="E244" s="1337">
        <f t="shared" si="68"/>
        <v>2979.11322319565</v>
      </c>
      <c r="F244" s="1337">
        <f t="shared" si="68"/>
        <v>2979.11322319565</v>
      </c>
      <c r="G244" s="1337">
        <f t="shared" si="68"/>
        <v>2897.05952890792</v>
      </c>
      <c r="H244" s="1337">
        <f t="shared" si="68"/>
        <v>8655.96161228407</v>
      </c>
      <c r="I244" s="1337">
        <f t="shared" si="68"/>
        <v>8442.60093603744</v>
      </c>
      <c r="J244" s="1337">
        <f t="shared" si="68"/>
        <v>8442.60093603744</v>
      </c>
      <c r="K244" s="1337">
        <f t="shared" si="68"/>
        <v>8842.65882352941</v>
      </c>
      <c r="L244" s="1337">
        <f t="shared" si="68"/>
        <v>8842.65882352941</v>
      </c>
      <c r="M244" s="1337">
        <f t="shared" si="68"/>
        <v>7405.18226600985</v>
      </c>
      <c r="N244" s="1337">
        <f t="shared" si="68"/>
        <v>4718.72825112108</v>
      </c>
      <c r="O244" s="1337">
        <f t="shared" si="68"/>
        <v>4718.72825112108</v>
      </c>
      <c r="P244" s="1341">
        <f>SUM(D244:O244)</f>
        <v>71903.5190981647</v>
      </c>
      <c r="Q244" s="326"/>
      <c r="R244" s="326"/>
      <c r="S244" s="326"/>
      <c r="T244" s="326"/>
      <c r="U244" s="326"/>
      <c r="V244" s="326"/>
      <c r="W244" s="326"/>
    </row>
    <row r="245" s="21" customFormat="1" spans="2:23">
      <c r="B245" s="1358"/>
      <c r="C245" s="1363" t="s">
        <v>321</v>
      </c>
      <c r="D245" s="1337">
        <f>D243*$D$80</f>
        <v>544.069675505664</v>
      </c>
      <c r="E245" s="1337">
        <f>E243*$D$80</f>
        <v>544.069675505664</v>
      </c>
      <c r="F245" s="1337">
        <f t="shared" ref="F245:O245" si="69">F243*$D242</f>
        <v>544.069675505664</v>
      </c>
      <c r="G245" s="1337">
        <f t="shared" si="69"/>
        <v>529.084368308351</v>
      </c>
      <c r="H245" s="1337">
        <f t="shared" si="69"/>
        <v>1580.82149712092</v>
      </c>
      <c r="I245" s="1337">
        <f t="shared" si="69"/>
        <v>1541.85585023401</v>
      </c>
      <c r="J245" s="1337">
        <f t="shared" si="69"/>
        <v>1541.85585023401</v>
      </c>
      <c r="K245" s="1337">
        <f t="shared" si="69"/>
        <v>1614.91764705882</v>
      </c>
      <c r="L245" s="1337">
        <f t="shared" si="69"/>
        <v>1614.91764705882</v>
      </c>
      <c r="M245" s="1337">
        <f t="shared" si="69"/>
        <v>1352.39408866995</v>
      </c>
      <c r="N245" s="1337">
        <f t="shared" si="69"/>
        <v>861.772197309417</v>
      </c>
      <c r="O245" s="1337">
        <f t="shared" si="69"/>
        <v>861.772197309417</v>
      </c>
      <c r="P245" s="1341">
        <f>SUM(D245:O245)</f>
        <v>13131.6003698207</v>
      </c>
      <c r="Q245" s="326"/>
      <c r="R245" s="326"/>
      <c r="S245" s="326"/>
      <c r="T245" s="326"/>
      <c r="U245" s="326"/>
      <c r="V245" s="326"/>
      <c r="W245" s="326"/>
    </row>
    <row r="246" s="21" customFormat="1" spans="2:23">
      <c r="B246" s="1358"/>
      <c r="C246" s="1363" t="s">
        <v>322</v>
      </c>
      <c r="D246" s="1337">
        <f>D244-D245</f>
        <v>2435.04354768998</v>
      </c>
      <c r="E246" s="1337">
        <f t="shared" ref="E246:O246" si="70">E244-E245</f>
        <v>2435.04354768998</v>
      </c>
      <c r="F246" s="1337">
        <f t="shared" si="70"/>
        <v>2435.04354768998</v>
      </c>
      <c r="G246" s="1337">
        <f t="shared" si="70"/>
        <v>2367.97516059957</v>
      </c>
      <c r="H246" s="1337">
        <f t="shared" si="70"/>
        <v>7075.14011516315</v>
      </c>
      <c r="I246" s="1337">
        <f t="shared" si="70"/>
        <v>6900.74508580343</v>
      </c>
      <c r="J246" s="1337">
        <f t="shared" si="70"/>
        <v>6900.74508580343</v>
      </c>
      <c r="K246" s="1337">
        <f t="shared" si="70"/>
        <v>7227.74117647059</v>
      </c>
      <c r="L246" s="1337">
        <f t="shared" si="70"/>
        <v>7227.74117647059</v>
      </c>
      <c r="M246" s="1337">
        <f t="shared" si="70"/>
        <v>6052.7881773399</v>
      </c>
      <c r="N246" s="1337">
        <f t="shared" si="70"/>
        <v>3856.95605381166</v>
      </c>
      <c r="O246" s="1337">
        <f t="shared" si="70"/>
        <v>3856.95605381166</v>
      </c>
      <c r="P246" s="1341">
        <f>SUM(D246:O246)</f>
        <v>58771.9187283439</v>
      </c>
      <c r="Q246" s="326"/>
      <c r="R246" s="326"/>
      <c r="S246" s="326"/>
      <c r="T246" s="326"/>
      <c r="U246" s="326"/>
      <c r="V246" s="326"/>
      <c r="W246" s="326"/>
    </row>
    <row r="247" s="21" customFormat="1" spans="2:23">
      <c r="B247" s="548" t="s">
        <v>294</v>
      </c>
      <c r="C247" s="1363" t="s">
        <v>317</v>
      </c>
      <c r="D247" s="1354">
        <f>Price4_36MoPr(VarCostByProduct,B247)</f>
        <v>6.99</v>
      </c>
      <c r="E247" s="1330"/>
      <c r="F247" s="1330"/>
      <c r="G247" s="1330"/>
      <c r="H247" s="1331"/>
      <c r="I247" s="1333"/>
      <c r="J247" s="1333"/>
      <c r="K247" s="1333"/>
      <c r="L247" s="1333"/>
      <c r="M247" s="1333"/>
      <c r="N247" s="1333"/>
      <c r="O247" s="1333"/>
      <c r="P247" s="1341"/>
      <c r="Q247" s="326"/>
      <c r="R247" s="326"/>
      <c r="S247" s="326"/>
      <c r="T247" s="326"/>
      <c r="U247" s="326"/>
      <c r="V247" s="326"/>
      <c r="W247" s="326"/>
    </row>
    <row r="248" s="21" customFormat="1" spans="2:23">
      <c r="B248" s="1358"/>
      <c r="C248" s="1363" t="s">
        <v>318</v>
      </c>
      <c r="D248" s="1355">
        <f>Varcosts4_36MoPr(VarCostByProduct,B247)</f>
        <v>0.86</v>
      </c>
      <c r="E248" s="1333"/>
      <c r="F248" s="1333"/>
      <c r="G248" s="1333"/>
      <c r="H248" s="1333"/>
      <c r="I248" s="1333"/>
      <c r="J248" s="1333"/>
      <c r="K248" s="1333"/>
      <c r="L248" s="1333"/>
      <c r="M248" s="1333"/>
      <c r="N248" s="1333"/>
      <c r="O248" s="1333"/>
      <c r="P248" s="1341"/>
      <c r="Q248" s="326"/>
      <c r="R248" s="326"/>
      <c r="S248" s="326"/>
      <c r="T248" s="326"/>
      <c r="U248" s="326"/>
      <c r="V248" s="326"/>
      <c r="W248" s="326"/>
    </row>
    <row r="249" s="21" customFormat="1" spans="2:23">
      <c r="B249" s="1358"/>
      <c r="C249" s="1364" t="s">
        <v>319</v>
      </c>
      <c r="D249" s="1334">
        <f>Sales4_36MoPr(SalesJan,"FY-3",$B247)</f>
        <v>984.705882352941</v>
      </c>
      <c r="E249" s="1334">
        <f>Sales4_36MoPr(SalesFeb,"FY-3",$B247)</f>
        <v>858.461538461538</v>
      </c>
      <c r="F249" s="1334">
        <f>Sales4_36MoPr(SalesMar,"FY-3",$B247)</f>
        <v>984.705882352941</v>
      </c>
      <c r="G249" s="1334">
        <f>Sales4_36MoPr(SalesApr,"FY-3",$B247)</f>
        <v>997.748344370861</v>
      </c>
      <c r="H249" s="1334">
        <f>Sales4_36MoPr(SalesMay,"FY-3",$B247)</f>
        <v>1891.52542372881</v>
      </c>
      <c r="I249" s="1334">
        <f>Sales4_36MoPr(SalesJun,"FY-3",$B247)</f>
        <v>1843.70463078849</v>
      </c>
      <c r="J249" s="1334">
        <f>Sales4_36MoPr(SalesJul,"FY-3",$B247)</f>
        <v>1843.70463078849</v>
      </c>
      <c r="K249" s="1334">
        <f>Sales4_36MoPr(SalesAug,"FY-3",$B247)</f>
        <v>1931.84549356223</v>
      </c>
      <c r="L249" s="1334">
        <f>Sales4_36MoPr(SalesSep,"FY-3",$B247)</f>
        <v>1931.84549356223</v>
      </c>
      <c r="M249" s="1334">
        <f>Sales4_36MoPr(SalesOct,"FY-3",$B247)</f>
        <v>1891.52542372881</v>
      </c>
      <c r="N249" s="1334">
        <f>Sales4_36MoPr(SalesNov,"FY-3",$B247)</f>
        <v>984.705882352941</v>
      </c>
      <c r="O249" s="1334">
        <f>Sales4_36MoPr(SalesDec,"FY-3",$B247)</f>
        <v>858.461538461538</v>
      </c>
      <c r="P249" s="1340">
        <f>SUM(D249:O249)</f>
        <v>17002.9401645118</v>
      </c>
      <c r="Q249" s="326"/>
      <c r="R249" s="326"/>
      <c r="S249" s="326"/>
      <c r="T249" s="326"/>
      <c r="U249" s="326"/>
      <c r="V249" s="326"/>
      <c r="W249" s="326"/>
    </row>
    <row r="250" s="21" customFormat="1" spans="2:23">
      <c r="B250" s="1365"/>
      <c r="C250" s="1363" t="s">
        <v>320</v>
      </c>
      <c r="D250" s="1337">
        <f t="shared" ref="D250:O250" si="71">D249*$D247</f>
        <v>6883.09411764706</v>
      </c>
      <c r="E250" s="1337">
        <f t="shared" si="71"/>
        <v>6000.64615384615</v>
      </c>
      <c r="F250" s="1337">
        <f t="shared" si="71"/>
        <v>6883.09411764706</v>
      </c>
      <c r="G250" s="1337">
        <f t="shared" si="71"/>
        <v>6974.26092715232</v>
      </c>
      <c r="H250" s="1337">
        <f t="shared" si="71"/>
        <v>13221.7627118644</v>
      </c>
      <c r="I250" s="1337">
        <f t="shared" si="71"/>
        <v>12887.4953692115</v>
      </c>
      <c r="J250" s="1337">
        <f t="shared" si="71"/>
        <v>12887.4953692115</v>
      </c>
      <c r="K250" s="1337">
        <f t="shared" si="71"/>
        <v>13503.6</v>
      </c>
      <c r="L250" s="1337">
        <f t="shared" si="71"/>
        <v>13503.6</v>
      </c>
      <c r="M250" s="1337">
        <f t="shared" si="71"/>
        <v>13221.7627118644</v>
      </c>
      <c r="N250" s="1337">
        <f t="shared" si="71"/>
        <v>6883.09411764706</v>
      </c>
      <c r="O250" s="1337">
        <f t="shared" si="71"/>
        <v>6000.64615384615</v>
      </c>
      <c r="P250" s="1341">
        <f>SUM(D250:O250)</f>
        <v>118850.551749938</v>
      </c>
      <c r="Q250" s="326"/>
      <c r="R250" s="326"/>
      <c r="S250" s="326"/>
      <c r="T250" s="326"/>
      <c r="U250" s="326"/>
      <c r="V250" s="326"/>
      <c r="W250" s="326"/>
    </row>
    <row r="251" s="21" customFormat="1" spans="2:23">
      <c r="B251" s="1358"/>
      <c r="C251" s="1363" t="s">
        <v>321</v>
      </c>
      <c r="D251" s="1337">
        <f>D249*$D$80</f>
        <v>807.458823529412</v>
      </c>
      <c r="E251" s="1337">
        <f>E249*$D$80</f>
        <v>703.938461538462</v>
      </c>
      <c r="F251" s="1337">
        <f t="shared" ref="F251:O251" si="72">F249*$D248</f>
        <v>846.847058823529</v>
      </c>
      <c r="G251" s="1337">
        <f t="shared" si="72"/>
        <v>858.06357615894</v>
      </c>
      <c r="H251" s="1337">
        <f t="shared" si="72"/>
        <v>1626.71186440678</v>
      </c>
      <c r="I251" s="1337">
        <f t="shared" si="72"/>
        <v>1585.5859824781</v>
      </c>
      <c r="J251" s="1337">
        <f t="shared" si="72"/>
        <v>1585.5859824781</v>
      </c>
      <c r="K251" s="1337">
        <f t="shared" si="72"/>
        <v>1661.38712446352</v>
      </c>
      <c r="L251" s="1337">
        <f t="shared" si="72"/>
        <v>1661.38712446352</v>
      </c>
      <c r="M251" s="1337">
        <f t="shared" si="72"/>
        <v>1626.71186440678</v>
      </c>
      <c r="N251" s="1337">
        <f t="shared" si="72"/>
        <v>846.847058823529</v>
      </c>
      <c r="O251" s="1337">
        <f t="shared" si="72"/>
        <v>738.276923076923</v>
      </c>
      <c r="P251" s="1341">
        <f>SUM(D251:O251)</f>
        <v>14548.8018446476</v>
      </c>
      <c r="Q251" s="326"/>
      <c r="R251" s="326"/>
      <c r="S251" s="326"/>
      <c r="T251" s="326"/>
      <c r="U251" s="326"/>
      <c r="V251" s="326"/>
      <c r="W251" s="326"/>
    </row>
    <row r="252" s="21" customFormat="1" spans="2:23">
      <c r="B252" s="1358"/>
      <c r="C252" s="1363" t="s">
        <v>322</v>
      </c>
      <c r="D252" s="1337">
        <f>D250-D251</f>
        <v>6075.63529411765</v>
      </c>
      <c r="E252" s="1337">
        <f t="shared" ref="E252:O252" si="73">E250-E251</f>
        <v>5296.70769230769</v>
      </c>
      <c r="F252" s="1337">
        <f t="shared" si="73"/>
        <v>6036.24705882353</v>
      </c>
      <c r="G252" s="1337">
        <f t="shared" si="73"/>
        <v>6116.19735099338</v>
      </c>
      <c r="H252" s="1337">
        <f t="shared" si="73"/>
        <v>11595.0508474576</v>
      </c>
      <c r="I252" s="1337">
        <f t="shared" si="73"/>
        <v>11301.9093867334</v>
      </c>
      <c r="J252" s="1337">
        <f t="shared" si="73"/>
        <v>11301.9093867334</v>
      </c>
      <c r="K252" s="1337">
        <f t="shared" si="73"/>
        <v>11842.2128755365</v>
      </c>
      <c r="L252" s="1337">
        <f t="shared" si="73"/>
        <v>11842.2128755365</v>
      </c>
      <c r="M252" s="1337">
        <f t="shared" si="73"/>
        <v>11595.0508474576</v>
      </c>
      <c r="N252" s="1337">
        <f t="shared" si="73"/>
        <v>6036.24705882353</v>
      </c>
      <c r="O252" s="1337">
        <f t="shared" si="73"/>
        <v>5262.36923076923</v>
      </c>
      <c r="P252" s="1341">
        <f>SUM(D252:O252)</f>
        <v>104301.74990529</v>
      </c>
      <c r="Q252" s="326"/>
      <c r="R252" s="326"/>
      <c r="S252" s="326"/>
      <c r="T252" s="326"/>
      <c r="U252" s="326"/>
      <c r="V252" s="326"/>
      <c r="W252" s="326"/>
    </row>
    <row r="253" s="21" customFormat="1" spans="2:23">
      <c r="B253" s="548" t="s">
        <v>295</v>
      </c>
      <c r="C253" s="1363" t="s">
        <v>317</v>
      </c>
      <c r="D253" s="1354">
        <f>Price4_36MoPr(VarCostByProduct,B253)</f>
        <v>5.49</v>
      </c>
      <c r="E253" s="1330"/>
      <c r="F253" s="1330"/>
      <c r="G253" s="1330"/>
      <c r="H253" s="1331"/>
      <c r="I253" s="1333"/>
      <c r="J253" s="1333"/>
      <c r="K253" s="1333"/>
      <c r="L253" s="1333"/>
      <c r="M253" s="1333"/>
      <c r="N253" s="1333"/>
      <c r="O253" s="1333"/>
      <c r="P253" s="1341"/>
      <c r="Q253" s="326"/>
      <c r="R253" s="326"/>
      <c r="S253" s="326"/>
      <c r="T253" s="326"/>
      <c r="U253" s="326"/>
      <c r="V253" s="326"/>
      <c r="W253" s="326"/>
    </row>
    <row r="254" s="21" customFormat="1" spans="2:23">
      <c r="B254" s="1358"/>
      <c r="C254" s="1363" t="s">
        <v>318</v>
      </c>
      <c r="D254" s="1355">
        <f>Varcosts4_36MoPr(VarCostByProduct,B253)</f>
        <v>0.83</v>
      </c>
      <c r="E254" s="1333"/>
      <c r="F254" s="1333"/>
      <c r="G254" s="1333"/>
      <c r="H254" s="1333"/>
      <c r="I254" s="1333"/>
      <c r="J254" s="1333"/>
      <c r="K254" s="1333"/>
      <c r="L254" s="1333"/>
      <c r="M254" s="1333"/>
      <c r="N254" s="1333"/>
      <c r="O254" s="1333"/>
      <c r="P254" s="1341"/>
      <c r="Q254" s="326"/>
      <c r="R254" s="326"/>
      <c r="S254" s="326"/>
      <c r="T254" s="326"/>
      <c r="U254" s="326"/>
      <c r="V254" s="326"/>
      <c r="W254" s="326"/>
    </row>
    <row r="255" s="21" customFormat="1" spans="2:23">
      <c r="B255" s="1358"/>
      <c r="C255" s="1364" t="s">
        <v>319</v>
      </c>
      <c r="D255" s="1334">
        <f>Sales4_36MoPr(SalesJan,"FY-3",$B253)</f>
        <v>0</v>
      </c>
      <c r="E255" s="1334">
        <f>Sales4_36MoPr(SalesFeb,"FY-3",$B253)</f>
        <v>0</v>
      </c>
      <c r="F255" s="1334">
        <f>Sales4_36MoPr(SalesMar,"FY-3",$B253)</f>
        <v>0</v>
      </c>
      <c r="G255" s="1334">
        <f>Sales4_36MoPr(SalesApr,"FY-3",$B253)</f>
        <v>0</v>
      </c>
      <c r="H255" s="1334">
        <f>Sales4_36MoPr(SalesMay,"FY-3",$B253)</f>
        <v>1094.77434705408</v>
      </c>
      <c r="I255" s="1334">
        <f>Sales4_36MoPr(SalesJun,"FY-3",$B253)</f>
        <v>995.2494064128</v>
      </c>
      <c r="J255" s="1334">
        <f>Sales4_36MoPr(SalesJul,"FY-3",$B253)</f>
        <v>995.2494064128</v>
      </c>
      <c r="K255" s="1334">
        <f>Sales4_36MoPr(SalesAug,"FY-3",$B253)</f>
        <v>995.2494064128</v>
      </c>
      <c r="L255" s="1334">
        <f>Sales4_36MoPr(SalesSep,"FY-3",$B253)</f>
        <v>995.2494064128</v>
      </c>
      <c r="M255" s="1334">
        <f>Sales4_36MoPr(SalesOct,"FY-3",$B253)</f>
        <v>995.2494064128</v>
      </c>
      <c r="N255" s="1334">
        <f>Sales4_36MoPr(SalesNov,"FY-3",$B253)</f>
        <v>1194.29928769536</v>
      </c>
      <c r="O255" s="1334">
        <f>Sales4_36MoPr(SalesDec,"FY-3",$B253)</f>
        <v>0</v>
      </c>
      <c r="P255" s="1340">
        <f>SUM(D255:O255)</f>
        <v>7265.32066681344</v>
      </c>
      <c r="Q255" s="326"/>
      <c r="R255" s="326"/>
      <c r="S255" s="326"/>
      <c r="T255" s="326"/>
      <c r="U255" s="326"/>
      <c r="V255" s="326"/>
      <c r="W255" s="326"/>
    </row>
    <row r="256" s="21" customFormat="1" spans="2:23">
      <c r="B256" s="1365"/>
      <c r="C256" s="1363" t="s">
        <v>320</v>
      </c>
      <c r="D256" s="1337">
        <f t="shared" ref="D256:O256" si="74">D255*$D253</f>
        <v>0</v>
      </c>
      <c r="E256" s="1337">
        <f t="shared" si="74"/>
        <v>0</v>
      </c>
      <c r="F256" s="1337">
        <f t="shared" si="74"/>
        <v>0</v>
      </c>
      <c r="G256" s="1337">
        <f t="shared" si="74"/>
        <v>0</v>
      </c>
      <c r="H256" s="1337">
        <f t="shared" si="74"/>
        <v>6010.3111653269</v>
      </c>
      <c r="I256" s="1337">
        <f t="shared" si="74"/>
        <v>5463.91924120627</v>
      </c>
      <c r="J256" s="1337">
        <f t="shared" si="74"/>
        <v>5463.91924120627</v>
      </c>
      <c r="K256" s="1337">
        <f t="shared" si="74"/>
        <v>5463.91924120627</v>
      </c>
      <c r="L256" s="1337">
        <f t="shared" si="74"/>
        <v>5463.91924120627</v>
      </c>
      <c r="M256" s="1337">
        <f t="shared" si="74"/>
        <v>5463.91924120627</v>
      </c>
      <c r="N256" s="1337">
        <f t="shared" si="74"/>
        <v>6556.70308944753</v>
      </c>
      <c r="O256" s="1337">
        <f t="shared" si="74"/>
        <v>0</v>
      </c>
      <c r="P256" s="1341">
        <f>SUM(D256:O256)</f>
        <v>39886.6104608058</v>
      </c>
      <c r="Q256" s="326"/>
      <c r="R256" s="326"/>
      <c r="S256" s="326"/>
      <c r="T256" s="326"/>
      <c r="U256" s="326"/>
      <c r="V256" s="326"/>
      <c r="W256" s="326"/>
    </row>
    <row r="257" s="21" customFormat="1" spans="2:23">
      <c r="B257" s="1358"/>
      <c r="C257" s="1363" t="s">
        <v>321</v>
      </c>
      <c r="D257" s="1337">
        <f>D255*$D$80</f>
        <v>0</v>
      </c>
      <c r="E257" s="1337">
        <f>E255*$D$80</f>
        <v>0</v>
      </c>
      <c r="F257" s="1337">
        <f t="shared" ref="F257:O257" si="75">F255*$D254</f>
        <v>0</v>
      </c>
      <c r="G257" s="1337">
        <f t="shared" si="75"/>
        <v>0</v>
      </c>
      <c r="H257" s="1337">
        <f t="shared" si="75"/>
        <v>908.662708054887</v>
      </c>
      <c r="I257" s="1337">
        <f t="shared" si="75"/>
        <v>826.057007322624</v>
      </c>
      <c r="J257" s="1337">
        <f t="shared" si="75"/>
        <v>826.057007322624</v>
      </c>
      <c r="K257" s="1337">
        <f t="shared" si="75"/>
        <v>826.057007322624</v>
      </c>
      <c r="L257" s="1337">
        <f t="shared" si="75"/>
        <v>826.057007322624</v>
      </c>
      <c r="M257" s="1337">
        <f t="shared" si="75"/>
        <v>826.057007322624</v>
      </c>
      <c r="N257" s="1337">
        <f t="shared" si="75"/>
        <v>991.268408787149</v>
      </c>
      <c r="O257" s="1337">
        <f t="shared" si="75"/>
        <v>0</v>
      </c>
      <c r="P257" s="1341">
        <f>SUM(D257:O257)</f>
        <v>6030.21615345516</v>
      </c>
      <c r="Q257" s="326"/>
      <c r="R257" s="326"/>
      <c r="S257" s="326"/>
      <c r="T257" s="326"/>
      <c r="U257" s="326"/>
      <c r="V257" s="326"/>
      <c r="W257" s="326"/>
    </row>
    <row r="258" s="21" customFormat="1" spans="2:23">
      <c r="B258" s="1358"/>
      <c r="C258" s="1363" t="s">
        <v>322</v>
      </c>
      <c r="D258" s="1337">
        <f>D256-D257</f>
        <v>0</v>
      </c>
      <c r="E258" s="1337">
        <f t="shared" ref="E258:O258" si="76">E256-E257</f>
        <v>0</v>
      </c>
      <c r="F258" s="1337">
        <f t="shared" si="76"/>
        <v>0</v>
      </c>
      <c r="G258" s="1337">
        <f t="shared" si="76"/>
        <v>0</v>
      </c>
      <c r="H258" s="1337">
        <f t="shared" si="76"/>
        <v>5101.64845727201</v>
      </c>
      <c r="I258" s="1337">
        <f t="shared" si="76"/>
        <v>4637.86223388365</v>
      </c>
      <c r="J258" s="1337">
        <f t="shared" si="76"/>
        <v>4637.86223388365</v>
      </c>
      <c r="K258" s="1337">
        <f t="shared" si="76"/>
        <v>4637.86223388365</v>
      </c>
      <c r="L258" s="1337">
        <f t="shared" si="76"/>
        <v>4637.86223388365</v>
      </c>
      <c r="M258" s="1337">
        <f t="shared" si="76"/>
        <v>4637.86223388365</v>
      </c>
      <c r="N258" s="1337">
        <f t="shared" si="76"/>
        <v>5565.43468066038</v>
      </c>
      <c r="O258" s="1337">
        <f t="shared" si="76"/>
        <v>0</v>
      </c>
      <c r="P258" s="1341">
        <f>SUM(D258:O258)</f>
        <v>33856.3943073506</v>
      </c>
      <c r="Q258" s="326"/>
      <c r="R258" s="326"/>
      <c r="S258" s="326"/>
      <c r="T258" s="326"/>
      <c r="U258" s="326"/>
      <c r="V258" s="326"/>
      <c r="W258" s="326"/>
    </row>
    <row r="259" s="21" customFormat="1" spans="2:23">
      <c r="B259" s="548" t="s">
        <v>296</v>
      </c>
      <c r="C259" s="1363" t="s">
        <v>317</v>
      </c>
      <c r="D259" s="1354">
        <f>Price4_36MoPr(VarCostByProduct,B259)</f>
        <v>6.99</v>
      </c>
      <c r="E259" s="1330"/>
      <c r="F259" s="1330"/>
      <c r="G259" s="1330"/>
      <c r="H259" s="1331"/>
      <c r="I259" s="1333"/>
      <c r="J259" s="1333"/>
      <c r="K259" s="1333"/>
      <c r="L259" s="1333"/>
      <c r="M259" s="1333"/>
      <c r="N259" s="1333"/>
      <c r="O259" s="1333"/>
      <c r="P259" s="1341"/>
      <c r="Q259" s="326"/>
      <c r="R259" s="326"/>
      <c r="S259" s="326"/>
      <c r="T259" s="326"/>
      <c r="U259" s="326"/>
      <c r="V259" s="326"/>
      <c r="W259" s="326"/>
    </row>
    <row r="260" s="21" customFormat="1" spans="2:23">
      <c r="B260" s="1358"/>
      <c r="C260" s="1363" t="s">
        <v>318</v>
      </c>
      <c r="D260" s="1355">
        <f>Varcosts4_36MoPr(VarCostByProduct,B259)</f>
        <v>0.84</v>
      </c>
      <c r="E260" s="1333"/>
      <c r="F260" s="1333"/>
      <c r="G260" s="1333"/>
      <c r="H260" s="1333"/>
      <c r="I260" s="1333"/>
      <c r="J260" s="1333"/>
      <c r="K260" s="1333"/>
      <c r="L260" s="1333"/>
      <c r="M260" s="1333"/>
      <c r="N260" s="1333"/>
      <c r="O260" s="1333"/>
      <c r="P260" s="1341"/>
      <c r="Q260" s="326"/>
      <c r="R260" s="326"/>
      <c r="S260" s="326"/>
      <c r="T260" s="326"/>
      <c r="U260" s="326"/>
      <c r="V260" s="326"/>
      <c r="W260" s="326"/>
    </row>
    <row r="261" s="21" customFormat="1" spans="2:23">
      <c r="B261" s="1358"/>
      <c r="C261" s="1364" t="s">
        <v>319</v>
      </c>
      <c r="D261" s="1334">
        <f>Sales4_36MoPr(SalesJan,"FY-3",$B259)</f>
        <v>1105.832673792</v>
      </c>
      <c r="E261" s="1334">
        <f>Sales4_36MoPr(SalesFeb,"FY-3",$B259)</f>
        <v>1105.832673792</v>
      </c>
      <c r="F261" s="1334">
        <f>Sales4_36MoPr(SalesMar,"FY-3",$B259)</f>
        <v>1240</v>
      </c>
      <c r="G261" s="1334">
        <f>Sales4_36MoPr(SalesApr,"FY-3",$B259)</f>
        <v>1240</v>
      </c>
      <c r="H261" s="1334">
        <f>Sales4_36MoPr(SalesMay,"FY-3",$B259)</f>
        <v>1240</v>
      </c>
      <c r="I261" s="1334">
        <f>Sales4_36MoPr(SalesJun,"FY-3",$B259)</f>
        <v>2211.665347584</v>
      </c>
      <c r="J261" s="1334">
        <f>Sales4_36MoPr(SalesJul,"FY-3",$B259)</f>
        <v>2211.665347584</v>
      </c>
      <c r="K261" s="1334">
        <f>Sales4_36MoPr(SalesAug,"FY-3",$B259)</f>
        <v>2480</v>
      </c>
      <c r="L261" s="1334">
        <f>Sales4_36MoPr(SalesSep,"FY-3",$B259)</f>
        <v>2480</v>
      </c>
      <c r="M261" s="1334">
        <f>Sales4_36MoPr(SalesOct,"FY-3",$B259)</f>
        <v>2432.8318823424</v>
      </c>
      <c r="N261" s="1334">
        <f>Sales4_36MoPr(SalesNov,"FY-3",$B259)</f>
        <v>1240</v>
      </c>
      <c r="O261" s="1334">
        <f>Sales4_36MoPr(SalesDec,"FY-3",$B259)</f>
        <v>1240</v>
      </c>
      <c r="P261" s="1340">
        <f>SUM(D261:O261)</f>
        <v>20227.8279250944</v>
      </c>
      <c r="Q261" s="326"/>
      <c r="R261" s="326"/>
      <c r="S261" s="326"/>
      <c r="T261" s="326"/>
      <c r="U261" s="326"/>
      <c r="V261" s="326"/>
      <c r="W261" s="326"/>
    </row>
    <row r="262" s="21" customFormat="1" spans="2:23">
      <c r="B262" s="1365"/>
      <c r="C262" s="1363" t="s">
        <v>320</v>
      </c>
      <c r="D262" s="1337">
        <f t="shared" ref="D262:O262" si="77">D261*$D259</f>
        <v>7729.77038980608</v>
      </c>
      <c r="E262" s="1337">
        <f t="shared" si="77"/>
        <v>7729.77038980608</v>
      </c>
      <c r="F262" s="1337">
        <f t="shared" si="77"/>
        <v>8667.6</v>
      </c>
      <c r="G262" s="1337">
        <f t="shared" si="77"/>
        <v>8667.6</v>
      </c>
      <c r="H262" s="1337">
        <f t="shared" si="77"/>
        <v>8667.6</v>
      </c>
      <c r="I262" s="1337">
        <f t="shared" si="77"/>
        <v>15459.5407796122</v>
      </c>
      <c r="J262" s="1337">
        <f t="shared" si="77"/>
        <v>15459.5407796122</v>
      </c>
      <c r="K262" s="1337">
        <f t="shared" si="77"/>
        <v>17335.2</v>
      </c>
      <c r="L262" s="1337">
        <f t="shared" si="77"/>
        <v>17335.2</v>
      </c>
      <c r="M262" s="1337">
        <f t="shared" si="77"/>
        <v>17005.4948575734</v>
      </c>
      <c r="N262" s="1337">
        <f t="shared" si="77"/>
        <v>8667.6</v>
      </c>
      <c r="O262" s="1337">
        <f t="shared" si="77"/>
        <v>8667.6</v>
      </c>
      <c r="P262" s="1341">
        <f>SUM(D262:O262)</f>
        <v>141392.51719641</v>
      </c>
      <c r="Q262" s="326"/>
      <c r="R262" s="326"/>
      <c r="S262" s="326"/>
      <c r="T262" s="326"/>
      <c r="U262" s="326"/>
      <c r="V262" s="326"/>
      <c r="W262" s="326"/>
    </row>
    <row r="263" s="21" customFormat="1" spans="2:23">
      <c r="B263" s="1358"/>
      <c r="C263" s="1363" t="s">
        <v>321</v>
      </c>
      <c r="D263" s="1337">
        <f>D261*$D$80</f>
        <v>906.78279250944</v>
      </c>
      <c r="E263" s="1337">
        <f>E261*$D$80</f>
        <v>906.78279250944</v>
      </c>
      <c r="F263" s="1337">
        <f t="shared" ref="F263:O263" si="78">F261*$D260</f>
        <v>1041.6</v>
      </c>
      <c r="G263" s="1337">
        <f t="shared" si="78"/>
        <v>1041.6</v>
      </c>
      <c r="H263" s="1337">
        <f t="shared" si="78"/>
        <v>1041.6</v>
      </c>
      <c r="I263" s="1337">
        <f t="shared" si="78"/>
        <v>1857.79889197056</v>
      </c>
      <c r="J263" s="1337">
        <f t="shared" si="78"/>
        <v>1857.79889197056</v>
      </c>
      <c r="K263" s="1337">
        <f t="shared" si="78"/>
        <v>2083.2</v>
      </c>
      <c r="L263" s="1337">
        <f t="shared" si="78"/>
        <v>2083.2</v>
      </c>
      <c r="M263" s="1337">
        <f t="shared" si="78"/>
        <v>2043.57878116762</v>
      </c>
      <c r="N263" s="1337">
        <f t="shared" si="78"/>
        <v>1041.6</v>
      </c>
      <c r="O263" s="1337">
        <f t="shared" si="78"/>
        <v>1041.6</v>
      </c>
      <c r="P263" s="1341">
        <f>SUM(D263:O263)</f>
        <v>16947.1421501276</v>
      </c>
      <c r="Q263" s="326"/>
      <c r="R263" s="326"/>
      <c r="S263" s="326"/>
      <c r="T263" s="326"/>
      <c r="U263" s="326"/>
      <c r="V263" s="326"/>
      <c r="W263" s="326"/>
    </row>
    <row r="264" s="21" customFormat="1" spans="2:23">
      <c r="B264" s="1358"/>
      <c r="C264" s="1363" t="s">
        <v>322</v>
      </c>
      <c r="D264" s="1337">
        <f>D262-D263</f>
        <v>6822.98759729664</v>
      </c>
      <c r="E264" s="1337">
        <f t="shared" ref="E264:O264" si="79">E262-E263</f>
        <v>6822.98759729664</v>
      </c>
      <c r="F264" s="1337">
        <f t="shared" si="79"/>
        <v>7626</v>
      </c>
      <c r="G264" s="1337">
        <f t="shared" si="79"/>
        <v>7626</v>
      </c>
      <c r="H264" s="1337">
        <f t="shared" si="79"/>
        <v>7626</v>
      </c>
      <c r="I264" s="1337">
        <f t="shared" si="79"/>
        <v>13601.7418876416</v>
      </c>
      <c r="J264" s="1337">
        <f t="shared" si="79"/>
        <v>13601.7418876416</v>
      </c>
      <c r="K264" s="1337">
        <f t="shared" si="79"/>
        <v>15252</v>
      </c>
      <c r="L264" s="1337">
        <f t="shared" si="79"/>
        <v>15252</v>
      </c>
      <c r="M264" s="1337">
        <f t="shared" si="79"/>
        <v>14961.9160764058</v>
      </c>
      <c r="N264" s="1337">
        <f t="shared" si="79"/>
        <v>7626</v>
      </c>
      <c r="O264" s="1337">
        <f t="shared" si="79"/>
        <v>7626</v>
      </c>
      <c r="P264" s="1341">
        <f>SUM(D264:O264)</f>
        <v>124445.375046282</v>
      </c>
      <c r="Q264" s="326"/>
      <c r="R264" s="326"/>
      <c r="S264" s="326"/>
      <c r="T264" s="326"/>
      <c r="U264" s="326"/>
      <c r="V264" s="326"/>
      <c r="W264" s="326"/>
    </row>
    <row r="265" s="21" customFormat="1" spans="2:23">
      <c r="B265" s="548" t="s">
        <v>297</v>
      </c>
      <c r="C265" s="1363" t="s">
        <v>317</v>
      </c>
      <c r="D265" s="1354">
        <f>Price4_36MoPr(VarCostByProduct,B265)</f>
        <v>5.99</v>
      </c>
      <c r="E265" s="1330"/>
      <c r="F265" s="1330"/>
      <c r="G265" s="1330"/>
      <c r="H265" s="1331"/>
      <c r="I265" s="1333"/>
      <c r="J265" s="1333"/>
      <c r="K265" s="1333"/>
      <c r="L265" s="1333"/>
      <c r="M265" s="1333"/>
      <c r="N265" s="1333"/>
      <c r="O265" s="1333"/>
      <c r="P265" s="1341"/>
      <c r="Q265" s="326"/>
      <c r="R265" s="326"/>
      <c r="S265" s="326"/>
      <c r="T265" s="326"/>
      <c r="U265" s="326"/>
      <c r="V265" s="326"/>
      <c r="W265" s="326"/>
    </row>
    <row r="266" s="21" customFormat="1" spans="2:23">
      <c r="B266" s="1358"/>
      <c r="C266" s="1363" t="s">
        <v>318</v>
      </c>
      <c r="D266" s="1355">
        <f>Varcosts4_36MoPr(VarCostByProduct,B265)</f>
        <v>0.83</v>
      </c>
      <c r="E266" s="1333"/>
      <c r="F266" s="1333"/>
      <c r="G266" s="1333"/>
      <c r="H266" s="1333"/>
      <c r="I266" s="1333"/>
      <c r="J266" s="1333"/>
      <c r="K266" s="1333"/>
      <c r="L266" s="1333"/>
      <c r="M266" s="1333"/>
      <c r="N266" s="1333"/>
      <c r="O266" s="1333"/>
      <c r="P266" s="1341"/>
      <c r="Q266" s="326"/>
      <c r="R266" s="326"/>
      <c r="S266" s="326"/>
      <c r="T266" s="326"/>
      <c r="U266" s="326"/>
      <c r="V266" s="326"/>
      <c r="W266" s="326"/>
    </row>
    <row r="267" s="21" customFormat="1" spans="2:23">
      <c r="B267" s="1358"/>
      <c r="C267" s="1364" t="s">
        <v>319</v>
      </c>
      <c r="D267" s="1334">
        <f>Sales4_36MoPr(SalesJan,"FY-3",$B265)</f>
        <v>1105.832673792</v>
      </c>
      <c r="E267" s="1334">
        <f>Sales4_36MoPr(SalesFeb,"FY-3",$B265)</f>
        <v>1105.832673792</v>
      </c>
      <c r="F267" s="1334">
        <f>Sales4_36MoPr(SalesMar,"FY-3",$B265)</f>
        <v>1240</v>
      </c>
      <c r="G267" s="1334">
        <f>Sales4_36MoPr(SalesApr,"FY-3",$B265)</f>
        <v>1240</v>
      </c>
      <c r="H267" s="1334">
        <f>Sales4_36MoPr(SalesMay,"FY-3",$B265)</f>
        <v>1240</v>
      </c>
      <c r="I267" s="1334">
        <f>Sales4_36MoPr(SalesJun,"FY-3",$B265)</f>
        <v>2211.665347584</v>
      </c>
      <c r="J267" s="1334">
        <f>Sales4_36MoPr(SalesJul,"FY-3",$B265)</f>
        <v>2211.665347584</v>
      </c>
      <c r="K267" s="1334">
        <f>Sales4_36MoPr(SalesAug,"FY-3",$B265)</f>
        <v>2480</v>
      </c>
      <c r="L267" s="1334">
        <f>Sales4_36MoPr(SalesSep,"FY-3",$B265)</f>
        <v>2480</v>
      </c>
      <c r="M267" s="1334">
        <f>Sales4_36MoPr(SalesOct,"FY-3",$B265)</f>
        <v>2432.8318823424</v>
      </c>
      <c r="N267" s="1334">
        <f>Sales4_36MoPr(SalesNov,"FY-3",$B265)</f>
        <v>1240</v>
      </c>
      <c r="O267" s="1334">
        <f>Sales4_36MoPr(SalesDec,"FY-3",$B265)</f>
        <v>1240</v>
      </c>
      <c r="P267" s="1340">
        <f>SUM(D267:O267)</f>
        <v>20227.8279250944</v>
      </c>
      <c r="Q267" s="326"/>
      <c r="R267" s="326"/>
      <c r="S267" s="326"/>
      <c r="T267" s="326"/>
      <c r="U267" s="326"/>
      <c r="V267" s="326"/>
      <c r="W267" s="326"/>
    </row>
    <row r="268" s="21" customFormat="1" spans="2:23">
      <c r="B268" s="1365"/>
      <c r="C268" s="1363" t="s">
        <v>320</v>
      </c>
      <c r="D268" s="1337">
        <f t="shared" ref="D268:O268" si="80">D267*$D265</f>
        <v>6623.93771601408</v>
      </c>
      <c r="E268" s="1337">
        <f t="shared" si="80"/>
        <v>6623.93771601408</v>
      </c>
      <c r="F268" s="1337">
        <f t="shared" si="80"/>
        <v>7427.6</v>
      </c>
      <c r="G268" s="1337">
        <f t="shared" si="80"/>
        <v>7427.6</v>
      </c>
      <c r="H268" s="1337">
        <f t="shared" si="80"/>
        <v>7427.6</v>
      </c>
      <c r="I268" s="1337">
        <f t="shared" si="80"/>
        <v>13247.8754320282</v>
      </c>
      <c r="J268" s="1337">
        <f t="shared" si="80"/>
        <v>13247.8754320282</v>
      </c>
      <c r="K268" s="1337">
        <f t="shared" si="80"/>
        <v>14855.2</v>
      </c>
      <c r="L268" s="1337">
        <f t="shared" si="80"/>
        <v>14855.2</v>
      </c>
      <c r="M268" s="1337">
        <f t="shared" si="80"/>
        <v>14572.662975231</v>
      </c>
      <c r="N268" s="1337">
        <f t="shared" si="80"/>
        <v>7427.6</v>
      </c>
      <c r="O268" s="1337">
        <f t="shared" si="80"/>
        <v>7427.6</v>
      </c>
      <c r="P268" s="1341">
        <f>SUM(D268:O268)</f>
        <v>121164.689271315</v>
      </c>
      <c r="Q268" s="326"/>
      <c r="R268" s="326"/>
      <c r="S268" s="326"/>
      <c r="T268" s="326"/>
      <c r="U268" s="326"/>
      <c r="V268" s="326"/>
      <c r="W268" s="326"/>
    </row>
    <row r="269" s="21" customFormat="1" spans="2:23">
      <c r="B269" s="1358"/>
      <c r="C269" s="1363" t="s">
        <v>321</v>
      </c>
      <c r="D269" s="1337">
        <f>D267*$D$80</f>
        <v>906.78279250944</v>
      </c>
      <c r="E269" s="1337">
        <f>E267*$D$80</f>
        <v>906.78279250944</v>
      </c>
      <c r="F269" s="1337">
        <f t="shared" ref="F269:O269" si="81">F267*$D266</f>
        <v>1029.2</v>
      </c>
      <c r="G269" s="1337">
        <f t="shared" si="81"/>
        <v>1029.2</v>
      </c>
      <c r="H269" s="1337">
        <f t="shared" si="81"/>
        <v>1029.2</v>
      </c>
      <c r="I269" s="1337">
        <f t="shared" si="81"/>
        <v>1835.68223849472</v>
      </c>
      <c r="J269" s="1337">
        <f t="shared" si="81"/>
        <v>1835.68223849472</v>
      </c>
      <c r="K269" s="1337">
        <f t="shared" si="81"/>
        <v>2058.4</v>
      </c>
      <c r="L269" s="1337">
        <f t="shared" si="81"/>
        <v>2058.4</v>
      </c>
      <c r="M269" s="1337">
        <f t="shared" si="81"/>
        <v>2019.25046234419</v>
      </c>
      <c r="N269" s="1337">
        <f t="shared" si="81"/>
        <v>1029.2</v>
      </c>
      <c r="O269" s="1337">
        <f t="shared" si="81"/>
        <v>1029.2</v>
      </c>
      <c r="P269" s="1341">
        <f>SUM(D269:O269)</f>
        <v>16766.9805243525</v>
      </c>
      <c r="Q269" s="326"/>
      <c r="R269" s="326"/>
      <c r="S269" s="326"/>
      <c r="T269" s="326"/>
      <c r="U269" s="326"/>
      <c r="V269" s="326"/>
      <c r="W269" s="326"/>
    </row>
    <row r="270" s="21" customFormat="1" spans="2:23">
      <c r="B270" s="1358"/>
      <c r="C270" s="1363" t="s">
        <v>322</v>
      </c>
      <c r="D270" s="1337">
        <f>D268-D269</f>
        <v>5717.15492350464</v>
      </c>
      <c r="E270" s="1337">
        <f t="shared" ref="E270:O270" si="82">E268-E269</f>
        <v>5717.15492350464</v>
      </c>
      <c r="F270" s="1337">
        <f t="shared" si="82"/>
        <v>6398.4</v>
      </c>
      <c r="G270" s="1337">
        <f t="shared" si="82"/>
        <v>6398.4</v>
      </c>
      <c r="H270" s="1337">
        <f t="shared" si="82"/>
        <v>6398.4</v>
      </c>
      <c r="I270" s="1337">
        <f t="shared" si="82"/>
        <v>11412.1931935334</v>
      </c>
      <c r="J270" s="1337">
        <f t="shared" si="82"/>
        <v>11412.1931935334</v>
      </c>
      <c r="K270" s="1337">
        <f t="shared" si="82"/>
        <v>12796.8</v>
      </c>
      <c r="L270" s="1337">
        <f t="shared" si="82"/>
        <v>12796.8</v>
      </c>
      <c r="M270" s="1337">
        <f t="shared" si="82"/>
        <v>12553.4125128868</v>
      </c>
      <c r="N270" s="1337">
        <f t="shared" si="82"/>
        <v>6398.4</v>
      </c>
      <c r="O270" s="1337">
        <f t="shared" si="82"/>
        <v>6398.4</v>
      </c>
      <c r="P270" s="1341">
        <f>SUM(D270:O270)</f>
        <v>104397.708746963</v>
      </c>
      <c r="Q270" s="326"/>
      <c r="R270" s="326"/>
      <c r="S270" s="326"/>
      <c r="T270" s="326"/>
      <c r="U270" s="326"/>
      <c r="V270" s="326"/>
      <c r="W270" s="326"/>
    </row>
    <row r="271" s="21" customFormat="1" spans="2:23">
      <c r="B271" s="548" t="s">
        <v>298</v>
      </c>
      <c r="C271" s="1363" t="s">
        <v>317</v>
      </c>
      <c r="D271" s="1354">
        <f>Price4_36MoPr(VarCostByProduct,B271)</f>
        <v>5.99</v>
      </c>
      <c r="E271" s="1330"/>
      <c r="F271" s="1330"/>
      <c r="G271" s="1330"/>
      <c r="H271" s="1331"/>
      <c r="I271" s="1333"/>
      <c r="J271" s="1333"/>
      <c r="K271" s="1333"/>
      <c r="L271" s="1333"/>
      <c r="M271" s="1333"/>
      <c r="N271" s="1333"/>
      <c r="O271" s="1333"/>
      <c r="P271" s="1341"/>
      <c r="Q271" s="326"/>
      <c r="R271" s="326"/>
      <c r="S271" s="326"/>
      <c r="T271" s="326"/>
      <c r="U271" s="326"/>
      <c r="V271" s="326"/>
      <c r="W271" s="326"/>
    </row>
    <row r="272" s="21" customFormat="1" spans="2:23">
      <c r="B272" s="1358"/>
      <c r="C272" s="1363" t="s">
        <v>318</v>
      </c>
      <c r="D272" s="1355">
        <f>Varcosts4_36MoPr(VarCostByProduct,B271)</f>
        <v>0.83</v>
      </c>
      <c r="E272" s="1333"/>
      <c r="F272" s="1333"/>
      <c r="G272" s="1333"/>
      <c r="H272" s="1333"/>
      <c r="I272" s="1333"/>
      <c r="J272" s="1333"/>
      <c r="K272" s="1333"/>
      <c r="L272" s="1333"/>
      <c r="M272" s="1333"/>
      <c r="N272" s="1333"/>
      <c r="O272" s="1333"/>
      <c r="P272" s="1341"/>
      <c r="Q272" s="326"/>
      <c r="R272" s="326"/>
      <c r="S272" s="326"/>
      <c r="T272" s="326"/>
      <c r="U272" s="326"/>
      <c r="V272" s="326"/>
      <c r="W272" s="326"/>
    </row>
    <row r="273" s="21" customFormat="1" spans="2:23">
      <c r="B273" s="1358"/>
      <c r="C273" s="1364" t="s">
        <v>319</v>
      </c>
      <c r="D273" s="1334">
        <f>Sales4_36MoPr(SalesJan,"FY-3",$B271)</f>
        <v>1105.832673792</v>
      </c>
      <c r="E273" s="1334">
        <f>Sales4_36MoPr(SalesFeb,"FY-3",$B271)</f>
        <v>1105.832673792</v>
      </c>
      <c r="F273" s="1334">
        <f>Sales4_36MoPr(SalesMar,"FY-3",$B271)</f>
        <v>1240</v>
      </c>
      <c r="G273" s="1334">
        <f>Sales4_36MoPr(SalesApr,"FY-3",$B271)</f>
        <v>1240</v>
      </c>
      <c r="H273" s="1334">
        <f>Sales4_36MoPr(SalesMay,"FY-3",$B271)</f>
        <v>1240</v>
      </c>
      <c r="I273" s="1334">
        <f>Sales4_36MoPr(SalesJun,"FY-3",$B271)</f>
        <v>2211.665347584</v>
      </c>
      <c r="J273" s="1334">
        <f>Sales4_36MoPr(SalesJul,"FY-3",$B271)</f>
        <v>2211.665347584</v>
      </c>
      <c r="K273" s="1334">
        <f>Sales4_36MoPr(SalesAug,"FY-3",$B271)</f>
        <v>2480</v>
      </c>
      <c r="L273" s="1334">
        <f>Sales4_36MoPr(SalesSep,"FY-3",$B271)</f>
        <v>2480</v>
      </c>
      <c r="M273" s="1334">
        <f>Sales4_36MoPr(SalesOct,"FY-3",$B271)</f>
        <v>2432.8318823424</v>
      </c>
      <c r="N273" s="1334">
        <f>Sales4_36MoPr(SalesNov,"FY-3",$B271)</f>
        <v>1240</v>
      </c>
      <c r="O273" s="1334">
        <f>Sales4_36MoPr(SalesDec,"FY-3",$B271)</f>
        <v>1240</v>
      </c>
      <c r="P273" s="1340">
        <f>SUM(D273:O273)</f>
        <v>20227.8279250944</v>
      </c>
      <c r="Q273" s="326"/>
      <c r="R273" s="326"/>
      <c r="S273" s="326"/>
      <c r="T273" s="326"/>
      <c r="U273" s="326"/>
      <c r="V273" s="326"/>
      <c r="W273" s="326"/>
    </row>
    <row r="274" s="21" customFormat="1" spans="2:23">
      <c r="B274" s="1365"/>
      <c r="C274" s="1363" t="s">
        <v>320</v>
      </c>
      <c r="D274" s="1337">
        <f t="shared" ref="D274:O274" si="83">D273*$D271</f>
        <v>6623.93771601408</v>
      </c>
      <c r="E274" s="1337">
        <f t="shared" si="83"/>
        <v>6623.93771601408</v>
      </c>
      <c r="F274" s="1337">
        <f t="shared" si="83"/>
        <v>7427.6</v>
      </c>
      <c r="G274" s="1337">
        <f t="shared" si="83"/>
        <v>7427.6</v>
      </c>
      <c r="H274" s="1337">
        <f t="shared" si="83"/>
        <v>7427.6</v>
      </c>
      <c r="I274" s="1337">
        <f t="shared" si="83"/>
        <v>13247.8754320282</v>
      </c>
      <c r="J274" s="1337">
        <f t="shared" si="83"/>
        <v>13247.8754320282</v>
      </c>
      <c r="K274" s="1337">
        <f t="shared" si="83"/>
        <v>14855.2</v>
      </c>
      <c r="L274" s="1337">
        <f t="shared" si="83"/>
        <v>14855.2</v>
      </c>
      <c r="M274" s="1337">
        <f t="shared" si="83"/>
        <v>14572.662975231</v>
      </c>
      <c r="N274" s="1337">
        <f t="shared" si="83"/>
        <v>7427.6</v>
      </c>
      <c r="O274" s="1337">
        <f t="shared" si="83"/>
        <v>7427.6</v>
      </c>
      <c r="P274" s="1341">
        <f>SUM(D274:O274)</f>
        <v>121164.689271315</v>
      </c>
      <c r="Q274" s="326"/>
      <c r="R274" s="326"/>
      <c r="S274" s="326"/>
      <c r="T274" s="326"/>
      <c r="U274" s="326"/>
      <c r="V274" s="326"/>
      <c r="W274" s="326"/>
    </row>
    <row r="275" s="21" customFormat="1" spans="2:23">
      <c r="B275" s="1358"/>
      <c r="C275" s="1363" t="s">
        <v>321</v>
      </c>
      <c r="D275" s="1337">
        <f>D273*$D$80</f>
        <v>906.78279250944</v>
      </c>
      <c r="E275" s="1337">
        <f>E273*$D$80</f>
        <v>906.78279250944</v>
      </c>
      <c r="F275" s="1337">
        <f t="shared" ref="F275:O275" si="84">F273*$D272</f>
        <v>1029.2</v>
      </c>
      <c r="G275" s="1337">
        <f t="shared" si="84"/>
        <v>1029.2</v>
      </c>
      <c r="H275" s="1337">
        <f t="shared" si="84"/>
        <v>1029.2</v>
      </c>
      <c r="I275" s="1337">
        <f t="shared" si="84"/>
        <v>1835.68223849472</v>
      </c>
      <c r="J275" s="1337">
        <f t="shared" si="84"/>
        <v>1835.68223849472</v>
      </c>
      <c r="K275" s="1337">
        <f t="shared" si="84"/>
        <v>2058.4</v>
      </c>
      <c r="L275" s="1337">
        <f t="shared" si="84"/>
        <v>2058.4</v>
      </c>
      <c r="M275" s="1337">
        <f t="shared" si="84"/>
        <v>2019.25046234419</v>
      </c>
      <c r="N275" s="1337">
        <f t="shared" si="84"/>
        <v>1029.2</v>
      </c>
      <c r="O275" s="1337">
        <f t="shared" si="84"/>
        <v>1029.2</v>
      </c>
      <c r="P275" s="1341">
        <f>SUM(D275:O275)</f>
        <v>16766.9805243525</v>
      </c>
      <c r="Q275" s="326"/>
      <c r="R275" s="326"/>
      <c r="S275" s="326"/>
      <c r="T275" s="326"/>
      <c r="U275" s="326"/>
      <c r="V275" s="326"/>
      <c r="W275" s="326"/>
    </row>
    <row r="276" s="21" customFormat="1" spans="2:23">
      <c r="B276" s="1358"/>
      <c r="C276" s="1363" t="s">
        <v>322</v>
      </c>
      <c r="D276" s="1337">
        <f>D274-D275</f>
        <v>5717.15492350464</v>
      </c>
      <c r="E276" s="1337">
        <f t="shared" ref="E276:O276" si="85">E274-E275</f>
        <v>5717.15492350464</v>
      </c>
      <c r="F276" s="1337">
        <f t="shared" si="85"/>
        <v>6398.4</v>
      </c>
      <c r="G276" s="1337">
        <f t="shared" si="85"/>
        <v>6398.4</v>
      </c>
      <c r="H276" s="1337">
        <f t="shared" si="85"/>
        <v>6398.4</v>
      </c>
      <c r="I276" s="1337">
        <f t="shared" si="85"/>
        <v>11412.1931935334</v>
      </c>
      <c r="J276" s="1337">
        <f t="shared" si="85"/>
        <v>11412.1931935334</v>
      </c>
      <c r="K276" s="1337">
        <f t="shared" si="85"/>
        <v>12796.8</v>
      </c>
      <c r="L276" s="1337">
        <f t="shared" si="85"/>
        <v>12796.8</v>
      </c>
      <c r="M276" s="1337">
        <f t="shared" si="85"/>
        <v>12553.4125128868</v>
      </c>
      <c r="N276" s="1337">
        <f t="shared" si="85"/>
        <v>6398.4</v>
      </c>
      <c r="O276" s="1337">
        <f t="shared" si="85"/>
        <v>6398.4</v>
      </c>
      <c r="P276" s="1341">
        <f>SUM(D276:O276)</f>
        <v>104397.708746963</v>
      </c>
      <c r="Q276" s="326"/>
      <c r="R276" s="326"/>
      <c r="S276" s="326"/>
      <c r="T276" s="326"/>
      <c r="U276" s="326"/>
      <c r="V276" s="326"/>
      <c r="W276" s="326"/>
    </row>
    <row r="277" s="21" customFormat="1" spans="2:23">
      <c r="B277" s="548" t="s">
        <v>299</v>
      </c>
      <c r="C277" s="1363" t="s">
        <v>317</v>
      </c>
      <c r="D277" s="1354">
        <f>Price4_36MoPr(VarCostByProduct,B277)</f>
        <v>2.45</v>
      </c>
      <c r="E277" s="1330"/>
      <c r="F277" s="1330"/>
      <c r="G277" s="1330"/>
      <c r="H277" s="1331"/>
      <c r="I277" s="1333"/>
      <c r="J277" s="1333"/>
      <c r="K277" s="1333"/>
      <c r="L277" s="1333"/>
      <c r="M277" s="1333"/>
      <c r="N277" s="1333"/>
      <c r="O277" s="1333"/>
      <c r="P277" s="1341"/>
      <c r="Q277" s="326"/>
      <c r="R277" s="326"/>
      <c r="S277" s="326"/>
      <c r="T277" s="326"/>
      <c r="U277" s="326"/>
      <c r="V277" s="326"/>
      <c r="W277" s="326"/>
    </row>
    <row r="278" s="21" customFormat="1" spans="2:23">
      <c r="B278" s="1358"/>
      <c r="C278" s="1363" t="s">
        <v>318</v>
      </c>
      <c r="D278" s="1355">
        <f>Varcosts4_36MoPr(VarCostByProduct,B277)</f>
        <v>0.82</v>
      </c>
      <c r="E278" s="1333"/>
      <c r="F278" s="1333"/>
      <c r="G278" s="1333"/>
      <c r="H278" s="1333"/>
      <c r="I278" s="1333"/>
      <c r="J278" s="1333"/>
      <c r="K278" s="1333"/>
      <c r="L278" s="1333"/>
      <c r="M278" s="1333"/>
      <c r="N278" s="1333"/>
      <c r="O278" s="1333"/>
      <c r="P278" s="1341"/>
      <c r="Q278" s="326"/>
      <c r="R278" s="326"/>
      <c r="S278" s="326"/>
      <c r="T278" s="326"/>
      <c r="U278" s="326"/>
      <c r="V278" s="326"/>
      <c r="W278" s="326"/>
    </row>
    <row r="279" s="21" customFormat="1" spans="2:23">
      <c r="B279" s="1358"/>
      <c r="C279" s="1364" t="s">
        <v>319</v>
      </c>
      <c r="D279" s="1334">
        <f>Sales4_36MoPr(SalesJan,"FY-3",$B277)</f>
        <v>2948.887130112</v>
      </c>
      <c r="E279" s="1334">
        <f>Sales4_36MoPr(SalesFeb,"FY-3",$B277)</f>
        <v>2948.887130112</v>
      </c>
      <c r="F279" s="1334">
        <f>Sales4_36MoPr(SalesMar,"FY-3",$B277)</f>
        <v>2948.887130112</v>
      </c>
      <c r="G279" s="1334">
        <f>Sales4_36MoPr(SalesApr,"FY-3",$B277)</f>
        <v>10514.7751605996</v>
      </c>
      <c r="H279" s="1334">
        <f>Sales4_36MoPr(SalesMay,"FY-3",$B277)</f>
        <v>10472.1689059501</v>
      </c>
      <c r="I279" s="1334">
        <f>Sales4_36MoPr(SalesJun,"FY-3",$B277)</f>
        <v>12999.6879875195</v>
      </c>
      <c r="J279" s="1334">
        <f>Sales4_36MoPr(SalesJul,"FY-3",$B277)</f>
        <v>12999.6879875195</v>
      </c>
      <c r="K279" s="1334">
        <f>Sales4_36MoPr(SalesAug,"FY-3",$B277)</f>
        <v>11670.5882352941</v>
      </c>
      <c r="L279" s="1334">
        <f>Sales4_36MoPr(SalesSep,"FY-3",$B277)</f>
        <v>11670.5882352941</v>
      </c>
      <c r="M279" s="1334">
        <f>Sales4_36MoPr(SalesOct,"FY-3",$B277)</f>
        <v>10750.7389162562</v>
      </c>
      <c r="N279" s="1334">
        <f>Sales4_36MoPr(SalesNov,"FY-3",$B277)</f>
        <v>2669.05829596413</v>
      </c>
      <c r="O279" s="1334">
        <f>Sales4_36MoPr(SalesDec,"FY-3",$B277)</f>
        <v>2669.05829596413</v>
      </c>
      <c r="P279" s="1340">
        <f>SUM(D279:O279)</f>
        <v>95263.0134106973</v>
      </c>
      <c r="Q279" s="326"/>
      <c r="R279" s="326"/>
      <c r="S279" s="326"/>
      <c r="T279" s="326"/>
      <c r="U279" s="326"/>
      <c r="V279" s="326"/>
      <c r="W279" s="326"/>
    </row>
    <row r="280" s="21" customFormat="1" spans="2:23">
      <c r="B280" s="1365"/>
      <c r="C280" s="1363" t="s">
        <v>320</v>
      </c>
      <c r="D280" s="1337">
        <f t="shared" ref="D280:O280" si="86">D279*$D277</f>
        <v>7224.7734687744</v>
      </c>
      <c r="E280" s="1337">
        <f t="shared" si="86"/>
        <v>7224.7734687744</v>
      </c>
      <c r="F280" s="1337">
        <f t="shared" si="86"/>
        <v>7224.7734687744</v>
      </c>
      <c r="G280" s="1337">
        <f t="shared" si="86"/>
        <v>25761.199143469</v>
      </c>
      <c r="H280" s="1337">
        <f t="shared" si="86"/>
        <v>25656.8138195777</v>
      </c>
      <c r="I280" s="1337">
        <f t="shared" si="86"/>
        <v>31849.2355694228</v>
      </c>
      <c r="J280" s="1337">
        <f t="shared" si="86"/>
        <v>31849.2355694228</v>
      </c>
      <c r="K280" s="1337">
        <f t="shared" si="86"/>
        <v>28592.9411764706</v>
      </c>
      <c r="L280" s="1337">
        <f t="shared" si="86"/>
        <v>28592.9411764706</v>
      </c>
      <c r="M280" s="1337">
        <f t="shared" si="86"/>
        <v>26339.3103448276</v>
      </c>
      <c r="N280" s="1337">
        <f t="shared" si="86"/>
        <v>6539.19282511211</v>
      </c>
      <c r="O280" s="1337">
        <f t="shared" si="86"/>
        <v>6539.19282511211</v>
      </c>
      <c r="P280" s="1341">
        <f>SUM(D280:O280)</f>
        <v>233394.382856208</v>
      </c>
      <c r="Q280" s="326"/>
      <c r="R280" s="326"/>
      <c r="S280" s="326"/>
      <c r="T280" s="326"/>
      <c r="U280" s="326"/>
      <c r="V280" s="326"/>
      <c r="W280" s="326"/>
    </row>
    <row r="281" s="21" customFormat="1" spans="2:23">
      <c r="B281" s="1358"/>
      <c r="C281" s="1363" t="s">
        <v>321</v>
      </c>
      <c r="D281" s="1337">
        <f>D279*$D$80</f>
        <v>2418.08744669184</v>
      </c>
      <c r="E281" s="1337">
        <f>E279*$D$80</f>
        <v>2418.08744669184</v>
      </c>
      <c r="F281" s="1337">
        <f t="shared" ref="F281:O281" si="87">F279*$D278</f>
        <v>2418.08744669184</v>
      </c>
      <c r="G281" s="1337">
        <f t="shared" si="87"/>
        <v>8622.11563169165</v>
      </c>
      <c r="H281" s="1337">
        <f t="shared" si="87"/>
        <v>8587.17850287908</v>
      </c>
      <c r="I281" s="1337">
        <f t="shared" si="87"/>
        <v>10659.744149766</v>
      </c>
      <c r="J281" s="1337">
        <f t="shared" si="87"/>
        <v>10659.744149766</v>
      </c>
      <c r="K281" s="1337">
        <f t="shared" si="87"/>
        <v>9569.88235294118</v>
      </c>
      <c r="L281" s="1337">
        <f t="shared" si="87"/>
        <v>9569.88235294118</v>
      </c>
      <c r="M281" s="1337">
        <f t="shared" si="87"/>
        <v>8815.60591133005</v>
      </c>
      <c r="N281" s="1337">
        <f t="shared" si="87"/>
        <v>2188.62780269058</v>
      </c>
      <c r="O281" s="1337">
        <f t="shared" si="87"/>
        <v>2188.62780269058</v>
      </c>
      <c r="P281" s="1341">
        <f>SUM(D281:O281)</f>
        <v>78115.6709967718</v>
      </c>
      <c r="Q281" s="326"/>
      <c r="R281" s="326"/>
      <c r="S281" s="326"/>
      <c r="T281" s="326"/>
      <c r="U281" s="326"/>
      <c r="V281" s="326"/>
      <c r="W281" s="326"/>
    </row>
    <row r="282" s="21" customFormat="1" spans="2:23">
      <c r="B282" s="1358"/>
      <c r="C282" s="1363" t="s">
        <v>322</v>
      </c>
      <c r="D282" s="1337">
        <f>D280-D281</f>
        <v>4806.68602208256</v>
      </c>
      <c r="E282" s="1337">
        <f t="shared" ref="E282:O282" si="88">E280-E281</f>
        <v>4806.68602208256</v>
      </c>
      <c r="F282" s="1337">
        <f t="shared" si="88"/>
        <v>4806.68602208256</v>
      </c>
      <c r="G282" s="1337">
        <f t="shared" si="88"/>
        <v>17139.0835117773</v>
      </c>
      <c r="H282" s="1337">
        <f t="shared" si="88"/>
        <v>17069.6353166987</v>
      </c>
      <c r="I282" s="1337">
        <f t="shared" si="88"/>
        <v>21189.4914196568</v>
      </c>
      <c r="J282" s="1337">
        <f t="shared" si="88"/>
        <v>21189.4914196568</v>
      </c>
      <c r="K282" s="1337">
        <f t="shared" si="88"/>
        <v>19023.0588235294</v>
      </c>
      <c r="L282" s="1337">
        <f t="shared" si="88"/>
        <v>19023.0588235294</v>
      </c>
      <c r="M282" s="1337">
        <f t="shared" si="88"/>
        <v>17523.7044334975</v>
      </c>
      <c r="N282" s="1337">
        <f t="shared" si="88"/>
        <v>4350.56502242153</v>
      </c>
      <c r="O282" s="1337">
        <f t="shared" si="88"/>
        <v>4350.56502242153</v>
      </c>
      <c r="P282" s="1341">
        <f>SUM(D282:O282)</f>
        <v>155278.711859437</v>
      </c>
      <c r="Q282" s="326"/>
      <c r="R282" s="326"/>
      <c r="S282" s="326"/>
      <c r="T282" s="326"/>
      <c r="U282" s="326"/>
      <c r="V282" s="326"/>
      <c r="W282" s="326"/>
    </row>
    <row r="283" s="21" customFormat="1" spans="2:23">
      <c r="B283" s="548" t="s">
        <v>300</v>
      </c>
      <c r="C283" s="1363" t="s">
        <v>317</v>
      </c>
      <c r="D283" s="1354">
        <f>Price4_36MoPr(VarCostByProduct,B283)</f>
        <v>2.99</v>
      </c>
      <c r="E283" s="1330"/>
      <c r="F283" s="1330"/>
      <c r="G283" s="1330"/>
      <c r="H283" s="1331"/>
      <c r="I283" s="1333"/>
      <c r="J283" s="1333"/>
      <c r="K283" s="1333"/>
      <c r="L283" s="1333"/>
      <c r="M283" s="1333"/>
      <c r="N283" s="1333"/>
      <c r="O283" s="1333"/>
      <c r="P283" s="1341"/>
      <c r="Q283" s="326"/>
      <c r="R283" s="326"/>
      <c r="S283" s="326"/>
      <c r="T283" s="326"/>
      <c r="U283" s="326"/>
      <c r="V283" s="326"/>
      <c r="W283" s="326"/>
    </row>
    <row r="284" s="21" customFormat="1" spans="2:23">
      <c r="B284" s="1358"/>
      <c r="C284" s="1363" t="s">
        <v>318</v>
      </c>
      <c r="D284" s="1355">
        <f>Varcosts4_36MoPr(VarCostByProduct,B283)</f>
        <v>0.86</v>
      </c>
      <c r="E284" s="1333"/>
      <c r="F284" s="1333"/>
      <c r="G284" s="1333"/>
      <c r="H284" s="1333"/>
      <c r="I284" s="1333"/>
      <c r="J284" s="1333"/>
      <c r="K284" s="1333"/>
      <c r="L284" s="1333"/>
      <c r="M284" s="1333"/>
      <c r="N284" s="1333"/>
      <c r="O284" s="1333"/>
      <c r="P284" s="1341"/>
      <c r="Q284" s="326"/>
      <c r="R284" s="326"/>
      <c r="S284" s="326"/>
      <c r="T284" s="326"/>
      <c r="U284" s="326"/>
      <c r="V284" s="326"/>
      <c r="W284" s="326"/>
    </row>
    <row r="285" s="21" customFormat="1" spans="2:23">
      <c r="B285" s="1358"/>
      <c r="C285" s="1364" t="s">
        <v>319</v>
      </c>
      <c r="D285" s="1334">
        <f>Sales4_36MoPr(SalesJan,"FY-3",$B283)</f>
        <v>2735.29411764706</v>
      </c>
      <c r="E285" s="1334">
        <f>Sales4_36MoPr(SalesFeb,"FY-3",$B283)</f>
        <v>2861.53846153846</v>
      </c>
      <c r="F285" s="1334">
        <f>Sales4_36MoPr(SalesMar,"FY-3",$B283)</f>
        <v>2735.29411764706</v>
      </c>
      <c r="G285" s="1334">
        <f>Sales4_36MoPr(SalesApr,"FY-3",$B283)</f>
        <v>10162.2516556291</v>
      </c>
      <c r="H285" s="1334">
        <f>Sales4_36MoPr(SalesMay,"FY-3",$B283)</f>
        <v>10508.4745762712</v>
      </c>
      <c r="I285" s="1334">
        <f>Sales4_36MoPr(SalesJun,"FY-3",$B283)</f>
        <v>13036.2953692115</v>
      </c>
      <c r="J285" s="1334">
        <f>Sales4_36MoPr(SalesJul,"FY-3",$B283)</f>
        <v>13036.2953692115</v>
      </c>
      <c r="K285" s="1334">
        <f>Sales4_36MoPr(SalesAug,"FY-3",$B283)</f>
        <v>11708.1545064378</v>
      </c>
      <c r="L285" s="1334">
        <f>Sales4_36MoPr(SalesSep,"FY-3",$B283)</f>
        <v>11708.1545064378</v>
      </c>
      <c r="M285" s="1334">
        <f>Sales4_36MoPr(SalesOct,"FY-3",$B283)</f>
        <v>10508.4745762712</v>
      </c>
      <c r="N285" s="1334">
        <f>Sales4_36MoPr(SalesNov,"FY-3",$B283)</f>
        <v>2735.29411764706</v>
      </c>
      <c r="O285" s="1334">
        <f>Sales4_36MoPr(SalesDec,"FY-3",$B283)</f>
        <v>2861.53846153846</v>
      </c>
      <c r="P285" s="1340">
        <f>SUM(D285:O285)</f>
        <v>94597.0598354882</v>
      </c>
      <c r="Q285" s="326"/>
      <c r="R285" s="326"/>
      <c r="S285" s="326"/>
      <c r="T285" s="326"/>
      <c r="U285" s="326"/>
      <c r="V285" s="326"/>
      <c r="W285" s="326"/>
    </row>
    <row r="286" s="21" customFormat="1" spans="2:23">
      <c r="B286" s="1365"/>
      <c r="C286" s="1363" t="s">
        <v>320</v>
      </c>
      <c r="D286" s="1337">
        <f t="shared" ref="D286:O286" si="89">D285*$D283</f>
        <v>8178.52941176471</v>
      </c>
      <c r="E286" s="1337">
        <f t="shared" si="89"/>
        <v>8556</v>
      </c>
      <c r="F286" s="1337">
        <f t="shared" si="89"/>
        <v>8178.52941176471</v>
      </c>
      <c r="G286" s="1337">
        <f t="shared" si="89"/>
        <v>30385.1324503311</v>
      </c>
      <c r="H286" s="1337">
        <f t="shared" si="89"/>
        <v>31420.3389830508</v>
      </c>
      <c r="I286" s="1337">
        <f t="shared" si="89"/>
        <v>38978.5231539424</v>
      </c>
      <c r="J286" s="1337">
        <f t="shared" si="89"/>
        <v>38978.5231539424</v>
      </c>
      <c r="K286" s="1337">
        <f t="shared" si="89"/>
        <v>35007.3819742489</v>
      </c>
      <c r="L286" s="1337">
        <f t="shared" si="89"/>
        <v>35007.3819742489</v>
      </c>
      <c r="M286" s="1337">
        <f t="shared" si="89"/>
        <v>31420.3389830508</v>
      </c>
      <c r="N286" s="1337">
        <f t="shared" si="89"/>
        <v>8178.52941176471</v>
      </c>
      <c r="O286" s="1337">
        <f t="shared" si="89"/>
        <v>8556</v>
      </c>
      <c r="P286" s="1341">
        <f>SUM(D286:O286)</f>
        <v>282845.20890811</v>
      </c>
      <c r="Q286" s="326"/>
      <c r="R286" s="326"/>
      <c r="S286" s="326"/>
      <c r="T286" s="326"/>
      <c r="U286" s="326"/>
      <c r="V286" s="326"/>
      <c r="W286" s="326"/>
    </row>
    <row r="287" s="21" customFormat="1" spans="2:23">
      <c r="B287" s="1358"/>
      <c r="C287" s="1363" t="s">
        <v>321</v>
      </c>
      <c r="D287" s="1337">
        <f>D285*$D$80</f>
        <v>2242.94117647059</v>
      </c>
      <c r="E287" s="1337">
        <f>E285*$D$80</f>
        <v>2346.46153846154</v>
      </c>
      <c r="F287" s="1337">
        <f t="shared" ref="F287:O287" si="90">F285*$D284</f>
        <v>2352.35294117647</v>
      </c>
      <c r="G287" s="1337">
        <f t="shared" si="90"/>
        <v>8739.53642384106</v>
      </c>
      <c r="H287" s="1337">
        <f t="shared" si="90"/>
        <v>9037.28813559322</v>
      </c>
      <c r="I287" s="1337">
        <f t="shared" si="90"/>
        <v>11211.2140175219</v>
      </c>
      <c r="J287" s="1337">
        <f t="shared" si="90"/>
        <v>11211.2140175219</v>
      </c>
      <c r="K287" s="1337">
        <f t="shared" si="90"/>
        <v>10069.0128755365</v>
      </c>
      <c r="L287" s="1337">
        <f t="shared" si="90"/>
        <v>10069.0128755365</v>
      </c>
      <c r="M287" s="1337">
        <f t="shared" si="90"/>
        <v>9037.28813559322</v>
      </c>
      <c r="N287" s="1337">
        <f t="shared" si="90"/>
        <v>2352.35294117647</v>
      </c>
      <c r="O287" s="1337">
        <f t="shared" si="90"/>
        <v>2460.92307692308</v>
      </c>
      <c r="P287" s="1341">
        <f>SUM(D287:O287)</f>
        <v>81129.5981553524</v>
      </c>
      <c r="Q287" s="326"/>
      <c r="R287" s="326"/>
      <c r="S287" s="326"/>
      <c r="T287" s="326"/>
      <c r="U287" s="326"/>
      <c r="V287" s="326"/>
      <c r="W287" s="326"/>
    </row>
    <row r="288" s="21" customFormat="1" spans="2:23">
      <c r="B288" s="1358"/>
      <c r="C288" s="1363" t="s">
        <v>322</v>
      </c>
      <c r="D288" s="1337">
        <f>D286-D287</f>
        <v>5935.58823529412</v>
      </c>
      <c r="E288" s="1337">
        <f t="shared" ref="E288:O288" si="91">E286-E287</f>
        <v>6209.53846153846</v>
      </c>
      <c r="F288" s="1337">
        <f t="shared" si="91"/>
        <v>5826.17647058824</v>
      </c>
      <c r="G288" s="1337">
        <f t="shared" si="91"/>
        <v>21645.5960264901</v>
      </c>
      <c r="H288" s="1337">
        <f t="shared" si="91"/>
        <v>22383.0508474576</v>
      </c>
      <c r="I288" s="1337">
        <f t="shared" si="91"/>
        <v>27767.3091364205</v>
      </c>
      <c r="J288" s="1337">
        <f t="shared" si="91"/>
        <v>27767.3091364205</v>
      </c>
      <c r="K288" s="1337">
        <f t="shared" si="91"/>
        <v>24938.3690987125</v>
      </c>
      <c r="L288" s="1337">
        <f t="shared" si="91"/>
        <v>24938.3690987125</v>
      </c>
      <c r="M288" s="1337">
        <f t="shared" si="91"/>
        <v>22383.0508474576</v>
      </c>
      <c r="N288" s="1337">
        <f t="shared" si="91"/>
        <v>5826.17647058824</v>
      </c>
      <c r="O288" s="1337">
        <f t="shared" si="91"/>
        <v>6095.07692307692</v>
      </c>
      <c r="P288" s="1341">
        <f>SUM(D288:O288)</f>
        <v>201715.610752757</v>
      </c>
      <c r="Q288" s="326"/>
      <c r="R288" s="326"/>
      <c r="S288" s="326"/>
      <c r="T288" s="326"/>
      <c r="U288" s="326"/>
      <c r="V288" s="326"/>
      <c r="W288" s="326"/>
    </row>
    <row r="289" s="21" customFormat="1" spans="2:23">
      <c r="B289" s="548" t="s">
        <v>301</v>
      </c>
      <c r="C289" s="1363" t="s">
        <v>317</v>
      </c>
      <c r="D289" s="1354">
        <f>Price4_36MoPr(VarCostByProduct,B289)</f>
        <v>1.99</v>
      </c>
      <c r="E289" s="1330"/>
      <c r="F289" s="1330"/>
      <c r="G289" s="1330"/>
      <c r="H289" s="1331"/>
      <c r="I289" s="1333"/>
      <c r="J289" s="1333"/>
      <c r="K289" s="1333"/>
      <c r="L289" s="1333"/>
      <c r="M289" s="1333"/>
      <c r="N289" s="1333"/>
      <c r="O289" s="1333"/>
      <c r="P289" s="1341"/>
      <c r="Q289" s="326"/>
      <c r="R289" s="326"/>
      <c r="S289" s="326"/>
      <c r="T289" s="326"/>
      <c r="U289" s="326"/>
      <c r="V289" s="326"/>
      <c r="W289" s="326"/>
    </row>
    <row r="290" s="21" customFormat="1" spans="2:23">
      <c r="B290" s="1358"/>
      <c r="C290" s="1363" t="s">
        <v>318</v>
      </c>
      <c r="D290" s="1355">
        <f>Varcosts4_36MoPr(VarCostByProduct,B289)</f>
        <v>0.83</v>
      </c>
      <c r="E290" s="1333"/>
      <c r="F290" s="1333"/>
      <c r="G290" s="1333"/>
      <c r="H290" s="1333"/>
      <c r="I290" s="1333"/>
      <c r="J290" s="1333"/>
      <c r="K290" s="1333"/>
      <c r="L290" s="1333"/>
      <c r="M290" s="1333"/>
      <c r="N290" s="1333"/>
      <c r="O290" s="1333"/>
      <c r="P290" s="1341"/>
      <c r="Q290" s="326"/>
      <c r="R290" s="326"/>
      <c r="S290" s="326"/>
      <c r="T290" s="326"/>
      <c r="U290" s="326"/>
      <c r="V290" s="326"/>
      <c r="W290" s="326"/>
    </row>
    <row r="291" s="21" customFormat="1" spans="2:23">
      <c r="B291" s="1358"/>
      <c r="C291" s="1364" t="s">
        <v>319</v>
      </c>
      <c r="D291" s="1334">
        <f>Sales4_36MoPr(SalesJan,"FY-3",$B289)</f>
        <v>510.1152442368</v>
      </c>
      <c r="E291" s="1334">
        <f>Sales4_36MoPr(SalesFeb,"FY-3",$B289)</f>
        <v>510.115244236798</v>
      </c>
      <c r="F291" s="1334">
        <f>Sales4_36MoPr(SalesMar,"FY-3",$B289)</f>
        <v>107.613265612801</v>
      </c>
      <c r="G291" s="1334">
        <f>Sales4_36MoPr(SalesApr,"FY-3",$B289)</f>
        <v>0</v>
      </c>
      <c r="H291" s="1334">
        <f>Sales4_36MoPr(SalesMay,"FY-3",$B289)</f>
        <v>145.225652945919</v>
      </c>
      <c r="I291" s="1334">
        <f>Sales4_36MoPr(SalesJun,"FY-3",$B289)</f>
        <v>1049.7545508352</v>
      </c>
      <c r="J291" s="1334">
        <f>Sales4_36MoPr(SalesJul,"FY-3",$B289)</f>
        <v>1049.7545508352</v>
      </c>
      <c r="K291" s="1334">
        <f>Sales4_36MoPr(SalesAug,"FY-3",$B289)</f>
        <v>244.750593587196</v>
      </c>
      <c r="L291" s="1334">
        <f>Sales4_36MoPr(SalesSep,"FY-3",$B289)</f>
        <v>244.750593587196</v>
      </c>
      <c r="M291" s="1334">
        <f>Sales4_36MoPr(SalesOct,"FY-3",$B289)</f>
        <v>386.254946560002</v>
      </c>
      <c r="N291" s="1334">
        <f>Sales4_36MoPr(SalesNov,"FY-3",$B289)</f>
        <v>45.7007123046387</v>
      </c>
      <c r="O291" s="1334">
        <f>Sales4_36MoPr(SalesDec,"FY-3",$B289)</f>
        <v>0</v>
      </c>
      <c r="P291" s="1340">
        <f>SUM(D291:O291)</f>
        <v>4294.03535474175</v>
      </c>
      <c r="Q291" s="326"/>
      <c r="R291" s="326"/>
      <c r="S291" s="326"/>
      <c r="T291" s="326"/>
      <c r="U291" s="326"/>
      <c r="V291" s="326"/>
      <c r="W291" s="326"/>
    </row>
    <row r="292" s="21" customFormat="1" spans="2:23">
      <c r="B292" s="1365"/>
      <c r="C292" s="1363" t="s">
        <v>320</v>
      </c>
      <c r="D292" s="1337">
        <f t="shared" ref="D292:O292" si="92">D291*$D289</f>
        <v>1015.12933603123</v>
      </c>
      <c r="E292" s="1337">
        <f t="shared" si="92"/>
        <v>1015.12933603123</v>
      </c>
      <c r="F292" s="1337">
        <f t="shared" si="92"/>
        <v>214.150398569474</v>
      </c>
      <c r="G292" s="1337">
        <f t="shared" si="92"/>
        <v>0</v>
      </c>
      <c r="H292" s="1337">
        <f t="shared" si="92"/>
        <v>288.999049362379</v>
      </c>
      <c r="I292" s="1337">
        <f t="shared" si="92"/>
        <v>2089.01155616204</v>
      </c>
      <c r="J292" s="1337">
        <f t="shared" si="92"/>
        <v>2089.01155616204</v>
      </c>
      <c r="K292" s="1337">
        <f t="shared" si="92"/>
        <v>487.05368123852</v>
      </c>
      <c r="L292" s="1337">
        <f t="shared" si="92"/>
        <v>487.05368123852</v>
      </c>
      <c r="M292" s="1337">
        <f t="shared" si="92"/>
        <v>768.647343654404</v>
      </c>
      <c r="N292" s="1337">
        <f t="shared" si="92"/>
        <v>90.9444174862311</v>
      </c>
      <c r="O292" s="1337">
        <f t="shared" si="92"/>
        <v>0</v>
      </c>
      <c r="P292" s="1341">
        <f>SUM(D292:O292)</f>
        <v>8545.13035593608</v>
      </c>
      <c r="Q292" s="326"/>
      <c r="R292" s="326"/>
      <c r="S292" s="326"/>
      <c r="T292" s="326"/>
      <c r="U292" s="326"/>
      <c r="V292" s="326"/>
      <c r="W292" s="326"/>
    </row>
    <row r="293" s="21" customFormat="1" spans="2:23">
      <c r="B293" s="1358"/>
      <c r="C293" s="1363" t="s">
        <v>321</v>
      </c>
      <c r="D293" s="1337">
        <f>D291*$D$80</f>
        <v>418.294500274176</v>
      </c>
      <c r="E293" s="1337">
        <f>E291*$D$80</f>
        <v>418.294500274175</v>
      </c>
      <c r="F293" s="1337">
        <f t="shared" ref="F293:O293" si="93">F291*$D290</f>
        <v>89.3190104586249</v>
      </c>
      <c r="G293" s="1337">
        <f t="shared" si="93"/>
        <v>0</v>
      </c>
      <c r="H293" s="1337">
        <f t="shared" si="93"/>
        <v>120.537291945113</v>
      </c>
      <c r="I293" s="1337">
        <f t="shared" si="93"/>
        <v>871.296277193214</v>
      </c>
      <c r="J293" s="1337">
        <f t="shared" si="93"/>
        <v>871.296277193214</v>
      </c>
      <c r="K293" s="1337">
        <f t="shared" si="93"/>
        <v>203.142992677373</v>
      </c>
      <c r="L293" s="1337">
        <f t="shared" si="93"/>
        <v>203.142992677373</v>
      </c>
      <c r="M293" s="1337">
        <f t="shared" si="93"/>
        <v>320.591605644802</v>
      </c>
      <c r="N293" s="1337">
        <f t="shared" si="93"/>
        <v>37.9315912128501</v>
      </c>
      <c r="O293" s="1337">
        <f t="shared" si="93"/>
        <v>0</v>
      </c>
      <c r="P293" s="1341">
        <f>SUM(D293:O293)</f>
        <v>3553.84703955091</v>
      </c>
      <c r="Q293" s="326"/>
      <c r="R293" s="326"/>
      <c r="S293" s="326"/>
      <c r="T293" s="326"/>
      <c r="U293" s="326"/>
      <c r="V293" s="326"/>
      <c r="W293" s="326"/>
    </row>
    <row r="294" s="21" customFormat="1" spans="2:23">
      <c r="B294" s="1358"/>
      <c r="C294" s="1363" t="s">
        <v>322</v>
      </c>
      <c r="D294" s="1337">
        <f>D292-D293</f>
        <v>596.834835757056</v>
      </c>
      <c r="E294" s="1337">
        <f t="shared" ref="E294:O294" si="94">E292-E293</f>
        <v>596.834835757054</v>
      </c>
      <c r="F294" s="1337">
        <f t="shared" si="94"/>
        <v>124.831388110849</v>
      </c>
      <c r="G294" s="1337">
        <f t="shared" si="94"/>
        <v>0</v>
      </c>
      <c r="H294" s="1337">
        <f t="shared" si="94"/>
        <v>168.461757417266</v>
      </c>
      <c r="I294" s="1337">
        <f t="shared" si="94"/>
        <v>1217.71527896883</v>
      </c>
      <c r="J294" s="1337">
        <f t="shared" si="94"/>
        <v>1217.71527896883</v>
      </c>
      <c r="K294" s="1337">
        <f t="shared" si="94"/>
        <v>283.910688561147</v>
      </c>
      <c r="L294" s="1337">
        <f t="shared" si="94"/>
        <v>283.910688561147</v>
      </c>
      <c r="M294" s="1337">
        <f t="shared" si="94"/>
        <v>448.055738009603</v>
      </c>
      <c r="N294" s="1337">
        <f t="shared" si="94"/>
        <v>53.0128262733809</v>
      </c>
      <c r="O294" s="1337">
        <f t="shared" si="94"/>
        <v>0</v>
      </c>
      <c r="P294" s="1341">
        <f>SUM(D294:O294)</f>
        <v>4991.28331638516</v>
      </c>
      <c r="Q294" s="326"/>
      <c r="R294" s="326"/>
      <c r="S294" s="326"/>
      <c r="T294" s="326"/>
      <c r="U294" s="326"/>
      <c r="V294" s="326"/>
      <c r="W294" s="326"/>
    </row>
    <row r="295" s="21" customFormat="1" spans="2:23">
      <c r="B295" s="1358"/>
      <c r="C295" s="1304"/>
      <c r="D295" s="1359"/>
      <c r="E295" s="1343"/>
      <c r="F295" s="1343"/>
      <c r="G295" s="1343"/>
      <c r="H295" s="1343"/>
      <c r="I295" s="1343"/>
      <c r="J295" s="1343"/>
      <c r="K295" s="1343"/>
      <c r="L295" s="1343"/>
      <c r="M295" s="1343"/>
      <c r="N295" s="1343"/>
      <c r="O295" s="1343"/>
      <c r="P295" s="1341"/>
      <c r="Q295" s="326"/>
      <c r="R295" s="326"/>
      <c r="S295" s="326"/>
      <c r="T295" s="326"/>
      <c r="U295" s="326"/>
      <c r="V295" s="326"/>
      <c r="W295" s="326"/>
    </row>
    <row r="296" s="21" customFormat="1" spans="2:23">
      <c r="B296" s="1358"/>
      <c r="C296" s="1363" t="s">
        <v>323</v>
      </c>
      <c r="D296" s="1345">
        <f t="shared" ref="D296:O296" si="95">SUMIF($C241:$C295,"Revenue",D241:D295)</f>
        <v>47258.2853792473</v>
      </c>
      <c r="E296" s="1345">
        <f t="shared" si="95"/>
        <v>46753.3080036817</v>
      </c>
      <c r="F296" s="1345">
        <f t="shared" si="95"/>
        <v>49002.4606199513</v>
      </c>
      <c r="G296" s="1345">
        <f t="shared" si="95"/>
        <v>89540.4520498603</v>
      </c>
      <c r="H296" s="1345">
        <f t="shared" si="95"/>
        <v>108776.987341466</v>
      </c>
      <c r="I296" s="1345">
        <f t="shared" si="95"/>
        <v>141666.077469651</v>
      </c>
      <c r="J296" s="1345">
        <f t="shared" si="95"/>
        <v>141666.077469651</v>
      </c>
      <c r="K296" s="1345">
        <f t="shared" si="95"/>
        <v>138943.154896694</v>
      </c>
      <c r="L296" s="1345">
        <f t="shared" si="95"/>
        <v>138943.154896694</v>
      </c>
      <c r="M296" s="1345">
        <f t="shared" si="95"/>
        <v>130769.981698649</v>
      </c>
      <c r="N296" s="1345">
        <f t="shared" si="95"/>
        <v>56489.9921125787</v>
      </c>
      <c r="O296" s="1345">
        <f t="shared" si="95"/>
        <v>49337.3672300793</v>
      </c>
      <c r="P296" s="1341">
        <f>SUM(D296:O296)</f>
        <v>1139147.2991682</v>
      </c>
      <c r="Q296" s="326"/>
      <c r="R296" s="326"/>
      <c r="S296" s="326"/>
      <c r="T296" s="326"/>
      <c r="U296" s="326"/>
      <c r="V296" s="326"/>
      <c r="W296" s="326"/>
    </row>
    <row r="297" s="21" customFormat="1" spans="2:23">
      <c r="B297" s="1358"/>
      <c r="C297" s="1363" t="s">
        <v>324</v>
      </c>
      <c r="D297" s="1345">
        <f t="shared" ref="D297:O297" si="96">SUMIF($C241:$C295,"Expenses",D241:D295)</f>
        <v>9151.2</v>
      </c>
      <c r="E297" s="1345">
        <f t="shared" si="96"/>
        <v>9151.2</v>
      </c>
      <c r="F297" s="1345">
        <f t="shared" si="96"/>
        <v>9350.67613265613</v>
      </c>
      <c r="G297" s="1345">
        <f t="shared" si="96"/>
        <v>21848.8</v>
      </c>
      <c r="H297" s="1345">
        <f t="shared" si="96"/>
        <v>24961.2</v>
      </c>
      <c r="I297" s="1345">
        <f t="shared" si="96"/>
        <v>32224.9166534758</v>
      </c>
      <c r="J297" s="1345">
        <f t="shared" si="96"/>
        <v>32224.9166534758</v>
      </c>
      <c r="K297" s="1345">
        <f t="shared" si="96"/>
        <v>30144.4</v>
      </c>
      <c r="L297" s="1345">
        <f t="shared" si="96"/>
        <v>30144.4</v>
      </c>
      <c r="M297" s="1345">
        <f t="shared" si="96"/>
        <v>28060.7283188234</v>
      </c>
      <c r="N297" s="1345">
        <f t="shared" si="96"/>
        <v>10378.8</v>
      </c>
      <c r="O297" s="1345">
        <f t="shared" si="96"/>
        <v>9349.6</v>
      </c>
      <c r="P297" s="1341">
        <f>SUM(D297:O297)</f>
        <v>246990.837758431</v>
      </c>
      <c r="Q297" s="326"/>
      <c r="R297" s="326"/>
      <c r="S297" s="326"/>
      <c r="T297" s="326"/>
      <c r="U297" s="326"/>
      <c r="V297" s="326"/>
      <c r="W297" s="326"/>
    </row>
    <row r="298" s="21" customFormat="1" spans="2:23">
      <c r="B298" s="1358"/>
      <c r="C298" s="1304" t="s">
        <v>325</v>
      </c>
      <c r="D298" s="1345">
        <f t="shared" ref="D298:O298" si="97">SUMIF($C241:$C295,"Contribution",D241:D295)</f>
        <v>38107.0853792473</v>
      </c>
      <c r="E298" s="1345">
        <f t="shared" si="97"/>
        <v>37602.1080036817</v>
      </c>
      <c r="F298" s="1345">
        <f t="shared" si="97"/>
        <v>39651.7844872952</v>
      </c>
      <c r="G298" s="1345">
        <f t="shared" si="97"/>
        <v>67691.6520498603</v>
      </c>
      <c r="H298" s="1345">
        <f t="shared" si="97"/>
        <v>83815.7873414663</v>
      </c>
      <c r="I298" s="1345">
        <f t="shared" si="97"/>
        <v>109441.160816175</v>
      </c>
      <c r="J298" s="1345">
        <f t="shared" si="97"/>
        <v>109441.160816175</v>
      </c>
      <c r="K298" s="1345">
        <f t="shared" si="97"/>
        <v>108798.754896694</v>
      </c>
      <c r="L298" s="1345">
        <f t="shared" si="97"/>
        <v>108798.754896694</v>
      </c>
      <c r="M298" s="1345">
        <f t="shared" si="97"/>
        <v>102709.253379825</v>
      </c>
      <c r="N298" s="1345">
        <f t="shared" si="97"/>
        <v>46111.1921125787</v>
      </c>
      <c r="O298" s="1345">
        <f t="shared" si="97"/>
        <v>39987.7672300793</v>
      </c>
      <c r="P298" s="1341">
        <f>SUM(D298:O298)</f>
        <v>892156.461409772</v>
      </c>
      <c r="Q298" s="326"/>
      <c r="R298" s="326"/>
      <c r="S298" s="326"/>
      <c r="T298" s="326"/>
      <c r="U298" s="326"/>
      <c r="V298" s="326"/>
      <c r="W298" s="326"/>
    </row>
    <row r="299" s="21" customFormat="1" spans="2:23">
      <c r="B299" s="1358"/>
      <c r="C299" s="1304"/>
      <c r="D299" s="1360"/>
      <c r="E299" s="1333"/>
      <c r="F299" s="1333"/>
      <c r="G299" s="1333"/>
      <c r="H299" s="1333"/>
      <c r="I299" s="1333"/>
      <c r="J299" s="1333"/>
      <c r="K299" s="1333"/>
      <c r="L299" s="1333"/>
      <c r="M299" s="1333"/>
      <c r="N299" s="1333"/>
      <c r="O299" s="1333"/>
      <c r="P299" s="1341"/>
      <c r="Q299" s="326"/>
      <c r="R299" s="326"/>
      <c r="S299" s="326"/>
      <c r="T299" s="326"/>
      <c r="U299" s="326"/>
      <c r="V299" s="326"/>
      <c r="W299" s="326"/>
    </row>
    <row r="300" s="21" customFormat="1" spans="2:23">
      <c r="B300" s="1358" t="s">
        <v>326</v>
      </c>
      <c r="C300" s="326" t="s">
        <v>341</v>
      </c>
      <c r="D300" s="1360"/>
      <c r="E300" s="1333"/>
      <c r="F300" s="1333"/>
      <c r="G300" s="1333"/>
      <c r="H300" s="1333"/>
      <c r="I300" s="1333"/>
      <c r="J300" s="1333"/>
      <c r="K300" s="1333"/>
      <c r="L300" s="1333"/>
      <c r="M300" s="1333"/>
      <c r="N300" s="1333"/>
      <c r="O300" s="1333"/>
      <c r="P300" s="1341"/>
      <c r="Q300" s="326"/>
      <c r="R300" s="326"/>
      <c r="S300" s="326"/>
      <c r="T300" s="326"/>
      <c r="U300" s="326"/>
      <c r="V300" s="326"/>
      <c r="W300" s="326"/>
    </row>
    <row r="301" s="21" customFormat="1" spans="3:23">
      <c r="C301" s="4" t="s">
        <v>308</v>
      </c>
      <c r="D301" s="1337">
        <f>E65/12</f>
        <v>6386.66666666667</v>
      </c>
      <c r="E301" s="1337">
        <f t="shared" ref="E301:O304" si="98">$D301</f>
        <v>6386.66666666667</v>
      </c>
      <c r="F301" s="1337">
        <f t="shared" si="98"/>
        <v>6386.66666666667</v>
      </c>
      <c r="G301" s="1337">
        <f t="shared" si="98"/>
        <v>6386.66666666667</v>
      </c>
      <c r="H301" s="1337">
        <f t="shared" si="98"/>
        <v>6386.66666666667</v>
      </c>
      <c r="I301" s="1337">
        <f t="shared" si="98"/>
        <v>6386.66666666667</v>
      </c>
      <c r="J301" s="1337">
        <f t="shared" si="98"/>
        <v>6386.66666666667</v>
      </c>
      <c r="K301" s="1337">
        <f t="shared" si="98"/>
        <v>6386.66666666667</v>
      </c>
      <c r="L301" s="1337">
        <f t="shared" si="98"/>
        <v>6386.66666666667</v>
      </c>
      <c r="M301" s="1337">
        <f t="shared" si="98"/>
        <v>6386.66666666667</v>
      </c>
      <c r="N301" s="1337">
        <f t="shared" si="98"/>
        <v>6386.66666666667</v>
      </c>
      <c r="O301" s="1337">
        <f t="shared" si="98"/>
        <v>6386.66666666667</v>
      </c>
      <c r="P301" s="1341">
        <f>SUM(D301:O301)</f>
        <v>76640</v>
      </c>
      <c r="Q301" s="326"/>
      <c r="R301" s="326"/>
      <c r="S301" s="326"/>
      <c r="T301" s="326"/>
      <c r="U301" s="326"/>
      <c r="V301" s="326"/>
      <c r="W301" s="326"/>
    </row>
    <row r="302" s="21" customFormat="1" spans="3:23">
      <c r="C302" s="4" t="s">
        <v>309</v>
      </c>
      <c r="D302" s="1361">
        <f>E66/12</f>
        <v>2042.08333333333</v>
      </c>
      <c r="E302" s="1337">
        <f t="shared" si="98"/>
        <v>2042.08333333333</v>
      </c>
      <c r="F302" s="1337">
        <f t="shared" si="98"/>
        <v>2042.08333333333</v>
      </c>
      <c r="G302" s="1337">
        <f t="shared" si="98"/>
        <v>2042.08333333333</v>
      </c>
      <c r="H302" s="1337">
        <f t="shared" si="98"/>
        <v>2042.08333333333</v>
      </c>
      <c r="I302" s="1337">
        <f t="shared" si="98"/>
        <v>2042.08333333333</v>
      </c>
      <c r="J302" s="1337">
        <f t="shared" si="98"/>
        <v>2042.08333333333</v>
      </c>
      <c r="K302" s="1337">
        <f t="shared" si="98"/>
        <v>2042.08333333333</v>
      </c>
      <c r="L302" s="1337">
        <f t="shared" si="98"/>
        <v>2042.08333333333</v>
      </c>
      <c r="M302" s="1337">
        <f t="shared" si="98"/>
        <v>2042.08333333333</v>
      </c>
      <c r="N302" s="1337">
        <f t="shared" si="98"/>
        <v>2042.08333333333</v>
      </c>
      <c r="O302" s="1337">
        <f t="shared" si="98"/>
        <v>2042.08333333333</v>
      </c>
      <c r="P302" s="1341">
        <f>SUM(D302:O302)</f>
        <v>24505</v>
      </c>
      <c r="Q302" s="326"/>
      <c r="R302" s="326"/>
      <c r="S302" s="326"/>
      <c r="T302" s="326"/>
      <c r="U302" s="326"/>
      <c r="V302" s="326"/>
      <c r="W302" s="326"/>
    </row>
    <row r="303" s="21" customFormat="1" spans="3:23">
      <c r="C303" s="4" t="s">
        <v>69</v>
      </c>
      <c r="D303" s="1361">
        <f>E67/12</f>
        <v>5117.41666666667</v>
      </c>
      <c r="E303" s="1337">
        <f t="shared" si="98"/>
        <v>5117.41666666667</v>
      </c>
      <c r="F303" s="1337">
        <f t="shared" si="98"/>
        <v>5117.41666666667</v>
      </c>
      <c r="G303" s="1337">
        <f t="shared" si="98"/>
        <v>5117.41666666667</v>
      </c>
      <c r="H303" s="1337">
        <f t="shared" si="98"/>
        <v>5117.41666666667</v>
      </c>
      <c r="I303" s="1337">
        <f t="shared" si="98"/>
        <v>5117.41666666667</v>
      </c>
      <c r="J303" s="1337">
        <f t="shared" si="98"/>
        <v>5117.41666666667</v>
      </c>
      <c r="K303" s="1337">
        <f t="shared" si="98"/>
        <v>5117.41666666667</v>
      </c>
      <c r="L303" s="1337">
        <f t="shared" si="98"/>
        <v>5117.41666666667</v>
      </c>
      <c r="M303" s="1337">
        <f t="shared" si="98"/>
        <v>5117.41666666667</v>
      </c>
      <c r="N303" s="1337">
        <f t="shared" si="98"/>
        <v>5117.41666666667</v>
      </c>
      <c r="O303" s="1337">
        <f t="shared" si="98"/>
        <v>5117.41666666667</v>
      </c>
      <c r="P303" s="1341">
        <f>SUM(D303:O303)</f>
        <v>61409</v>
      </c>
      <c r="Q303" s="326"/>
      <c r="R303" s="326"/>
      <c r="S303" s="326"/>
      <c r="T303" s="326"/>
      <c r="U303" s="326"/>
      <c r="V303" s="326"/>
      <c r="W303" s="326"/>
    </row>
    <row r="304" s="21" customFormat="1" spans="3:23">
      <c r="C304" s="4" t="s">
        <v>172</v>
      </c>
      <c r="D304" s="1361">
        <f>E68/12</f>
        <v>6201.5625</v>
      </c>
      <c r="E304" s="1337">
        <f t="shared" si="98"/>
        <v>6201.5625</v>
      </c>
      <c r="F304" s="1337">
        <f t="shared" si="98"/>
        <v>6201.5625</v>
      </c>
      <c r="G304" s="1337">
        <f t="shared" si="98"/>
        <v>6201.5625</v>
      </c>
      <c r="H304" s="1337">
        <f t="shared" si="98"/>
        <v>6201.5625</v>
      </c>
      <c r="I304" s="1337">
        <f t="shared" si="98"/>
        <v>6201.5625</v>
      </c>
      <c r="J304" s="1337">
        <f t="shared" si="98"/>
        <v>6201.5625</v>
      </c>
      <c r="K304" s="1337">
        <f t="shared" si="98"/>
        <v>6201.5625</v>
      </c>
      <c r="L304" s="1337">
        <f t="shared" si="98"/>
        <v>6201.5625</v>
      </c>
      <c r="M304" s="1337">
        <f t="shared" si="98"/>
        <v>6201.5625</v>
      </c>
      <c r="N304" s="1337">
        <f t="shared" si="98"/>
        <v>6201.5625</v>
      </c>
      <c r="O304" s="1337">
        <f t="shared" si="98"/>
        <v>6201.5625</v>
      </c>
      <c r="P304" s="1341">
        <f>SUM(D304:O304)</f>
        <v>74418.75</v>
      </c>
      <c r="Q304" s="326"/>
      <c r="R304" s="326"/>
      <c r="S304" s="326"/>
      <c r="T304" s="326"/>
      <c r="U304" s="326"/>
      <c r="V304" s="326"/>
      <c r="W304" s="326"/>
    </row>
    <row r="305" s="21" customFormat="1" spans="3:23">
      <c r="C305" s="1304"/>
      <c r="D305" s="1359"/>
      <c r="E305" s="1343"/>
      <c r="F305" s="1343"/>
      <c r="G305" s="1343"/>
      <c r="H305" s="1343"/>
      <c r="I305" s="1343"/>
      <c r="J305" s="1343"/>
      <c r="K305" s="1343"/>
      <c r="L305" s="1343"/>
      <c r="M305" s="1343"/>
      <c r="N305" s="1343"/>
      <c r="O305" s="1343"/>
      <c r="P305" s="1341"/>
      <c r="Q305" s="326"/>
      <c r="R305" s="326"/>
      <c r="S305" s="326"/>
      <c r="T305" s="326"/>
      <c r="U305" s="326"/>
      <c r="V305" s="326"/>
      <c r="W305" s="326"/>
    </row>
    <row r="306" s="21" customFormat="1" spans="3:23">
      <c r="C306" s="1368" t="s">
        <v>328</v>
      </c>
      <c r="D306" s="1337">
        <f>debtMonthlyPaymentsFY3(CycleInCalculation,1)</f>
        <v>1179.68734827119</v>
      </c>
      <c r="E306" s="1337">
        <f>debtMonthlyPaymentsFY3(CycleInCalculation,2)</f>
        <v>1179.68734827119</v>
      </c>
      <c r="F306" s="1337">
        <f>debtMonthlyPaymentsFY3(CycleInCalculation,3)</f>
        <v>1179.68734827119</v>
      </c>
      <c r="G306" s="1337">
        <f>debtMonthlyPaymentsFY3(CycleInCalculation,4)</f>
        <v>1179.68734827119</v>
      </c>
      <c r="H306" s="1337">
        <f>debtMonthlyPaymentsFY3(CycleInCalculation,5)</f>
        <v>1179.68734827119</v>
      </c>
      <c r="I306" s="1337">
        <f>debtMonthlyPaymentsFY3(CycleInCalculation,6)</f>
        <v>1179.68734827119</v>
      </c>
      <c r="J306" s="1337">
        <f>debtMonthlyPaymentsFY3(CycleInCalculation,7)</f>
        <v>1179.68734827119</v>
      </c>
      <c r="K306" s="1337">
        <f>debtMonthlyPaymentsFY3(CycleInCalculation,8)</f>
        <v>1179.68734827119</v>
      </c>
      <c r="L306" s="1337">
        <f>debtMonthlyPaymentsFY3(CycleInCalculation,9)</f>
        <v>1179.68734827119</v>
      </c>
      <c r="M306" s="1337">
        <f>debtMonthlyPaymentsFY3(CycleInCalculation,10)</f>
        <v>1179.68734827119</v>
      </c>
      <c r="N306" s="1337">
        <f>debtMonthlyPaymentsFY3(CycleInCalculation,11)</f>
        <v>1179.68734827119</v>
      </c>
      <c r="O306" s="1337">
        <f>debtMonthlyPaymentsFY3(CycleInCalculation,12)</f>
        <v>1179.68734827119</v>
      </c>
      <c r="P306" s="1341">
        <f>SUM(D306:O306)</f>
        <v>14156.2481792543</v>
      </c>
      <c r="Q306" s="326"/>
      <c r="R306" s="326"/>
      <c r="S306" s="326"/>
      <c r="T306" s="326"/>
      <c r="U306" s="326"/>
      <c r="V306" s="326"/>
      <c r="W306" s="326"/>
    </row>
    <row r="307" s="21" customFormat="1" spans="2:23">
      <c r="B307" s="326"/>
      <c r="C307" s="326"/>
      <c r="D307" s="1360"/>
      <c r="E307" s="1333"/>
      <c r="F307" s="1333"/>
      <c r="G307" s="1333"/>
      <c r="H307" s="1333"/>
      <c r="I307" s="1333"/>
      <c r="J307" s="1333"/>
      <c r="K307" s="1333"/>
      <c r="L307" s="1333"/>
      <c r="M307" s="1333"/>
      <c r="N307" s="1333"/>
      <c r="O307" s="1333"/>
      <c r="P307" s="1339"/>
      <c r="Q307" s="326"/>
      <c r="R307" s="326"/>
      <c r="S307" s="326"/>
      <c r="T307" s="326"/>
      <c r="U307" s="326"/>
      <c r="V307" s="326"/>
      <c r="W307" s="326"/>
    </row>
    <row r="308" s="21" customFormat="1" spans="2:23">
      <c r="B308" s="1358"/>
      <c r="C308" s="1304" t="s">
        <v>329</v>
      </c>
      <c r="D308" s="1362">
        <f>SUM(D301:D306)+D310</f>
        <v>21996.1665149379</v>
      </c>
      <c r="E308" s="1362">
        <f t="shared" ref="E308:O308" si="99">SUM(E301:E306)+E310</f>
        <v>21996.1665149379</v>
      </c>
      <c r="F308" s="1362">
        <f t="shared" si="99"/>
        <v>21996.1665149379</v>
      </c>
      <c r="G308" s="1362">
        <f t="shared" si="99"/>
        <v>21996.1665149379</v>
      </c>
      <c r="H308" s="1362">
        <f t="shared" si="99"/>
        <v>21996.1665149379</v>
      </c>
      <c r="I308" s="1362">
        <f t="shared" si="99"/>
        <v>21996.1665149379</v>
      </c>
      <c r="J308" s="1362">
        <f t="shared" si="99"/>
        <v>21996.1665149379</v>
      </c>
      <c r="K308" s="1362">
        <f t="shared" si="99"/>
        <v>21996.1665149379</v>
      </c>
      <c r="L308" s="1362">
        <f t="shared" si="99"/>
        <v>21996.1665149379</v>
      </c>
      <c r="M308" s="1362">
        <f t="shared" si="99"/>
        <v>21996.1665149379</v>
      </c>
      <c r="N308" s="1362">
        <f t="shared" si="99"/>
        <v>21996.1665149379</v>
      </c>
      <c r="O308" s="1362">
        <f t="shared" si="99"/>
        <v>21996.1665149379</v>
      </c>
      <c r="P308" s="1356">
        <f>SUM(D308:O308)</f>
        <v>263953.998179254</v>
      </c>
      <c r="Q308" s="326"/>
      <c r="R308" s="326"/>
      <c r="S308" s="326"/>
      <c r="T308" s="326"/>
      <c r="U308" s="326"/>
      <c r="V308" s="326"/>
      <c r="W308" s="326"/>
    </row>
    <row r="309" s="21" customFormat="1" spans="3:23">
      <c r="C309" s="326"/>
      <c r="D309" s="1360"/>
      <c r="E309" s="1333"/>
      <c r="F309" s="1333"/>
      <c r="G309" s="1333"/>
      <c r="H309" s="1333"/>
      <c r="I309" s="1333"/>
      <c r="J309" s="1333"/>
      <c r="K309" s="1333"/>
      <c r="L309" s="1333"/>
      <c r="M309" s="1333"/>
      <c r="N309" s="1333"/>
      <c r="O309" s="1333"/>
      <c r="P309" s="1339"/>
      <c r="Q309" s="326"/>
      <c r="R309" s="326"/>
      <c r="S309" s="326"/>
      <c r="T309" s="326"/>
      <c r="U309" s="326"/>
      <c r="V309" s="326"/>
      <c r="W309" s="326"/>
    </row>
    <row r="310" s="21" customFormat="1" spans="2:49">
      <c r="B310" s="573"/>
      <c r="C310" s="563" t="s">
        <v>168</v>
      </c>
      <c r="D310" s="1350">
        <f>P310/12</f>
        <v>1068.75</v>
      </c>
      <c r="E310" s="1350">
        <f>P310/12</f>
        <v>1068.75</v>
      </c>
      <c r="F310" s="1350">
        <f>P310/12</f>
        <v>1068.75</v>
      </c>
      <c r="G310" s="1350">
        <f>P310/12</f>
        <v>1068.75</v>
      </c>
      <c r="H310" s="1350">
        <f>P310/12</f>
        <v>1068.75</v>
      </c>
      <c r="I310" s="1350">
        <f>P310/12</f>
        <v>1068.75</v>
      </c>
      <c r="J310" s="1350">
        <f>P310/12</f>
        <v>1068.75</v>
      </c>
      <c r="K310" s="1350">
        <f>P310/12</f>
        <v>1068.75</v>
      </c>
      <c r="L310" s="1350">
        <f>P310/12</f>
        <v>1068.75</v>
      </c>
      <c r="M310" s="1350">
        <f>P310/12</f>
        <v>1068.75</v>
      </c>
      <c r="N310" s="1350">
        <f>P310/12</f>
        <v>1068.75</v>
      </c>
      <c r="O310" s="1350">
        <f>P310/12</f>
        <v>1068.75</v>
      </c>
      <c r="P310" s="1357">
        <f>VLOOKUP(2.721,'Sim-Report'!1:1048576,3+CycleInCalculation,FALSE)*'Project-Start'!D36</f>
        <v>12825</v>
      </c>
      <c r="Q310" s="326"/>
      <c r="R310" s="326"/>
      <c r="S310" s="326"/>
      <c r="T310" s="326"/>
      <c r="U310" s="326"/>
      <c r="V310" s="326"/>
      <c r="W310" s="326"/>
      <c r="AW310" s="1225"/>
    </row>
    <row r="311" s="21" customFormat="1" spans="2:23">
      <c r="B311" s="1358"/>
      <c r="C311" s="540" t="s">
        <v>330</v>
      </c>
      <c r="D311" s="1362">
        <f t="shared" ref="D311:O311" si="100">D298-D308</f>
        <v>16110.9188643094</v>
      </c>
      <c r="E311" s="1337">
        <f t="shared" si="100"/>
        <v>15605.9414887438</v>
      </c>
      <c r="F311" s="1337">
        <f t="shared" si="100"/>
        <v>17655.6179723573</v>
      </c>
      <c r="G311" s="1337">
        <f t="shared" si="100"/>
        <v>45695.4855349225</v>
      </c>
      <c r="H311" s="1337">
        <f t="shared" si="100"/>
        <v>61819.6208265285</v>
      </c>
      <c r="I311" s="1337">
        <f t="shared" si="100"/>
        <v>87444.9943012373</v>
      </c>
      <c r="J311" s="1337">
        <f t="shared" si="100"/>
        <v>87444.9943012373</v>
      </c>
      <c r="K311" s="1337">
        <f t="shared" si="100"/>
        <v>86802.5883817559</v>
      </c>
      <c r="L311" s="1337">
        <f t="shared" si="100"/>
        <v>86802.5883817559</v>
      </c>
      <c r="M311" s="1337">
        <f t="shared" si="100"/>
        <v>80713.0868648874</v>
      </c>
      <c r="N311" s="1337">
        <f t="shared" si="100"/>
        <v>24115.0255976409</v>
      </c>
      <c r="O311" s="1337">
        <f t="shared" si="100"/>
        <v>17991.6007151415</v>
      </c>
      <c r="P311" s="1356">
        <f>SUM(D311:O311)</f>
        <v>628202.463230518</v>
      </c>
      <c r="Q311" s="326"/>
      <c r="R311" s="326"/>
      <c r="S311" s="326"/>
      <c r="T311" s="326"/>
      <c r="U311" s="326"/>
      <c r="V311" s="326"/>
      <c r="W311" s="326"/>
    </row>
    <row r="312" s="21" customFormat="1" spans="3:23">
      <c r="C312" s="326" t="s">
        <v>342</v>
      </c>
      <c r="D312" s="1304">
        <f>VLOOKUP(3.11,'Sim-Report'!1:1048576,3+CycleInCalculation,FALSE)</f>
        <v>0.25</v>
      </c>
      <c r="E312" s="1343"/>
      <c r="F312" s="1343"/>
      <c r="G312" s="1343"/>
      <c r="H312" s="1343"/>
      <c r="I312" s="1343"/>
      <c r="J312" s="1343"/>
      <c r="K312" s="1343"/>
      <c r="L312" s="1343"/>
      <c r="M312" s="1343"/>
      <c r="N312" s="1343"/>
      <c r="O312" s="1343"/>
      <c r="P312" s="1339"/>
      <c r="Q312" s="326"/>
      <c r="R312" s="326"/>
      <c r="S312" s="326"/>
      <c r="T312" s="326"/>
      <c r="U312" s="326"/>
      <c r="V312" s="326"/>
      <c r="W312" s="326"/>
    </row>
    <row r="313" s="21" customFormat="1" spans="2:23">
      <c r="B313" s="1358"/>
      <c r="C313" s="1304" t="s">
        <v>332</v>
      </c>
      <c r="D313" s="1362">
        <f>D311</f>
        <v>16110.9188643094</v>
      </c>
      <c r="E313" s="1337">
        <f t="shared" ref="E313:O313" si="101">D313+E311</f>
        <v>31716.8603530533</v>
      </c>
      <c r="F313" s="1337">
        <f t="shared" si="101"/>
        <v>49372.4783254106</v>
      </c>
      <c r="G313" s="1337">
        <f t="shared" si="101"/>
        <v>95067.9638603331</v>
      </c>
      <c r="H313" s="1337">
        <f t="shared" si="101"/>
        <v>156887.584686862</v>
      </c>
      <c r="I313" s="1337">
        <f t="shared" si="101"/>
        <v>244332.578988099</v>
      </c>
      <c r="J313" s="1337">
        <f t="shared" si="101"/>
        <v>331777.573289336</v>
      </c>
      <c r="K313" s="1337">
        <f t="shared" si="101"/>
        <v>418580.161671092</v>
      </c>
      <c r="L313" s="1337">
        <f t="shared" si="101"/>
        <v>505382.750052848</v>
      </c>
      <c r="M313" s="1337">
        <f t="shared" si="101"/>
        <v>586095.836917735</v>
      </c>
      <c r="N313" s="1337">
        <f t="shared" si="101"/>
        <v>610210.862515376</v>
      </c>
      <c r="O313" s="1337">
        <f t="shared" si="101"/>
        <v>628202.463230518</v>
      </c>
      <c r="P313" s="1339"/>
      <c r="Q313" s="326"/>
      <c r="R313" s="326"/>
      <c r="S313" s="326"/>
      <c r="T313" s="326"/>
      <c r="U313" s="326"/>
      <c r="V313" s="326"/>
      <c r="W313" s="326"/>
    </row>
    <row r="314" s="21" customFormat="1" spans="2:23">
      <c r="B314" s="1358"/>
      <c r="C314" s="1304" t="s">
        <v>333</v>
      </c>
      <c r="D314" s="1362"/>
      <c r="E314" s="1337"/>
      <c r="F314" s="1337"/>
      <c r="G314" s="1337"/>
      <c r="H314" s="1337"/>
      <c r="I314" s="1337"/>
      <c r="J314" s="1337"/>
      <c r="K314" s="1337"/>
      <c r="L314" s="1337"/>
      <c r="M314" s="1337"/>
      <c r="N314" s="1337"/>
      <c r="O314" s="1337"/>
      <c r="P314" s="1341">
        <f>P315+P233</f>
        <v>1090851.74798867</v>
      </c>
      <c r="Q314" s="326"/>
      <c r="R314" s="326"/>
      <c r="S314" s="326"/>
      <c r="T314" s="326"/>
      <c r="U314" s="326"/>
      <c r="V314" s="326"/>
      <c r="W314" s="326"/>
    </row>
    <row r="315" s="21" customFormat="1" ht="12" spans="2:23">
      <c r="B315" s="1304"/>
      <c r="C315" s="1358" t="s">
        <v>334</v>
      </c>
      <c r="D315" s="1224">
        <f>ProfitAfterTaxes(D311,D313,D312)</f>
        <v>12083.1891482321</v>
      </c>
      <c r="E315" s="1224">
        <f>ProfitAfterTaxes(E311,E313,D312)</f>
        <v>11704.4561165579</v>
      </c>
      <c r="F315" s="1224">
        <f>ProfitAfterTaxes(F311,F313,D312)</f>
        <v>13241.713479268</v>
      </c>
      <c r="G315" s="1224">
        <f>ProfitAfterTaxes(G311,G313,D312)</f>
        <v>34271.6141511919</v>
      </c>
      <c r="H315" s="1224">
        <f>ProfitAfterTaxes(H311,H313,D312)</f>
        <v>46364.7156198964</v>
      </c>
      <c r="I315" s="1224">
        <f>ProfitAfterTaxes(I311,I313,D312)</f>
        <v>65583.745725928</v>
      </c>
      <c r="J315" s="1224">
        <f>ProfitAfterTaxes(J311,J313,D312)</f>
        <v>65583.745725928</v>
      </c>
      <c r="K315" s="1224">
        <f>ProfitAfterTaxes(K311,K313,D312)</f>
        <v>65101.9412863169</v>
      </c>
      <c r="L315" s="1224">
        <f>ProfitAfterTaxes(L311,L313,D312)</f>
        <v>65101.9412863169</v>
      </c>
      <c r="M315" s="1224">
        <f>ProfitAfterTaxes(M311,M313,D312)</f>
        <v>60534.8151486656</v>
      </c>
      <c r="N315" s="1224">
        <f>ProfitAfterTaxes(N311,N313,D312)</f>
        <v>18086.2691982306</v>
      </c>
      <c r="O315" s="1224">
        <f>ProfitAfterTaxes(O311,O313,D312)</f>
        <v>13493.7005363561</v>
      </c>
      <c r="P315" s="1356">
        <f>SUM(D315:O315)</f>
        <v>471151.847422888</v>
      </c>
      <c r="Q315" s="326"/>
      <c r="R315" s="326"/>
      <c r="S315" s="326"/>
      <c r="T315" s="326"/>
      <c r="U315" s="326"/>
      <c r="V315" s="326"/>
      <c r="W315" s="326"/>
    </row>
    <row r="316" s="21" customFormat="1" ht="12" spans="2:23">
      <c r="B316" s="14"/>
      <c r="C316" s="14" t="s">
        <v>315</v>
      </c>
      <c r="D316" s="1329" t="s">
        <v>105</v>
      </c>
      <c r="E316" s="1329" t="s">
        <v>105</v>
      </c>
      <c r="F316" s="1329" t="s">
        <v>105</v>
      </c>
      <c r="G316" s="1329" t="s">
        <v>105</v>
      </c>
      <c r="H316" s="1329" t="s">
        <v>105</v>
      </c>
      <c r="I316" s="1329" t="s">
        <v>105</v>
      </c>
      <c r="J316" s="1329" t="s">
        <v>105</v>
      </c>
      <c r="K316" s="1329" t="s">
        <v>105</v>
      </c>
      <c r="L316" s="1329" t="s">
        <v>105</v>
      </c>
      <c r="M316" s="1329" t="s">
        <v>105</v>
      </c>
      <c r="N316" s="1329" t="s">
        <v>105</v>
      </c>
      <c r="O316" s="1366" t="s">
        <v>105</v>
      </c>
      <c r="P316" s="1338" t="s">
        <v>343</v>
      </c>
      <c r="Q316" s="326"/>
      <c r="R316" s="326"/>
      <c r="S316" s="326"/>
      <c r="T316" s="326"/>
      <c r="U316" s="326"/>
      <c r="V316" s="326"/>
      <c r="W316" s="326"/>
    </row>
    <row r="317" s="21" customFormat="1" ht="12" spans="2:23">
      <c r="B317" s="14"/>
      <c r="C317" s="14" t="s">
        <v>285</v>
      </c>
      <c r="D317" s="18" t="s">
        <v>256</v>
      </c>
      <c r="E317" s="18" t="s">
        <v>257</v>
      </c>
      <c r="F317" s="18" t="s">
        <v>258</v>
      </c>
      <c r="G317" s="18" t="s">
        <v>259</v>
      </c>
      <c r="H317" s="18" t="s">
        <v>260</v>
      </c>
      <c r="I317" s="18" t="s">
        <v>261</v>
      </c>
      <c r="J317" s="18" t="s">
        <v>262</v>
      </c>
      <c r="K317" s="18" t="s">
        <v>263</v>
      </c>
      <c r="L317" s="18" t="s">
        <v>264</v>
      </c>
      <c r="M317" s="18" t="s">
        <v>265</v>
      </c>
      <c r="N317" s="18" t="s">
        <v>266</v>
      </c>
      <c r="O317" s="1367" t="s">
        <v>267</v>
      </c>
      <c r="P317" s="1338" t="s">
        <v>142</v>
      </c>
      <c r="Q317" s="326"/>
      <c r="R317" s="326"/>
      <c r="S317" s="326"/>
      <c r="T317" s="326"/>
      <c r="U317" s="326"/>
      <c r="V317" s="326"/>
      <c r="W317" s="326"/>
    </row>
    <row r="318" s="21" customFormat="1" spans="2:23">
      <c r="B318" s="326"/>
      <c r="C318" s="326"/>
      <c r="D318" s="326"/>
      <c r="E318" s="326"/>
      <c r="F318" s="326"/>
      <c r="G318" s="326"/>
      <c r="H318" s="326"/>
      <c r="I318" s="326"/>
      <c r="J318" s="326"/>
      <c r="K318" s="326"/>
      <c r="L318" s="326"/>
      <c r="M318" s="326"/>
      <c r="N318" s="326"/>
      <c r="O318" s="326"/>
      <c r="P318" s="326"/>
      <c r="Q318" s="326"/>
      <c r="R318" s="326"/>
      <c r="S318" s="326"/>
      <c r="T318" s="326"/>
      <c r="U318" s="326"/>
      <c r="V318" s="326"/>
      <c r="W318" s="326"/>
    </row>
    <row r="319" s="21" customFormat="1" ht="17.45" customHeight="1" spans="1:23">
      <c r="A319" s="1229">
        <v>7</v>
      </c>
      <c r="B319" s="1258" t="s">
        <v>344</v>
      </c>
      <c r="C319" s="1258"/>
      <c r="D319" s="1258"/>
      <c r="E319" s="563"/>
      <c r="F319" s="563"/>
      <c r="G319" s="1369"/>
      <c r="H319" s="1370"/>
      <c r="I319" s="1370"/>
      <c r="J319" s="1370"/>
      <c r="K319" s="1369"/>
      <c r="L319" s="1370"/>
      <c r="M319" s="1370"/>
      <c r="N319" s="1370"/>
      <c r="O319" s="1369"/>
      <c r="P319" s="1370"/>
      <c r="Q319" s="1370"/>
      <c r="R319" s="1370"/>
      <c r="S319" s="1369"/>
      <c r="T319" s="1370"/>
      <c r="U319" s="563"/>
      <c r="V319" s="326"/>
      <c r="W319" s="326"/>
    </row>
    <row r="320" s="21" customFormat="1" spans="2:23">
      <c r="B320" s="1371"/>
      <c r="C320" s="1372"/>
      <c r="D320" s="1373" t="s">
        <v>345</v>
      </c>
      <c r="E320" s="1373" t="s">
        <v>103</v>
      </c>
      <c r="F320" s="1373" t="s">
        <v>104</v>
      </c>
      <c r="G320" s="1373" t="s">
        <v>343</v>
      </c>
      <c r="H320" s="563"/>
      <c r="I320" s="563"/>
      <c r="J320" s="563"/>
      <c r="K320" s="563"/>
      <c r="L320" s="563"/>
      <c r="M320" s="563"/>
      <c r="N320" s="563"/>
      <c r="O320" s="563"/>
      <c r="P320" s="563"/>
      <c r="Q320" s="563"/>
      <c r="R320" s="563"/>
      <c r="S320" s="563"/>
      <c r="T320" s="563"/>
      <c r="U320" s="563"/>
      <c r="V320" s="326"/>
      <c r="W320" s="326"/>
    </row>
    <row r="321" s="21" customFormat="1" spans="2:23">
      <c r="B321" s="1371"/>
      <c r="C321" s="1372"/>
      <c r="D321" s="1373" t="s">
        <v>142</v>
      </c>
      <c r="E321" s="1373" t="s">
        <v>340</v>
      </c>
      <c r="F321" s="1373" t="s">
        <v>142</v>
      </c>
      <c r="G321" s="1373" t="s">
        <v>142</v>
      </c>
      <c r="H321" s="1374"/>
      <c r="I321" s="563"/>
      <c r="J321" s="563"/>
      <c r="K321" s="563"/>
      <c r="L321" s="563"/>
      <c r="M321" s="563"/>
      <c r="N321" s="563"/>
      <c r="O321" s="563"/>
      <c r="P321" s="563"/>
      <c r="Q321" s="563"/>
      <c r="R321" s="563"/>
      <c r="S321" s="563"/>
      <c r="T321" s="563"/>
      <c r="U321" s="563"/>
      <c r="V321" s="326"/>
      <c r="W321" s="326"/>
    </row>
    <row r="322" s="1223" customFormat="1" spans="2:23">
      <c r="B322" s="3" t="s">
        <v>293</v>
      </c>
      <c r="C322" s="5"/>
      <c r="D322" s="1375"/>
      <c r="E322" s="1375"/>
      <c r="F322" s="1375"/>
      <c r="G322" s="1375"/>
      <c r="H322" s="7"/>
      <c r="I322" s="7"/>
      <c r="J322" s="7"/>
      <c r="K322" s="7"/>
      <c r="L322" s="7"/>
      <c r="M322" s="7"/>
      <c r="N322" s="7"/>
      <c r="O322" s="7"/>
      <c r="P322" s="7"/>
      <c r="Q322" s="7"/>
      <c r="R322" s="7"/>
      <c r="S322" s="7"/>
      <c r="T322" s="7"/>
      <c r="U322" s="7"/>
      <c r="V322" s="327"/>
      <c r="W322" s="327"/>
    </row>
    <row r="323" s="21" customFormat="1" spans="2:23">
      <c r="B323" s="3"/>
      <c r="C323" s="5"/>
      <c r="D323" s="1375"/>
      <c r="E323" s="1375"/>
      <c r="F323" s="1375"/>
      <c r="G323" s="1375"/>
      <c r="H323" s="7"/>
      <c r="I323" s="7"/>
      <c r="J323" s="563"/>
      <c r="K323" s="563"/>
      <c r="L323" s="563"/>
      <c r="M323" s="563"/>
      <c r="N323" s="563"/>
      <c r="O323" s="563"/>
      <c r="P323" s="563"/>
      <c r="Q323" s="563"/>
      <c r="R323" s="563"/>
      <c r="S323" s="563"/>
      <c r="T323" s="563"/>
      <c r="U323" s="563"/>
      <c r="V323" s="326"/>
      <c r="W323" s="326"/>
    </row>
    <row r="324" s="21" customFormat="1" spans="2:23">
      <c r="B324" s="3"/>
      <c r="C324" s="1376" t="s">
        <v>319</v>
      </c>
      <c r="D324" s="1377">
        <f>SUM(E324:G324)</f>
        <v>37088.7984324228</v>
      </c>
      <c r="E324" s="1377">
        <v>10350.9235204173</v>
      </c>
      <c r="F324" s="1377">
        <v>10723.7281195412</v>
      </c>
      <c r="G324" s="1377">
        <v>16014.1467924643</v>
      </c>
      <c r="H324" s="1378"/>
      <c r="I324" s="1378"/>
      <c r="J324" s="1402"/>
      <c r="K324" s="563"/>
      <c r="L324" s="563"/>
      <c r="M324" s="563"/>
      <c r="N324" s="563"/>
      <c r="O324" s="563"/>
      <c r="P324" s="563"/>
      <c r="Q324" s="563"/>
      <c r="R324" s="563"/>
      <c r="S324" s="563"/>
      <c r="T324" s="563"/>
      <c r="U324" s="563"/>
      <c r="V324" s="326"/>
      <c r="W324" s="326"/>
    </row>
    <row r="325" s="21" customFormat="1" spans="2:23">
      <c r="B325" s="3"/>
      <c r="C325" s="1379" t="s">
        <v>320</v>
      </c>
      <c r="D325" s="1380">
        <f>SUM(E325:G325)</f>
        <v>166528.704961578</v>
      </c>
      <c r="E325" s="1381">
        <v>46475.6466066735</v>
      </c>
      <c r="F325" s="1381">
        <v>48149.5392567402</v>
      </c>
      <c r="G325" s="1381">
        <v>71903.5190981647</v>
      </c>
      <c r="H325" s="359"/>
      <c r="I325" s="359"/>
      <c r="J325" s="1351"/>
      <c r="K325" s="563"/>
      <c r="L325" s="563"/>
      <c r="M325" s="563"/>
      <c r="N325" s="563"/>
      <c r="O325" s="563"/>
      <c r="P325" s="563"/>
      <c r="Q325" s="563"/>
      <c r="R325" s="563"/>
      <c r="S325" s="563"/>
      <c r="T325" s="563"/>
      <c r="U325" s="563"/>
      <c r="V325" s="326"/>
      <c r="W325" s="326"/>
    </row>
    <row r="326" s="21" customFormat="1" spans="2:23">
      <c r="B326" s="3"/>
      <c r="C326" s="1382" t="s">
        <v>321</v>
      </c>
      <c r="D326" s="1383">
        <f>SUM(E326:G326)</f>
        <v>30412.8147145867</v>
      </c>
      <c r="E326" s="1377">
        <v>8487.75728674216</v>
      </c>
      <c r="F326" s="1377">
        <v>8793.45705802382</v>
      </c>
      <c r="G326" s="1377">
        <v>13131.6003698207</v>
      </c>
      <c r="H326" s="359"/>
      <c r="I326" s="359"/>
      <c r="J326" s="1351"/>
      <c r="K326" s="563"/>
      <c r="L326" s="563"/>
      <c r="M326" s="563"/>
      <c r="N326" s="563"/>
      <c r="O326" s="563"/>
      <c r="P326" s="563"/>
      <c r="Q326" s="563"/>
      <c r="R326" s="563"/>
      <c r="S326" s="563"/>
      <c r="T326" s="563"/>
      <c r="U326" s="563"/>
      <c r="V326" s="326"/>
      <c r="W326" s="326"/>
    </row>
    <row r="327" s="21" customFormat="1" spans="2:23">
      <c r="B327" s="3"/>
      <c r="C327" s="1379" t="s">
        <v>322</v>
      </c>
      <c r="D327" s="1380">
        <f>SUM(E327:G327)</f>
        <v>136115.890246992</v>
      </c>
      <c r="E327" s="1381">
        <v>37987.8893199314</v>
      </c>
      <c r="F327" s="1381">
        <v>39356.0821987164</v>
      </c>
      <c r="G327" s="1381">
        <v>58771.9187283439</v>
      </c>
      <c r="H327" s="359"/>
      <c r="I327" s="359"/>
      <c r="J327" s="1351"/>
      <c r="K327" s="563"/>
      <c r="L327" s="563"/>
      <c r="M327" s="563"/>
      <c r="N327" s="563"/>
      <c r="O327" s="563"/>
      <c r="P327" s="563"/>
      <c r="Q327" s="563"/>
      <c r="R327" s="563"/>
      <c r="S327" s="563"/>
      <c r="T327" s="563"/>
      <c r="U327" s="563"/>
      <c r="V327" s="326"/>
      <c r="W327" s="326"/>
    </row>
    <row r="328" s="21" customFormat="1" spans="2:23">
      <c r="B328" s="3" t="s">
        <v>294</v>
      </c>
      <c r="C328" s="5"/>
      <c r="D328" s="1384"/>
      <c r="E328" s="1385"/>
      <c r="F328" s="1385"/>
      <c r="G328" s="1385"/>
      <c r="H328" s="359"/>
      <c r="I328" s="359"/>
      <c r="J328" s="1351"/>
      <c r="K328" s="563"/>
      <c r="L328" s="563"/>
      <c r="M328" s="563"/>
      <c r="N328" s="563"/>
      <c r="O328" s="563"/>
      <c r="P328" s="563"/>
      <c r="Q328" s="563"/>
      <c r="R328" s="563"/>
      <c r="S328" s="563"/>
      <c r="T328" s="563"/>
      <c r="U328" s="563"/>
      <c r="V328" s="326"/>
      <c r="W328" s="326"/>
    </row>
    <row r="329" s="21" customFormat="1" spans="2:23">
      <c r="B329" s="3"/>
      <c r="C329" s="5"/>
      <c r="D329" s="1384"/>
      <c r="E329" s="1385"/>
      <c r="F329" s="1385"/>
      <c r="G329" s="1385"/>
      <c r="H329" s="359"/>
      <c r="I329" s="359"/>
      <c r="J329" s="1351"/>
      <c r="K329" s="563"/>
      <c r="L329" s="563"/>
      <c r="M329" s="563"/>
      <c r="N329" s="563"/>
      <c r="O329" s="563"/>
      <c r="P329" s="563"/>
      <c r="Q329" s="563"/>
      <c r="R329" s="563"/>
      <c r="S329" s="563"/>
      <c r="T329" s="563"/>
      <c r="U329" s="563"/>
      <c r="V329" s="326"/>
      <c r="W329" s="326"/>
    </row>
    <row r="330" s="21" customFormat="1" spans="2:23">
      <c r="B330" s="3"/>
      <c r="C330" s="1376" t="s">
        <v>319</v>
      </c>
      <c r="D330" s="1377">
        <f>SUM(E330:G330)</f>
        <v>37756.37646702</v>
      </c>
      <c r="E330" s="1377">
        <v>10011.717753559</v>
      </c>
      <c r="F330" s="1377">
        <v>10741.7185489492</v>
      </c>
      <c r="G330" s="1377">
        <v>17002.9401645118</v>
      </c>
      <c r="H330" s="1378"/>
      <c r="I330" s="1378"/>
      <c r="J330" s="1402"/>
      <c r="K330" s="563"/>
      <c r="L330" s="563"/>
      <c r="M330" s="563"/>
      <c r="N330" s="563"/>
      <c r="O330" s="563"/>
      <c r="P330" s="563"/>
      <c r="Q330" s="563"/>
      <c r="R330" s="563"/>
      <c r="S330" s="563"/>
      <c r="T330" s="563"/>
      <c r="U330" s="563"/>
      <c r="V330" s="326"/>
      <c r="W330" s="326"/>
    </row>
    <row r="331" s="21" customFormat="1" spans="2:23">
      <c r="B331" s="3"/>
      <c r="C331" s="1379" t="s">
        <v>320</v>
      </c>
      <c r="D331" s="1380">
        <f>SUM(E331:G331)</f>
        <v>263917.07150447</v>
      </c>
      <c r="E331" s="1381">
        <v>69981.9070973775</v>
      </c>
      <c r="F331" s="1381">
        <v>75084.612657155</v>
      </c>
      <c r="G331" s="1381">
        <v>118850.551749938</v>
      </c>
      <c r="H331" s="359"/>
      <c r="I331" s="359"/>
      <c r="J331" s="1351"/>
      <c r="K331" s="563"/>
      <c r="L331" s="563"/>
      <c r="M331" s="563"/>
      <c r="N331" s="563"/>
      <c r="O331" s="563"/>
      <c r="P331" s="563"/>
      <c r="Q331" s="563"/>
      <c r="R331" s="563"/>
      <c r="S331" s="563"/>
      <c r="T331" s="563"/>
      <c r="U331" s="563"/>
      <c r="V331" s="326"/>
      <c r="W331" s="326"/>
    </row>
    <row r="332" s="21" customFormat="1" spans="2:23">
      <c r="B332" s="3"/>
      <c r="C332" s="1382" t="s">
        <v>321</v>
      </c>
      <c r="D332" s="1383">
        <f>SUM(E332:G332)</f>
        <v>32322.3435490227</v>
      </c>
      <c r="E332" s="1377">
        <v>8573.71709041456</v>
      </c>
      <c r="F332" s="1377">
        <v>9199.82461396057</v>
      </c>
      <c r="G332" s="1377">
        <v>14548.8018446476</v>
      </c>
      <c r="H332" s="359"/>
      <c r="I332" s="359"/>
      <c r="J332" s="1351"/>
      <c r="K332" s="563"/>
      <c r="L332" s="563"/>
      <c r="M332" s="563"/>
      <c r="N332" s="563"/>
      <c r="O332" s="563"/>
      <c r="P332" s="563"/>
      <c r="Q332" s="563"/>
      <c r="R332" s="563"/>
      <c r="S332" s="563"/>
      <c r="T332" s="563"/>
      <c r="U332" s="563"/>
      <c r="V332" s="326"/>
      <c r="W332" s="326"/>
    </row>
    <row r="333" s="21" customFormat="1" spans="2:23">
      <c r="B333" s="3"/>
      <c r="C333" s="1379" t="s">
        <v>322</v>
      </c>
      <c r="D333" s="1380">
        <f>SUM(E333:G333)</f>
        <v>231594.727955447</v>
      </c>
      <c r="E333" s="1381">
        <v>61408.1900069629</v>
      </c>
      <c r="F333" s="1381">
        <v>65884.7880431944</v>
      </c>
      <c r="G333" s="1381">
        <v>104301.74990529</v>
      </c>
      <c r="H333" s="359"/>
      <c r="I333" s="359"/>
      <c r="J333" s="1351"/>
      <c r="K333" s="563"/>
      <c r="L333" s="563"/>
      <c r="M333" s="563"/>
      <c r="N333" s="563"/>
      <c r="O333" s="563"/>
      <c r="P333" s="563"/>
      <c r="Q333" s="563"/>
      <c r="R333" s="563"/>
      <c r="S333" s="563"/>
      <c r="T333" s="563"/>
      <c r="U333" s="563"/>
      <c r="V333" s="326"/>
      <c r="W333" s="326"/>
    </row>
    <row r="334" s="21" customFormat="1" spans="2:23">
      <c r="B334" s="3" t="s">
        <v>295</v>
      </c>
      <c r="C334" s="5"/>
      <c r="D334" s="1384"/>
      <c r="E334" s="1385"/>
      <c r="F334" s="1385"/>
      <c r="G334" s="1385"/>
      <c r="H334" s="359"/>
      <c r="I334" s="359"/>
      <c r="J334" s="1351"/>
      <c r="K334" s="563"/>
      <c r="L334" s="563"/>
      <c r="M334" s="563"/>
      <c r="N334" s="563"/>
      <c r="O334" s="563"/>
      <c r="P334" s="563"/>
      <c r="Q334" s="563"/>
      <c r="R334" s="563"/>
      <c r="S334" s="563"/>
      <c r="T334" s="563"/>
      <c r="U334" s="563"/>
      <c r="V334" s="326"/>
      <c r="W334" s="326"/>
    </row>
    <row r="335" s="21" customFormat="1" spans="2:23">
      <c r="B335" s="3"/>
      <c r="C335" s="5"/>
      <c r="D335" s="1384"/>
      <c r="E335" s="1385"/>
      <c r="F335" s="1385"/>
      <c r="G335" s="1385"/>
      <c r="H335" s="359"/>
      <c r="I335" s="359"/>
      <c r="J335" s="1351"/>
      <c r="K335" s="563"/>
      <c r="L335" s="563"/>
      <c r="M335" s="563"/>
      <c r="N335" s="563"/>
      <c r="O335" s="563"/>
      <c r="P335" s="563"/>
      <c r="Q335" s="563"/>
      <c r="R335" s="563"/>
      <c r="S335" s="563"/>
      <c r="T335" s="563"/>
      <c r="U335" s="563"/>
      <c r="V335" s="326"/>
      <c r="W335" s="326"/>
    </row>
    <row r="336" s="21" customFormat="1" spans="2:23">
      <c r="B336" s="3"/>
      <c r="C336" s="1376" t="s">
        <v>319</v>
      </c>
      <c r="D336" s="1377">
        <f>SUM(E336:G336)</f>
        <v>22818.7202769766</v>
      </c>
      <c r="E336" s="1377">
        <v>7572.4279361728</v>
      </c>
      <c r="F336" s="1377">
        <v>7980.9716739904</v>
      </c>
      <c r="G336" s="1377">
        <v>7265.32066681344</v>
      </c>
      <c r="H336" s="1378"/>
      <c r="I336" s="1378"/>
      <c r="J336" s="1402"/>
      <c r="K336" s="563"/>
      <c r="L336" s="563"/>
      <c r="M336" s="563"/>
      <c r="N336" s="563"/>
      <c r="O336" s="563"/>
      <c r="P336" s="563"/>
      <c r="Q336" s="563"/>
      <c r="R336" s="563"/>
      <c r="S336" s="563"/>
      <c r="T336" s="563"/>
      <c r="U336" s="563"/>
      <c r="V336" s="326"/>
      <c r="W336" s="326"/>
    </row>
    <row r="337" s="21" customFormat="1" spans="2:33">
      <c r="B337" s="3"/>
      <c r="C337" s="1379" t="s">
        <v>320</v>
      </c>
      <c r="D337" s="1380">
        <f>SUM(E337:G337)</f>
        <v>125274.774320602</v>
      </c>
      <c r="E337" s="1381">
        <v>41572.6293695887</v>
      </c>
      <c r="F337" s="1381">
        <v>43815.5344902073</v>
      </c>
      <c r="G337" s="1381">
        <v>39886.6104608058</v>
      </c>
      <c r="H337" s="1386"/>
      <c r="I337" s="359"/>
      <c r="J337" s="326"/>
      <c r="K337" s="563"/>
      <c r="L337" s="563"/>
      <c r="M337" s="563"/>
      <c r="N337" s="563"/>
      <c r="O337" s="563"/>
      <c r="P337" s="563"/>
      <c r="Q337" s="563"/>
      <c r="R337" s="7"/>
      <c r="S337" s="7"/>
      <c r="T337" s="7"/>
      <c r="U337" s="7"/>
      <c r="V337" s="7"/>
      <c r="W337" s="7"/>
      <c r="X337" s="3"/>
      <c r="Y337" s="3"/>
      <c r="Z337" s="3"/>
      <c r="AA337" s="3"/>
      <c r="AB337" s="3"/>
      <c r="AC337" s="3"/>
      <c r="AD337" s="3"/>
      <c r="AE337" s="3"/>
      <c r="AF337" s="3"/>
      <c r="AG337" s="3"/>
    </row>
    <row r="338" s="21" customFormat="1" spans="2:33">
      <c r="B338" s="3"/>
      <c r="C338" s="1382" t="s">
        <v>321</v>
      </c>
      <c r="D338" s="1383">
        <f>SUM(E338:G338)</f>
        <v>18939.5378298906</v>
      </c>
      <c r="E338" s="1377">
        <v>6285.11518702342</v>
      </c>
      <c r="F338" s="1377">
        <v>6624.20648941203</v>
      </c>
      <c r="G338" s="1377">
        <v>6030.21615345516</v>
      </c>
      <c r="H338" s="359"/>
      <c r="I338" s="359"/>
      <c r="J338" s="1351"/>
      <c r="K338" s="563"/>
      <c r="L338" s="563"/>
      <c r="M338" s="563"/>
      <c r="N338" s="563"/>
      <c r="O338" s="563"/>
      <c r="P338" s="563"/>
      <c r="Q338" s="563"/>
      <c r="R338" s="7"/>
      <c r="S338" s="7"/>
      <c r="T338" s="7"/>
      <c r="U338" s="7"/>
      <c r="V338" s="7"/>
      <c r="W338" s="7"/>
      <c r="X338" s="3"/>
      <c r="Y338" s="3"/>
      <c r="Z338" s="3"/>
      <c r="AA338" s="3"/>
      <c r="AB338" s="3"/>
      <c r="AC338" s="3"/>
      <c r="AD338" s="3"/>
      <c r="AE338" s="3"/>
      <c r="AF338" s="3"/>
      <c r="AG338" s="3"/>
    </row>
    <row r="339" s="21" customFormat="1" spans="2:33">
      <c r="B339" s="3"/>
      <c r="C339" s="1379" t="s">
        <v>322</v>
      </c>
      <c r="D339" s="1380">
        <f>SUM(E339:G339)</f>
        <v>106335.236490711</v>
      </c>
      <c r="E339" s="1381">
        <v>35287.5141825652</v>
      </c>
      <c r="F339" s="1381">
        <v>37191.3280007953</v>
      </c>
      <c r="G339" s="1381">
        <v>33856.3943073506</v>
      </c>
      <c r="H339" s="359"/>
      <c r="I339" s="359"/>
      <c r="J339" s="1351"/>
      <c r="K339" s="563"/>
      <c r="L339" s="563"/>
      <c r="M339" s="563"/>
      <c r="N339" s="563"/>
      <c r="O339" s="563"/>
      <c r="P339" s="563"/>
      <c r="Q339" s="563"/>
      <c r="R339" s="7"/>
      <c r="S339" s="7"/>
      <c r="T339" s="7"/>
      <c r="U339" s="7"/>
      <c r="V339" s="7"/>
      <c r="W339" s="7"/>
      <c r="X339" s="3"/>
      <c r="Y339" s="3"/>
      <c r="Z339" s="3"/>
      <c r="AA339" s="3"/>
      <c r="AB339" s="3"/>
      <c r="AC339" s="3"/>
      <c r="AD339" s="3"/>
      <c r="AE339" s="3"/>
      <c r="AF339" s="3"/>
      <c r="AG339" s="3"/>
    </row>
    <row r="340" s="21" customFormat="1" spans="2:33">
      <c r="B340" s="3" t="s">
        <v>296</v>
      </c>
      <c r="C340" s="5"/>
      <c r="D340" s="1384"/>
      <c r="E340" s="1385"/>
      <c r="F340" s="1385"/>
      <c r="G340" s="1385"/>
      <c r="H340" s="359"/>
      <c r="I340" s="359"/>
      <c r="J340" s="1351"/>
      <c r="K340" s="563"/>
      <c r="L340" s="563"/>
      <c r="M340" s="563"/>
      <c r="N340" s="563"/>
      <c r="O340" s="563"/>
      <c r="P340" s="563"/>
      <c r="Q340" s="563"/>
      <c r="R340" s="7"/>
      <c r="S340" s="7"/>
      <c r="T340" s="7"/>
      <c r="U340" s="7"/>
      <c r="V340" s="7"/>
      <c r="W340" s="7"/>
      <c r="X340" s="3"/>
      <c r="Y340" s="3"/>
      <c r="Z340" s="3"/>
      <c r="AA340" s="3"/>
      <c r="AB340" s="3"/>
      <c r="AC340" s="3"/>
      <c r="AD340" s="3"/>
      <c r="AE340" s="3"/>
      <c r="AF340" s="3"/>
      <c r="AG340" s="3"/>
    </row>
    <row r="341" s="21" customFormat="1" spans="2:33">
      <c r="B341" s="3"/>
      <c r="C341" s="5"/>
      <c r="D341" s="1384"/>
      <c r="E341" s="1385"/>
      <c r="F341" s="1385"/>
      <c r="G341" s="1385"/>
      <c r="H341" s="359"/>
      <c r="I341" s="359"/>
      <c r="J341" s="1351"/>
      <c r="K341" s="563"/>
      <c r="L341" s="563"/>
      <c r="M341" s="563"/>
      <c r="N341" s="563"/>
      <c r="O341" s="563"/>
      <c r="P341" s="563"/>
      <c r="Q341" s="563"/>
      <c r="R341" s="7"/>
      <c r="S341" s="7"/>
      <c r="T341" s="7"/>
      <c r="U341" s="7"/>
      <c r="V341" s="7"/>
      <c r="W341" s="7"/>
      <c r="X341" s="3"/>
      <c r="Y341" s="3"/>
      <c r="Z341" s="3"/>
      <c r="AA341" s="3"/>
      <c r="AB341" s="3"/>
      <c r="AC341" s="3"/>
      <c r="AD341" s="3"/>
      <c r="AE341" s="3"/>
      <c r="AF341" s="3"/>
      <c r="AG341" s="3"/>
    </row>
    <row r="342" s="21" customFormat="1" spans="2:33">
      <c r="B342" s="3"/>
      <c r="C342" s="1376" t="s">
        <v>319</v>
      </c>
      <c r="D342" s="1377">
        <f>SUM(E342:G342)</f>
        <v>62555.1049394227</v>
      </c>
      <c r="E342" s="1377">
        <v>20575.5163110464</v>
      </c>
      <c r="F342" s="1377">
        <v>21751.7607032819</v>
      </c>
      <c r="G342" s="1377">
        <v>20227.8279250944</v>
      </c>
      <c r="H342" s="1378"/>
      <c r="I342" s="1378"/>
      <c r="J342" s="1402"/>
      <c r="K342" s="563"/>
      <c r="L342" s="563"/>
      <c r="M342" s="563"/>
      <c r="N342" s="563"/>
      <c r="O342" s="563"/>
      <c r="P342" s="563"/>
      <c r="Q342" s="563"/>
      <c r="R342" s="7"/>
      <c r="S342" s="7"/>
      <c r="T342" s="7"/>
      <c r="U342" s="7"/>
      <c r="V342" s="7"/>
      <c r="W342" s="7"/>
      <c r="X342" s="3"/>
      <c r="Y342" s="3"/>
      <c r="Z342" s="3"/>
      <c r="AA342" s="3"/>
      <c r="AB342" s="3"/>
      <c r="AC342" s="3"/>
      <c r="AD342" s="3"/>
      <c r="AE342" s="3"/>
      <c r="AF342" s="3"/>
      <c r="AG342" s="3"/>
    </row>
    <row r="343" s="21" customFormat="1" spans="2:33">
      <c r="B343" s="3"/>
      <c r="C343" s="1379" t="s">
        <v>320</v>
      </c>
      <c r="D343" s="1380">
        <f>SUM(E343:G343)</f>
        <v>437260.183526565</v>
      </c>
      <c r="E343" s="1381">
        <v>143822.859014214</v>
      </c>
      <c r="F343" s="1381">
        <v>152044.807315941</v>
      </c>
      <c r="G343" s="1381">
        <v>141392.51719641</v>
      </c>
      <c r="H343" s="359"/>
      <c r="I343" s="359"/>
      <c r="J343" s="1351"/>
      <c r="K343" s="563"/>
      <c r="L343" s="563"/>
      <c r="M343" s="563"/>
      <c r="N343" s="563"/>
      <c r="O343" s="563"/>
      <c r="P343" s="563"/>
      <c r="Q343" s="563"/>
      <c r="R343" s="7"/>
      <c r="S343" s="7"/>
      <c r="T343" s="7"/>
      <c r="U343" s="7"/>
      <c r="V343" s="7"/>
      <c r="W343" s="7"/>
      <c r="X343" s="3"/>
      <c r="Y343" s="3"/>
      <c r="Z343" s="3"/>
      <c r="AA343" s="3"/>
      <c r="AB343" s="3"/>
      <c r="AC343" s="3"/>
      <c r="AD343" s="3"/>
      <c r="AE343" s="3"/>
      <c r="AF343" s="3"/>
      <c r="AG343" s="3"/>
    </row>
    <row r="344" s="21" customFormat="1" spans="2:33">
      <c r="B344" s="3"/>
      <c r="C344" s="1382" t="s">
        <v>321</v>
      </c>
      <c r="D344" s="1383">
        <f>SUM(E344:G344)</f>
        <v>52406.5982735813</v>
      </c>
      <c r="E344" s="1377">
        <v>17237.196925872</v>
      </c>
      <c r="F344" s="1377">
        <v>18222.2591975816</v>
      </c>
      <c r="G344" s="1377">
        <v>16947.1421501276</v>
      </c>
      <c r="H344" s="359"/>
      <c r="I344" s="359"/>
      <c r="J344" s="1351"/>
      <c r="K344" s="563"/>
      <c r="L344" s="563"/>
      <c r="M344" s="563"/>
      <c r="N344" s="563"/>
      <c r="O344" s="563"/>
      <c r="P344" s="563"/>
      <c r="Q344" s="563"/>
      <c r="R344" s="7"/>
      <c r="S344" s="7"/>
      <c r="T344" s="7"/>
      <c r="U344" s="7"/>
      <c r="V344" s="7"/>
      <c r="W344" s="7"/>
      <c r="X344" s="3"/>
      <c r="Y344" s="3"/>
      <c r="Z344" s="3"/>
      <c r="AA344" s="3"/>
      <c r="AB344" s="3"/>
      <c r="AC344" s="3"/>
      <c r="AD344" s="3"/>
      <c r="AE344" s="3"/>
      <c r="AF344" s="3"/>
      <c r="AG344" s="3"/>
    </row>
    <row r="345" s="21" customFormat="1" spans="2:33">
      <c r="B345" s="3"/>
      <c r="C345" s="1379" t="s">
        <v>322</v>
      </c>
      <c r="D345" s="1380">
        <f>SUM(E345:G345)</f>
        <v>384853.585252984</v>
      </c>
      <c r="E345" s="1381">
        <v>126585.662088342</v>
      </c>
      <c r="F345" s="1381">
        <v>133822.548118359</v>
      </c>
      <c r="G345" s="1381">
        <v>124445.375046282</v>
      </c>
      <c r="H345" s="359"/>
      <c r="I345" s="359"/>
      <c r="J345" s="1351"/>
      <c r="K345" s="563"/>
      <c r="L345" s="563"/>
      <c r="M345" s="563"/>
      <c r="N345" s="563"/>
      <c r="O345" s="563"/>
      <c r="P345" s="563"/>
      <c r="Q345" s="563"/>
      <c r="R345" s="7"/>
      <c r="S345" s="7"/>
      <c r="T345" s="7"/>
      <c r="U345" s="7"/>
      <c r="V345" s="7"/>
      <c r="W345" s="7"/>
      <c r="X345" s="3"/>
      <c r="Y345" s="3"/>
      <c r="Z345" s="3"/>
      <c r="AA345" s="3"/>
      <c r="AB345" s="3"/>
      <c r="AC345" s="3"/>
      <c r="AD345" s="3"/>
      <c r="AE345" s="3"/>
      <c r="AF345" s="3"/>
      <c r="AG345" s="3"/>
    </row>
    <row r="346" s="21" customFormat="1" spans="2:33">
      <c r="B346" s="3" t="s">
        <v>297</v>
      </c>
      <c r="C346" s="5"/>
      <c r="D346" s="1384"/>
      <c r="E346" s="1385"/>
      <c r="F346" s="1385"/>
      <c r="G346" s="1385"/>
      <c r="H346" s="359"/>
      <c r="I346" s="359"/>
      <c r="J346" s="1351"/>
      <c r="K346" s="563"/>
      <c r="L346" s="563"/>
      <c r="M346" s="563"/>
      <c r="N346" s="563"/>
      <c r="O346" s="563"/>
      <c r="P346" s="563"/>
      <c r="Q346" s="563"/>
      <c r="R346" s="7"/>
      <c r="S346" s="7"/>
      <c r="T346" s="7"/>
      <c r="U346" s="7"/>
      <c r="V346" s="7"/>
      <c r="W346" s="7"/>
      <c r="X346" s="3"/>
      <c r="Y346" s="3"/>
      <c r="Z346" s="3"/>
      <c r="AA346" s="3"/>
      <c r="AB346" s="3"/>
      <c r="AC346" s="3"/>
      <c r="AD346" s="3"/>
      <c r="AE346" s="3"/>
      <c r="AF346" s="3"/>
      <c r="AG346" s="3"/>
    </row>
    <row r="347" s="21" customFormat="1" spans="2:33">
      <c r="B347" s="3"/>
      <c r="C347" s="5"/>
      <c r="D347" s="1384"/>
      <c r="E347" s="1385"/>
      <c r="F347" s="1385"/>
      <c r="G347" s="1385"/>
      <c r="H347" s="359"/>
      <c r="I347" s="359"/>
      <c r="J347" s="1351"/>
      <c r="K347" s="563"/>
      <c r="L347" s="563"/>
      <c r="M347" s="563"/>
      <c r="N347" s="563"/>
      <c r="O347" s="563"/>
      <c r="P347" s="563"/>
      <c r="Q347" s="563"/>
      <c r="R347" s="7"/>
      <c r="S347" s="7"/>
      <c r="T347" s="7"/>
      <c r="U347" s="7"/>
      <c r="V347" s="7"/>
      <c r="W347" s="7"/>
      <c r="X347" s="3"/>
      <c r="Y347" s="3"/>
      <c r="Z347" s="3"/>
      <c r="AA347" s="3"/>
      <c r="AB347" s="3"/>
      <c r="AC347" s="3"/>
      <c r="AD347" s="3"/>
      <c r="AE347" s="3"/>
      <c r="AF347" s="3"/>
      <c r="AG347" s="3"/>
    </row>
    <row r="348" s="21" customFormat="1" spans="2:33">
      <c r="B348" s="3"/>
      <c r="C348" s="1382" t="s">
        <v>319</v>
      </c>
      <c r="D348" s="1383">
        <f>SUM(E348:G348)</f>
        <v>62555.1049394227</v>
      </c>
      <c r="E348" s="1377">
        <v>20575.5163110464</v>
      </c>
      <c r="F348" s="1377">
        <v>21751.7607032819</v>
      </c>
      <c r="G348" s="1377">
        <v>20227.8279250944</v>
      </c>
      <c r="H348" s="359"/>
      <c r="I348" s="359"/>
      <c r="J348" s="1351"/>
      <c r="K348" s="563"/>
      <c r="L348" s="563"/>
      <c r="M348" s="563"/>
      <c r="N348" s="563"/>
      <c r="O348" s="563"/>
      <c r="P348" s="563"/>
      <c r="Q348" s="563"/>
      <c r="R348" s="7"/>
      <c r="S348" s="7"/>
      <c r="T348" s="7"/>
      <c r="U348" s="7"/>
      <c r="V348" s="7"/>
      <c r="W348" s="7"/>
      <c r="X348" s="3"/>
      <c r="Y348" s="3"/>
      <c r="Z348" s="3"/>
      <c r="AA348" s="3"/>
      <c r="AB348" s="3"/>
      <c r="AC348" s="3"/>
      <c r="AD348" s="3"/>
      <c r="AE348" s="3"/>
      <c r="AF348" s="3"/>
      <c r="AG348" s="3"/>
    </row>
    <row r="349" s="21" customFormat="1" spans="2:33">
      <c r="B349" s="3"/>
      <c r="C349" s="1379" t="s">
        <v>320</v>
      </c>
      <c r="D349" s="1380">
        <f>SUM(E349:G349)</f>
        <v>374705.078587142</v>
      </c>
      <c r="E349" s="1381">
        <v>123247.342703168</v>
      </c>
      <c r="F349" s="1381">
        <v>130293.046612659</v>
      </c>
      <c r="G349" s="1381">
        <v>121164.689271315</v>
      </c>
      <c r="H349" s="359"/>
      <c r="I349" s="359"/>
      <c r="J349" s="1351"/>
      <c r="K349" s="563"/>
      <c r="L349" s="563"/>
      <c r="M349" s="563"/>
      <c r="N349" s="563"/>
      <c r="O349" s="563"/>
      <c r="P349" s="563"/>
      <c r="Q349" s="563"/>
      <c r="R349" s="7"/>
      <c r="S349" s="7"/>
      <c r="T349" s="7"/>
      <c r="U349" s="7"/>
      <c r="V349" s="7"/>
      <c r="W349" s="7"/>
      <c r="X349" s="3"/>
      <c r="Y349" s="3"/>
      <c r="Z349" s="3"/>
      <c r="AA349" s="3"/>
      <c r="AB349" s="3"/>
      <c r="AC349" s="3"/>
      <c r="AD349" s="3"/>
      <c r="AE349" s="3"/>
      <c r="AF349" s="3"/>
      <c r="AG349" s="3"/>
    </row>
    <row r="350" s="21" customFormat="1" spans="2:33">
      <c r="B350" s="3"/>
      <c r="C350" s="1382" t="s">
        <v>321</v>
      </c>
      <c r="D350" s="1383">
        <f>SUM(E350:G350)</f>
        <v>51850.892161954</v>
      </c>
      <c r="E350" s="1377">
        <v>17054.560150465</v>
      </c>
      <c r="F350" s="1377">
        <v>18029.3514871364</v>
      </c>
      <c r="G350" s="1377">
        <v>16766.9805243525</v>
      </c>
      <c r="H350" s="7"/>
      <c r="I350" s="327"/>
      <c r="J350" s="326"/>
      <c r="K350" s="326"/>
      <c r="L350" s="326"/>
      <c r="M350" s="326"/>
      <c r="N350" s="326"/>
      <c r="O350" s="326"/>
      <c r="P350" s="326"/>
      <c r="Q350" s="326"/>
      <c r="R350" s="7"/>
      <c r="S350" s="7"/>
      <c r="T350" s="7"/>
      <c r="U350" s="7"/>
      <c r="V350" s="7"/>
      <c r="W350" s="7"/>
      <c r="X350" s="3"/>
      <c r="Y350" s="3"/>
      <c r="Z350" s="3"/>
      <c r="AA350" s="3"/>
      <c r="AB350" s="3"/>
      <c r="AC350" s="3"/>
      <c r="AD350" s="3"/>
      <c r="AE350" s="3"/>
      <c r="AF350" s="3"/>
      <c r="AG350" s="3"/>
    </row>
    <row r="351" s="21" customFormat="1" spans="2:33">
      <c r="B351" s="5"/>
      <c r="C351" s="1379" t="s">
        <v>322</v>
      </c>
      <c r="D351" s="1380">
        <f>SUM(E351:G351)</f>
        <v>322854.186425188</v>
      </c>
      <c r="E351" s="1381">
        <v>106192.782552703</v>
      </c>
      <c r="F351" s="1381">
        <v>112263.695125522</v>
      </c>
      <c r="G351" s="1381">
        <v>104397.708746963</v>
      </c>
      <c r="H351" s="7"/>
      <c r="I351" s="327"/>
      <c r="J351" s="326"/>
      <c r="K351" s="326"/>
      <c r="L351" s="326"/>
      <c r="M351" s="326"/>
      <c r="N351" s="326"/>
      <c r="O351" s="326"/>
      <c r="P351" s="326"/>
      <c r="Q351" s="326"/>
      <c r="R351" s="7"/>
      <c r="S351" s="7"/>
      <c r="T351" s="7"/>
      <c r="U351" s="7"/>
      <c r="V351" s="7"/>
      <c r="W351" s="7"/>
      <c r="X351" s="3"/>
      <c r="Y351" s="3"/>
      <c r="Z351" s="3"/>
      <c r="AA351" s="3"/>
      <c r="AB351" s="3"/>
      <c r="AC351" s="3"/>
      <c r="AD351" s="3"/>
      <c r="AE351" s="3"/>
      <c r="AF351" s="3"/>
      <c r="AG351" s="3"/>
    </row>
    <row r="352" s="21" customFormat="1" spans="2:33">
      <c r="B352" s="3" t="s">
        <v>298</v>
      </c>
      <c r="C352" s="5"/>
      <c r="D352" s="1387"/>
      <c r="E352" s="1387"/>
      <c r="F352" s="1387"/>
      <c r="G352" s="1387"/>
      <c r="H352" s="7"/>
      <c r="I352" s="327"/>
      <c r="J352" s="326"/>
      <c r="K352" s="326"/>
      <c r="L352" s="326"/>
      <c r="M352" s="326"/>
      <c r="N352" s="326"/>
      <c r="O352" s="326"/>
      <c r="P352" s="326"/>
      <c r="Q352" s="326"/>
      <c r="R352" s="7"/>
      <c r="S352" s="7"/>
      <c r="T352" s="7"/>
      <c r="U352" s="7"/>
      <c r="V352" s="7"/>
      <c r="W352" s="7"/>
      <c r="X352" s="3"/>
      <c r="Y352" s="3"/>
      <c r="Z352" s="3"/>
      <c r="AA352" s="3"/>
      <c r="AB352" s="3"/>
      <c r="AC352" s="3"/>
      <c r="AD352" s="3"/>
      <c r="AE352" s="3"/>
      <c r="AF352" s="3"/>
      <c r="AG352" s="3"/>
    </row>
    <row r="353" s="21" customFormat="1" spans="2:33">
      <c r="B353" s="3"/>
      <c r="C353" s="4"/>
      <c r="D353" s="1384"/>
      <c r="E353" s="1385"/>
      <c r="F353" s="1385"/>
      <c r="G353" s="1385"/>
      <c r="H353" s="7"/>
      <c r="I353" s="327"/>
      <c r="J353" s="326"/>
      <c r="K353" s="326"/>
      <c r="L353" s="326"/>
      <c r="M353" s="326"/>
      <c r="N353" s="326"/>
      <c r="O353" s="326"/>
      <c r="P353" s="326"/>
      <c r="Q353" s="326"/>
      <c r="R353" s="7"/>
      <c r="S353" s="7"/>
      <c r="T353" s="7"/>
      <c r="U353" s="7"/>
      <c r="V353" s="7"/>
      <c r="W353" s="7"/>
      <c r="X353" s="3"/>
      <c r="Y353" s="3"/>
      <c r="Z353" s="3"/>
      <c r="AA353" s="3"/>
      <c r="AB353" s="3"/>
      <c r="AC353" s="3"/>
      <c r="AD353" s="3"/>
      <c r="AE353" s="3"/>
      <c r="AF353" s="3"/>
      <c r="AG353" s="3"/>
    </row>
    <row r="354" s="21" customFormat="1" spans="2:33">
      <c r="B354" s="3"/>
      <c r="C354" s="1382" t="s">
        <v>319</v>
      </c>
      <c r="D354" s="1383">
        <f>SUM(E354:G354)</f>
        <v>62555.1049394227</v>
      </c>
      <c r="E354" s="1377">
        <v>20575.5163110464</v>
      </c>
      <c r="F354" s="1377">
        <v>21751.7607032819</v>
      </c>
      <c r="G354" s="1377">
        <v>20227.8279250944</v>
      </c>
      <c r="H354" s="7"/>
      <c r="I354" s="327"/>
      <c r="J354" s="326"/>
      <c r="K354" s="326"/>
      <c r="L354" s="326"/>
      <c r="M354" s="326"/>
      <c r="N354" s="326"/>
      <c r="O354" s="326"/>
      <c r="P354" s="326"/>
      <c r="Q354" s="326"/>
      <c r="R354" s="7"/>
      <c r="S354" s="7"/>
      <c r="T354" s="7"/>
      <c r="U354" s="7"/>
      <c r="V354" s="7"/>
      <c r="W354" s="7"/>
      <c r="X354" s="3"/>
      <c r="Y354" s="3"/>
      <c r="Z354" s="3"/>
      <c r="AA354" s="3"/>
      <c r="AB354" s="3"/>
      <c r="AC354" s="3"/>
      <c r="AD354" s="3"/>
      <c r="AE354" s="3"/>
      <c r="AF354" s="3"/>
      <c r="AG354" s="3"/>
    </row>
    <row r="355" s="21" customFormat="1" spans="2:33">
      <c r="B355" s="3"/>
      <c r="C355" s="1379" t="s">
        <v>320</v>
      </c>
      <c r="D355" s="1380">
        <f>SUM(E355:G355)</f>
        <v>374705.078587142</v>
      </c>
      <c r="E355" s="1381">
        <v>123247.342703168</v>
      </c>
      <c r="F355" s="1381">
        <v>130293.046612659</v>
      </c>
      <c r="G355" s="1381">
        <v>121164.689271315</v>
      </c>
      <c r="H355" s="7"/>
      <c r="I355" s="327"/>
      <c r="J355" s="326"/>
      <c r="K355" s="326"/>
      <c r="L355" s="326"/>
      <c r="M355" s="326"/>
      <c r="N355" s="326"/>
      <c r="O355" s="326"/>
      <c r="P355" s="326"/>
      <c r="Q355" s="326"/>
      <c r="R355" s="7"/>
      <c r="S355" s="7"/>
      <c r="T355" s="7"/>
      <c r="U355" s="7"/>
      <c r="V355" s="7"/>
      <c r="W355" s="7"/>
      <c r="X355" s="3"/>
      <c r="Y355" s="3"/>
      <c r="Z355" s="3"/>
      <c r="AA355" s="3"/>
      <c r="AB355" s="3"/>
      <c r="AC355" s="3"/>
      <c r="AD355" s="3"/>
      <c r="AE355" s="3"/>
      <c r="AF355" s="3"/>
      <c r="AG355" s="3"/>
    </row>
    <row r="356" s="21" customFormat="1" spans="2:33">
      <c r="B356" s="3"/>
      <c r="C356" s="1382" t="s">
        <v>321</v>
      </c>
      <c r="D356" s="1383">
        <f>SUM(E356:G356)</f>
        <v>51850.892161954</v>
      </c>
      <c r="E356" s="1377">
        <v>17054.560150465</v>
      </c>
      <c r="F356" s="1377">
        <v>18029.3514871364</v>
      </c>
      <c r="G356" s="1377">
        <v>16766.9805243525</v>
      </c>
      <c r="H356" s="7"/>
      <c r="I356" s="327"/>
      <c r="J356" s="326"/>
      <c r="K356" s="326"/>
      <c r="L356" s="326"/>
      <c r="M356" s="326"/>
      <c r="N356" s="326"/>
      <c r="O356" s="326"/>
      <c r="P356" s="326"/>
      <c r="Q356" s="326"/>
      <c r="R356" s="7"/>
      <c r="S356" s="7"/>
      <c r="T356" s="7"/>
      <c r="U356" s="7"/>
      <c r="V356" s="7"/>
      <c r="W356" s="7"/>
      <c r="X356" s="3"/>
      <c r="Y356" s="3"/>
      <c r="Z356" s="3"/>
      <c r="AA356" s="3"/>
      <c r="AB356" s="3"/>
      <c r="AC356" s="3"/>
      <c r="AD356" s="3"/>
      <c r="AE356" s="3"/>
      <c r="AF356" s="3"/>
      <c r="AG356" s="3"/>
    </row>
    <row r="357" s="21" customFormat="1" spans="2:33">
      <c r="B357" s="1388"/>
      <c r="C357" s="1379" t="s">
        <v>322</v>
      </c>
      <c r="D357" s="1380">
        <f>SUM(E357:G357)</f>
        <v>322854.186425188</v>
      </c>
      <c r="E357" s="1381">
        <v>106192.782552703</v>
      </c>
      <c r="F357" s="1381">
        <v>112263.695125522</v>
      </c>
      <c r="G357" s="1381">
        <v>104397.708746963</v>
      </c>
      <c r="H357" s="7"/>
      <c r="I357" s="327"/>
      <c r="J357" s="326"/>
      <c r="K357" s="326"/>
      <c r="L357" s="326"/>
      <c r="M357" s="326"/>
      <c r="N357" s="326"/>
      <c r="O357" s="326"/>
      <c r="P357" s="326"/>
      <c r="Q357" s="326"/>
      <c r="R357" s="7"/>
      <c r="S357" s="7"/>
      <c r="T357" s="7"/>
      <c r="U357" s="7"/>
      <c r="V357" s="7"/>
      <c r="W357" s="7"/>
      <c r="X357" s="3"/>
      <c r="Y357" s="3"/>
      <c r="Z357" s="3"/>
      <c r="AA357" s="3"/>
      <c r="AB357" s="3"/>
      <c r="AC357" s="3"/>
      <c r="AD357" s="3"/>
      <c r="AE357" s="3"/>
      <c r="AF357" s="3"/>
      <c r="AG357" s="3"/>
    </row>
    <row r="358" s="21" customFormat="1" spans="2:33">
      <c r="B358" s="7" t="s">
        <v>299</v>
      </c>
      <c r="C358" s="7"/>
      <c r="D358" s="1384"/>
      <c r="E358" s="1385"/>
      <c r="F358" s="1385"/>
      <c r="G358" s="1385"/>
      <c r="H358" s="7"/>
      <c r="I358" s="327"/>
      <c r="J358" s="326"/>
      <c r="K358" s="326"/>
      <c r="L358" s="326"/>
      <c r="M358" s="326"/>
      <c r="N358" s="326"/>
      <c r="O358" s="326"/>
      <c r="P358" s="326"/>
      <c r="Q358" s="326"/>
      <c r="R358" s="7"/>
      <c r="S358" s="7"/>
      <c r="T358" s="7"/>
      <c r="U358" s="7"/>
      <c r="V358" s="7"/>
      <c r="W358" s="7"/>
      <c r="X358" s="3"/>
      <c r="Y358" s="3"/>
      <c r="Z358" s="3"/>
      <c r="AA358" s="3"/>
      <c r="AB358" s="3"/>
      <c r="AC358" s="3"/>
      <c r="AD358" s="3"/>
      <c r="AE358" s="3"/>
      <c r="AF358" s="3"/>
      <c r="AG358" s="3"/>
    </row>
    <row r="359" s="21" customFormat="1" spans="2:33">
      <c r="B359" s="5"/>
      <c r="C359" s="5"/>
      <c r="D359" s="1384"/>
      <c r="E359" s="1385"/>
      <c r="F359" s="1385"/>
      <c r="G359" s="1385"/>
      <c r="H359" s="7"/>
      <c r="I359" s="327"/>
      <c r="J359" s="326"/>
      <c r="K359" s="326"/>
      <c r="L359" s="326"/>
      <c r="M359" s="326"/>
      <c r="N359" s="326"/>
      <c r="O359" s="326"/>
      <c r="P359" s="326"/>
      <c r="Q359" s="326"/>
      <c r="R359" s="7"/>
      <c r="S359" s="7"/>
      <c r="T359" s="7"/>
      <c r="U359" s="7"/>
      <c r="V359" s="7"/>
      <c r="W359" s="7"/>
      <c r="X359" s="3"/>
      <c r="Y359" s="3"/>
      <c r="Z359" s="3"/>
      <c r="AA359" s="3"/>
      <c r="AB359" s="3"/>
      <c r="AC359" s="3"/>
      <c r="AD359" s="3"/>
      <c r="AE359" s="3"/>
      <c r="AF359" s="3"/>
      <c r="AG359" s="3"/>
    </row>
    <row r="360" s="21" customFormat="1" spans="2:33">
      <c r="B360" s="3"/>
      <c r="C360" s="1382" t="s">
        <v>319</v>
      </c>
      <c r="D360" s="1383">
        <f>SUM(E360:G360)</f>
        <v>243717.04122893</v>
      </c>
      <c r="E360" s="1377">
        <v>70129.2282285562</v>
      </c>
      <c r="F360" s="1377">
        <v>78324.799589676</v>
      </c>
      <c r="G360" s="1377">
        <v>95263.0134106973</v>
      </c>
      <c r="H360" s="7"/>
      <c r="I360" s="327"/>
      <c r="J360" s="326"/>
      <c r="K360" s="326"/>
      <c r="L360" s="326"/>
      <c r="M360" s="326"/>
      <c r="N360" s="326"/>
      <c r="O360" s="326"/>
      <c r="P360" s="326"/>
      <c r="Q360" s="326"/>
      <c r="R360" s="7"/>
      <c r="S360" s="7"/>
      <c r="T360" s="7"/>
      <c r="U360" s="7"/>
      <c r="V360" s="7"/>
      <c r="W360" s="7"/>
      <c r="X360" s="3"/>
      <c r="Y360" s="3"/>
      <c r="Z360" s="3"/>
      <c r="AA360" s="3"/>
      <c r="AB360" s="3"/>
      <c r="AC360" s="3"/>
      <c r="AD360" s="3"/>
      <c r="AE360" s="3"/>
      <c r="AF360" s="3"/>
      <c r="AG360" s="3"/>
    </row>
    <row r="361" s="21" customFormat="1" spans="2:33">
      <c r="B361" s="5"/>
      <c r="C361" s="1389" t="s">
        <v>320</v>
      </c>
      <c r="D361" s="1380">
        <f>SUM(E361:G361)</f>
        <v>597106.751010877</v>
      </c>
      <c r="E361" s="1390">
        <v>171816.609159963</v>
      </c>
      <c r="F361" s="1390">
        <v>191895.758994706</v>
      </c>
      <c r="G361" s="1390">
        <v>233394.382856208</v>
      </c>
      <c r="H361" s="7"/>
      <c r="I361" s="327"/>
      <c r="J361" s="326"/>
      <c r="K361" s="326"/>
      <c r="L361" s="326"/>
      <c r="M361" s="326"/>
      <c r="N361" s="326"/>
      <c r="O361" s="326"/>
      <c r="P361" s="326"/>
      <c r="Q361" s="326"/>
      <c r="R361" s="7"/>
      <c r="S361" s="7"/>
      <c r="T361" s="7"/>
      <c r="U361" s="7"/>
      <c r="V361" s="7"/>
      <c r="W361" s="7"/>
      <c r="X361" s="3"/>
      <c r="Y361" s="3"/>
      <c r="Z361" s="3"/>
      <c r="AA361" s="3"/>
      <c r="AB361" s="3"/>
      <c r="AC361" s="3"/>
      <c r="AD361" s="3"/>
      <c r="AE361" s="3"/>
      <c r="AF361" s="3"/>
      <c r="AG361" s="3"/>
    </row>
    <row r="362" s="21" customFormat="1" spans="2:33">
      <c r="B362" s="7"/>
      <c r="C362" s="1382" t="s">
        <v>321</v>
      </c>
      <c r="D362" s="1391">
        <f>SUM(E362:G362)</f>
        <v>199847.973807722</v>
      </c>
      <c r="E362" s="1392">
        <v>57505.9671474161</v>
      </c>
      <c r="F362" s="1392">
        <v>64226.3356635344</v>
      </c>
      <c r="G362" s="1392">
        <v>78115.6709967718</v>
      </c>
      <c r="H362" s="7"/>
      <c r="I362" s="327"/>
      <c r="J362" s="326"/>
      <c r="K362" s="326"/>
      <c r="L362" s="326"/>
      <c r="M362" s="326"/>
      <c r="N362" s="326"/>
      <c r="O362" s="326"/>
      <c r="P362" s="326"/>
      <c r="Q362" s="326"/>
      <c r="R362" s="7"/>
      <c r="S362" s="7"/>
      <c r="T362" s="7"/>
      <c r="U362" s="7"/>
      <c r="V362" s="7"/>
      <c r="W362" s="7"/>
      <c r="X362" s="3"/>
      <c r="Y362" s="3"/>
      <c r="Z362" s="3"/>
      <c r="AA362" s="3"/>
      <c r="AB362" s="3"/>
      <c r="AC362" s="3"/>
      <c r="AD362" s="3"/>
      <c r="AE362" s="3"/>
      <c r="AF362" s="3"/>
      <c r="AG362" s="3"/>
    </row>
    <row r="363" s="21" customFormat="1" spans="2:33">
      <c r="B363" s="3"/>
      <c r="C363" s="1389" t="s">
        <v>322</v>
      </c>
      <c r="D363" s="1380">
        <f>SUM(E363:G363)</f>
        <v>397258.777203155</v>
      </c>
      <c r="E363" s="1390">
        <v>114310.642012547</v>
      </c>
      <c r="F363" s="1390">
        <v>127669.423331172</v>
      </c>
      <c r="G363" s="1390">
        <v>155278.711859437</v>
      </c>
      <c r="H363" s="7"/>
      <c r="I363" s="327"/>
      <c r="J363" s="326"/>
      <c r="K363" s="326"/>
      <c r="L363" s="326"/>
      <c r="M363" s="326"/>
      <c r="N363" s="326"/>
      <c r="O363" s="326"/>
      <c r="P363" s="326"/>
      <c r="Q363" s="326"/>
      <c r="R363" s="7"/>
      <c r="S363" s="7"/>
      <c r="T363" s="7"/>
      <c r="U363" s="7"/>
      <c r="V363" s="7"/>
      <c r="W363" s="7"/>
      <c r="X363" s="3"/>
      <c r="Y363" s="3"/>
      <c r="Z363" s="3"/>
      <c r="AA363" s="3"/>
      <c r="AB363" s="3"/>
      <c r="AC363" s="3"/>
      <c r="AD363" s="3"/>
      <c r="AE363" s="3"/>
      <c r="AF363" s="3"/>
      <c r="AG363" s="3"/>
    </row>
    <row r="364" s="21" customFormat="1" spans="2:33">
      <c r="B364" s="3" t="s">
        <v>300</v>
      </c>
      <c r="C364" s="7"/>
      <c r="D364" s="1375"/>
      <c r="E364" s="1375"/>
      <c r="F364" s="1375"/>
      <c r="G364" s="1375"/>
      <c r="H364" s="7"/>
      <c r="I364" s="327"/>
      <c r="J364" s="326"/>
      <c r="K364" s="326"/>
      <c r="L364" s="326"/>
      <c r="M364" s="326"/>
      <c r="N364" s="326"/>
      <c r="O364" s="326"/>
      <c r="P364" s="326"/>
      <c r="Q364" s="326"/>
      <c r="R364" s="7"/>
      <c r="S364" s="7"/>
      <c r="T364" s="7"/>
      <c r="U364" s="7"/>
      <c r="V364" s="7"/>
      <c r="W364" s="7"/>
      <c r="X364" s="3"/>
      <c r="Y364" s="3"/>
      <c r="Z364" s="3"/>
      <c r="AA364" s="3"/>
      <c r="AB364" s="3"/>
      <c r="AC364" s="3"/>
      <c r="AD364" s="3"/>
      <c r="AE364" s="3"/>
      <c r="AF364" s="3"/>
      <c r="AG364" s="3"/>
    </row>
    <row r="365" s="21" customFormat="1" spans="2:33">
      <c r="B365" s="7"/>
      <c r="C365" s="7"/>
      <c r="D365" s="1375"/>
      <c r="E365" s="1375"/>
      <c r="F365" s="1375"/>
      <c r="G365" s="1375"/>
      <c r="H365" s="7"/>
      <c r="I365" s="7"/>
      <c r="J365" s="7"/>
      <c r="K365" s="7"/>
      <c r="L365" s="7"/>
      <c r="M365" s="7"/>
      <c r="N365" s="7"/>
      <c r="O365" s="7"/>
      <c r="P365" s="7"/>
      <c r="Q365" s="7"/>
      <c r="R365" s="7"/>
      <c r="S365" s="7"/>
      <c r="T365" s="7"/>
      <c r="U365" s="7"/>
      <c r="V365" s="7"/>
      <c r="W365" s="7"/>
      <c r="X365" s="3"/>
      <c r="Y365" s="3"/>
      <c r="Z365" s="3"/>
      <c r="AA365" s="3"/>
      <c r="AB365" s="3"/>
      <c r="AC365" s="3"/>
      <c r="AD365" s="3"/>
      <c r="AE365" s="3"/>
      <c r="AF365" s="3"/>
      <c r="AG365" s="3"/>
    </row>
    <row r="366" s="21" customFormat="1" spans="2:33">
      <c r="B366" s="7"/>
      <c r="C366" s="1382" t="s">
        <v>319</v>
      </c>
      <c r="D366" s="1391">
        <f>SUM(E366:G366)</f>
        <v>264336.553810065</v>
      </c>
      <c r="E366" s="1391">
        <v>84184.4623246669</v>
      </c>
      <c r="F366" s="1391">
        <v>85555.0316499103</v>
      </c>
      <c r="G366" s="1391">
        <v>94597.0598354882</v>
      </c>
      <c r="H366" s="7"/>
      <c r="I366" s="7"/>
      <c r="J366" s="7"/>
      <c r="K366" s="7"/>
      <c r="L366" s="7"/>
      <c r="M366" s="7"/>
      <c r="N366" s="7"/>
      <c r="O366" s="7"/>
      <c r="P366" s="7"/>
      <c r="Q366" s="7"/>
      <c r="R366" s="7"/>
      <c r="S366" s="7"/>
      <c r="T366" s="7"/>
      <c r="U366" s="7"/>
      <c r="V366" s="7"/>
      <c r="W366" s="7"/>
      <c r="X366" s="3"/>
      <c r="Y366" s="3"/>
      <c r="Z366" s="3"/>
      <c r="AA366" s="3"/>
      <c r="AB366" s="3"/>
      <c r="AC366" s="3"/>
      <c r="AD366" s="3"/>
      <c r="AE366" s="3"/>
      <c r="AF366" s="3"/>
      <c r="AG366" s="3"/>
    </row>
    <row r="367" s="1225" customFormat="1" spans="2:23">
      <c r="B367" s="5"/>
      <c r="C367" s="1379" t="s">
        <v>320</v>
      </c>
      <c r="D367" s="1393">
        <f>SUM(E367:G367)</f>
        <v>790366.295892096</v>
      </c>
      <c r="E367" s="1393">
        <v>251711.542350754</v>
      </c>
      <c r="F367" s="1393">
        <v>255809.544633232</v>
      </c>
      <c r="G367" s="1393">
        <v>282845.20890811</v>
      </c>
      <c r="H367" s="1336"/>
      <c r="I367" s="1336"/>
      <c r="J367" s="1336"/>
      <c r="K367" s="1336"/>
      <c r="L367" s="1336"/>
      <c r="M367" s="1336"/>
      <c r="N367" s="1336"/>
      <c r="O367" s="1336"/>
      <c r="P367" s="1346"/>
      <c r="Q367" s="563"/>
      <c r="R367" s="563"/>
      <c r="S367" s="563"/>
      <c r="T367" s="563"/>
      <c r="U367" s="563"/>
      <c r="V367" s="563"/>
      <c r="W367" s="563"/>
    </row>
    <row r="368" s="1225" customFormat="1" spans="2:23">
      <c r="B368" s="5"/>
      <c r="C368" s="1382" t="s">
        <v>321</v>
      </c>
      <c r="D368" s="1394">
        <f>SUM(E368:G368)</f>
        <v>226783.176489271</v>
      </c>
      <c r="E368" s="1394">
        <v>72236.5977768597</v>
      </c>
      <c r="F368" s="1394">
        <v>73416.9805570586</v>
      </c>
      <c r="G368" s="1394">
        <v>81129.5981553524</v>
      </c>
      <c r="H368" s="1336"/>
      <c r="I368" s="1336"/>
      <c r="J368" s="1336"/>
      <c r="K368" s="1336"/>
      <c r="L368" s="1336"/>
      <c r="M368" s="1336"/>
      <c r="N368" s="1336"/>
      <c r="O368" s="1336"/>
      <c r="P368" s="1346"/>
      <c r="Q368" s="563"/>
      <c r="R368" s="563"/>
      <c r="S368" s="563"/>
      <c r="T368" s="563"/>
      <c r="U368" s="563"/>
      <c r="V368" s="563"/>
      <c r="W368" s="563"/>
    </row>
    <row r="369" s="1225" customFormat="1" spans="2:23">
      <c r="B369" s="5"/>
      <c r="C369" s="1379" t="s">
        <v>322</v>
      </c>
      <c r="D369" s="1393">
        <f>SUM(E369:G369)</f>
        <v>563583.119402825</v>
      </c>
      <c r="E369" s="1393">
        <v>179474.944573894</v>
      </c>
      <c r="F369" s="1393">
        <v>182392.564076173</v>
      </c>
      <c r="G369" s="1393">
        <v>201715.610752757</v>
      </c>
      <c r="H369" s="1336"/>
      <c r="I369" s="1336"/>
      <c r="J369" s="1336"/>
      <c r="K369" s="1336"/>
      <c r="L369" s="1336"/>
      <c r="M369" s="1336"/>
      <c r="N369" s="1336"/>
      <c r="O369" s="1336"/>
      <c r="P369" s="1346"/>
      <c r="Q369" s="563"/>
      <c r="R369" s="563"/>
      <c r="S369" s="563"/>
      <c r="T369" s="563"/>
      <c r="U369" s="563"/>
      <c r="V369" s="563"/>
      <c r="W369" s="563"/>
    </row>
    <row r="370" s="1225" customFormat="1" spans="2:33">
      <c r="B370" s="7" t="s">
        <v>301</v>
      </c>
      <c r="C370" s="7"/>
      <c r="D370" s="1375"/>
      <c r="E370" s="1375"/>
      <c r="F370" s="1375"/>
      <c r="G370" s="1375"/>
      <c r="H370" s="7"/>
      <c r="I370" s="7"/>
      <c r="J370" s="7"/>
      <c r="K370" s="7"/>
      <c r="L370" s="7"/>
      <c r="M370" s="7"/>
      <c r="N370" s="7"/>
      <c r="O370" s="7"/>
      <c r="P370" s="7"/>
      <c r="Q370" s="7"/>
      <c r="R370" s="7"/>
      <c r="S370" s="7"/>
      <c r="T370" s="7"/>
      <c r="U370" s="7"/>
      <c r="V370" s="7"/>
      <c r="W370" s="7"/>
      <c r="X370" s="3"/>
      <c r="Y370" s="3"/>
      <c r="Z370" s="3"/>
      <c r="AA370" s="3"/>
      <c r="AB370" s="3"/>
      <c r="AC370" s="3"/>
      <c r="AD370" s="3"/>
      <c r="AE370" s="3"/>
      <c r="AF370" s="3"/>
      <c r="AG370" s="3"/>
    </row>
    <row r="371" s="21" customFormat="1" spans="2:33">
      <c r="B371" s="7"/>
      <c r="C371" s="7"/>
      <c r="D371" s="1375"/>
      <c r="E371" s="1375"/>
      <c r="F371" s="1375"/>
      <c r="G371" s="1375"/>
      <c r="H371" s="7"/>
      <c r="I371" s="7"/>
      <c r="J371" s="7"/>
      <c r="K371" s="7"/>
      <c r="L371" s="7"/>
      <c r="M371" s="7"/>
      <c r="N371" s="7"/>
      <c r="O371" s="7"/>
      <c r="P371" s="7"/>
      <c r="Q371" s="7"/>
      <c r="R371" s="7"/>
      <c r="S371" s="7"/>
      <c r="T371" s="7"/>
      <c r="U371" s="7"/>
      <c r="V371" s="7"/>
      <c r="W371" s="7"/>
      <c r="X371" s="3"/>
      <c r="Y371" s="3"/>
      <c r="Z371" s="3"/>
      <c r="AA371" s="3"/>
      <c r="AB371" s="3"/>
      <c r="AC371" s="3"/>
      <c r="AD371" s="3"/>
      <c r="AE371" s="3"/>
      <c r="AF371" s="3"/>
      <c r="AG371" s="3"/>
    </row>
    <row r="372" s="21" customFormat="1" spans="2:33">
      <c r="B372" s="7"/>
      <c r="C372" s="1382" t="s">
        <v>319</v>
      </c>
      <c r="D372" s="1391">
        <f>SUM(E372:G372)</f>
        <v>10543.8777360217</v>
      </c>
      <c r="E372" s="1391">
        <v>3191.37407319295</v>
      </c>
      <c r="F372" s="1391">
        <v>3058.46830808702</v>
      </c>
      <c r="G372" s="1391">
        <v>4294.03535474175</v>
      </c>
      <c r="H372" s="7"/>
      <c r="I372" s="7"/>
      <c r="J372" s="7"/>
      <c r="K372" s="7"/>
      <c r="L372" s="7"/>
      <c r="M372" s="7"/>
      <c r="N372" s="7"/>
      <c r="O372" s="7"/>
      <c r="P372" s="7"/>
      <c r="Q372" s="7"/>
      <c r="R372" s="7"/>
      <c r="S372" s="7"/>
      <c r="T372" s="7"/>
      <c r="U372" s="7"/>
      <c r="V372" s="7"/>
      <c r="W372" s="7"/>
      <c r="X372" s="3"/>
      <c r="Y372" s="3"/>
      <c r="Z372" s="3"/>
      <c r="AA372" s="3"/>
      <c r="AB372" s="3"/>
      <c r="AC372" s="3"/>
      <c r="AD372" s="3"/>
      <c r="AE372" s="3"/>
      <c r="AF372" s="3"/>
      <c r="AG372" s="3"/>
    </row>
    <row r="373" s="21" customFormat="1" spans="2:33">
      <c r="B373" s="7"/>
      <c r="C373" s="1379" t="s">
        <v>320</v>
      </c>
      <c r="D373" s="1390">
        <f>SUM(E373:G373)</f>
        <v>20982.3166946832</v>
      </c>
      <c r="E373" s="1390">
        <v>6350.83440565398</v>
      </c>
      <c r="F373" s="1390">
        <v>6086.35193309318</v>
      </c>
      <c r="G373" s="1390">
        <v>8545.13035593608</v>
      </c>
      <c r="H373" s="7"/>
      <c r="I373" s="7"/>
      <c r="J373" s="7"/>
      <c r="K373" s="7"/>
      <c r="L373" s="7"/>
      <c r="M373" s="7"/>
      <c r="N373" s="7"/>
      <c r="O373" s="7"/>
      <c r="P373" s="7"/>
      <c r="Q373" s="7"/>
      <c r="R373" s="7"/>
      <c r="S373" s="7"/>
      <c r="T373" s="7"/>
      <c r="U373" s="7"/>
      <c r="V373" s="7"/>
      <c r="W373" s="7"/>
      <c r="X373" s="3"/>
      <c r="Y373" s="3"/>
      <c r="Z373" s="3"/>
      <c r="AA373" s="3"/>
      <c r="AB373" s="3"/>
      <c r="AC373" s="3"/>
      <c r="AD373" s="3"/>
      <c r="AE373" s="3"/>
      <c r="AF373" s="3"/>
      <c r="AG373" s="3"/>
    </row>
    <row r="374" s="21" customFormat="1" spans="2:33">
      <c r="B374" s="7"/>
      <c r="C374" s="1382" t="s">
        <v>321</v>
      </c>
      <c r="D374" s="1391">
        <f>SUM(E374:G374)</f>
        <v>8731.53424118947</v>
      </c>
      <c r="E374" s="1391">
        <v>2639.72881616357</v>
      </c>
      <c r="F374" s="1391">
        <v>2537.95838547498</v>
      </c>
      <c r="G374" s="1391">
        <v>3553.84703955091</v>
      </c>
      <c r="H374" s="7"/>
      <c r="I374" s="7"/>
      <c r="J374" s="7"/>
      <c r="K374" s="7"/>
      <c r="L374" s="7"/>
      <c r="M374" s="7"/>
      <c r="N374" s="7"/>
      <c r="O374" s="7"/>
      <c r="P374" s="7"/>
      <c r="Q374" s="7"/>
      <c r="R374" s="7"/>
      <c r="S374" s="7"/>
      <c r="T374" s="7"/>
      <c r="U374" s="7"/>
      <c r="V374" s="7"/>
      <c r="W374" s="7"/>
      <c r="X374" s="3"/>
      <c r="Y374" s="3"/>
      <c r="Z374" s="3"/>
      <c r="AA374" s="3"/>
      <c r="AB374" s="3"/>
      <c r="AC374" s="3"/>
      <c r="AD374" s="3"/>
      <c r="AE374" s="3"/>
      <c r="AF374" s="3"/>
      <c r="AG374" s="3"/>
    </row>
    <row r="375" s="21" customFormat="1" spans="2:33">
      <c r="B375" s="7"/>
      <c r="C375" s="1379" t="s">
        <v>322</v>
      </c>
      <c r="D375" s="1390">
        <f>SUM(E375:G375)</f>
        <v>12250.7824534938</v>
      </c>
      <c r="E375" s="1390">
        <v>3711.1055894904</v>
      </c>
      <c r="F375" s="1390">
        <v>3548.3935476182</v>
      </c>
      <c r="G375" s="1390">
        <v>4991.28331638516</v>
      </c>
      <c r="H375" s="7"/>
      <c r="I375" s="7"/>
      <c r="J375" s="7"/>
      <c r="K375" s="7"/>
      <c r="L375" s="7"/>
      <c r="M375" s="7"/>
      <c r="N375" s="7"/>
      <c r="O375" s="7"/>
      <c r="P375" s="7"/>
      <c r="Q375" s="7"/>
      <c r="R375" s="7"/>
      <c r="S375" s="7"/>
      <c r="T375" s="7"/>
      <c r="U375" s="7"/>
      <c r="V375" s="7"/>
      <c r="W375" s="7"/>
      <c r="X375" s="3"/>
      <c r="Y375" s="3"/>
      <c r="Z375" s="3"/>
      <c r="AA375" s="3"/>
      <c r="AB375" s="3"/>
      <c r="AC375" s="3"/>
      <c r="AD375" s="3"/>
      <c r="AE375" s="3"/>
      <c r="AF375" s="3"/>
      <c r="AG375" s="3"/>
    </row>
    <row r="376" s="21" customFormat="1" spans="2:33">
      <c r="B376" s="7"/>
      <c r="C376" s="7"/>
      <c r="D376" s="1375"/>
      <c r="E376" s="1375"/>
      <c r="F376" s="1375"/>
      <c r="G376" s="1375"/>
      <c r="H376" s="7"/>
      <c r="I376" s="7"/>
      <c r="J376" s="7"/>
      <c r="K376" s="7"/>
      <c r="L376" s="7"/>
      <c r="M376" s="7"/>
      <c r="N376" s="7"/>
      <c r="O376" s="7"/>
      <c r="P376" s="7"/>
      <c r="Q376" s="7"/>
      <c r="R376" s="7"/>
      <c r="S376" s="7"/>
      <c r="T376" s="7"/>
      <c r="U376" s="7"/>
      <c r="V376" s="7"/>
      <c r="W376" s="7"/>
      <c r="X376" s="3"/>
      <c r="Y376" s="3"/>
      <c r="Z376" s="3"/>
      <c r="AA376" s="3"/>
      <c r="AB376" s="3"/>
      <c r="AC376" s="3"/>
      <c r="AD376" s="3"/>
      <c r="AE376" s="3"/>
      <c r="AF376" s="3"/>
      <c r="AG376" s="3"/>
    </row>
    <row r="377" s="21" customFormat="1" spans="2:33">
      <c r="B377" s="7"/>
      <c r="C377" s="1389" t="s">
        <v>323</v>
      </c>
      <c r="D377" s="1390">
        <f>SUM(E377:G377)</f>
        <v>3150846.25508516</v>
      </c>
      <c r="E377" s="1390">
        <v>978226.713410561</v>
      </c>
      <c r="F377" s="1390">
        <v>1033472.24250639</v>
      </c>
      <c r="G377" s="1390">
        <v>1139147.2991682</v>
      </c>
      <c r="H377" s="7"/>
      <c r="I377" s="7"/>
      <c r="J377" s="7"/>
      <c r="K377" s="7"/>
      <c r="L377" s="7"/>
      <c r="M377" s="7"/>
      <c r="N377" s="7"/>
      <c r="O377" s="7"/>
      <c r="P377" s="7"/>
      <c r="Q377" s="7"/>
      <c r="R377" s="7"/>
      <c r="S377" s="7"/>
      <c r="T377" s="7"/>
      <c r="U377" s="7"/>
      <c r="V377" s="7"/>
      <c r="W377" s="7"/>
      <c r="X377" s="3"/>
      <c r="Y377" s="3"/>
      <c r="Z377" s="3"/>
      <c r="AA377" s="3"/>
      <c r="AB377" s="3"/>
      <c r="AC377" s="3"/>
      <c r="AD377" s="3"/>
      <c r="AE377" s="3"/>
      <c r="AF377" s="3"/>
      <c r="AG377" s="3"/>
    </row>
    <row r="378" s="21" customFormat="1" spans="2:33">
      <c r="B378" s="7"/>
      <c r="C378" s="1395" t="s">
        <v>324</v>
      </c>
      <c r="D378" s="1391">
        <f>SUM(E378:G378)</f>
        <v>673145.763229172</v>
      </c>
      <c r="E378" s="1391">
        <v>207075.200531422</v>
      </c>
      <c r="F378" s="1391">
        <v>219079.724939319</v>
      </c>
      <c r="G378" s="1391">
        <v>246990.837758431</v>
      </c>
      <c r="H378" s="7"/>
      <c r="I378" s="7"/>
      <c r="J378" s="7"/>
      <c r="K378" s="7"/>
      <c r="L378" s="7"/>
      <c r="M378" s="7"/>
      <c r="N378" s="7"/>
      <c r="O378" s="7"/>
      <c r="P378" s="7"/>
      <c r="Q378" s="7"/>
      <c r="R378" s="7"/>
      <c r="S378" s="7"/>
      <c r="T378" s="7"/>
      <c r="U378" s="7"/>
      <c r="V378" s="7"/>
      <c r="W378" s="7"/>
      <c r="X378" s="3"/>
      <c r="Y378" s="3"/>
      <c r="Z378" s="3"/>
      <c r="AA378" s="3"/>
      <c r="AB378" s="3"/>
      <c r="AC378" s="3"/>
      <c r="AD378" s="3"/>
      <c r="AE378" s="3"/>
      <c r="AF378" s="3"/>
      <c r="AG378" s="3"/>
    </row>
    <row r="379" s="21" customFormat="1" spans="2:33">
      <c r="B379" s="3"/>
      <c r="C379" s="1396" t="s">
        <v>325</v>
      </c>
      <c r="D379" s="1390">
        <f>SUM(E379:G379)</f>
        <v>2477700.49185598</v>
      </c>
      <c r="E379" s="1390">
        <v>771151.512879139</v>
      </c>
      <c r="F379" s="1390">
        <v>814392.517567073</v>
      </c>
      <c r="G379" s="1390">
        <v>892156.461409772</v>
      </c>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row>
    <row r="380" s="21" customFormat="1" spans="2:33">
      <c r="B380" s="3"/>
      <c r="C380" s="3"/>
      <c r="D380" s="1375"/>
      <c r="E380" s="1375"/>
      <c r="F380" s="1375"/>
      <c r="G380" s="1375"/>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row>
    <row r="381" s="21" customFormat="1" spans="2:7">
      <c r="B381" s="21" t="s">
        <v>326</v>
      </c>
      <c r="D381" s="1397"/>
      <c r="E381" s="1397"/>
      <c r="F381" s="1397"/>
      <c r="G381" s="1397"/>
    </row>
    <row r="382" s="21" customFormat="1" spans="3:7">
      <c r="C382" s="1398" t="s">
        <v>308</v>
      </c>
      <c r="D382" s="1399">
        <f>SUM(E382:G382)</f>
        <v>240640</v>
      </c>
      <c r="E382" s="1399">
        <v>84000</v>
      </c>
      <c r="F382" s="1399">
        <v>80000</v>
      </c>
      <c r="G382" s="1399">
        <v>76640</v>
      </c>
    </row>
    <row r="383" s="21" customFormat="1" spans="3:7">
      <c r="C383" s="1400" t="s">
        <v>309</v>
      </c>
      <c r="D383" s="1401">
        <f>SUM(E383:G383)</f>
        <v>71655</v>
      </c>
      <c r="E383" s="1401">
        <v>20500</v>
      </c>
      <c r="F383" s="1401">
        <v>26650</v>
      </c>
      <c r="G383" s="1401">
        <v>24505</v>
      </c>
    </row>
    <row r="384" s="21" customFormat="1" spans="3:7">
      <c r="C384" s="1398" t="s">
        <v>69</v>
      </c>
      <c r="D384" s="1399">
        <f>SUM(E384:G384)</f>
        <v>221099</v>
      </c>
      <c r="E384" s="1399">
        <v>86900</v>
      </c>
      <c r="F384" s="1399">
        <v>72790</v>
      </c>
      <c r="G384" s="1399">
        <v>61409</v>
      </c>
    </row>
    <row r="385" s="21" customFormat="1" spans="3:7">
      <c r="C385" s="1400" t="s">
        <v>172</v>
      </c>
      <c r="D385" s="1401">
        <f>SUM(E385:G385)</f>
        <v>212793.75</v>
      </c>
      <c r="E385" s="1401">
        <v>67500</v>
      </c>
      <c r="F385" s="1401">
        <v>70875</v>
      </c>
      <c r="G385" s="1401">
        <v>74418.75</v>
      </c>
    </row>
    <row r="386" s="21" customFormat="1" spans="3:7">
      <c r="C386" s="1403"/>
      <c r="D386" s="1397"/>
      <c r="E386" s="1397"/>
      <c r="F386" s="1397"/>
      <c r="G386" s="1397"/>
    </row>
    <row r="387" s="21" customFormat="1" spans="3:7">
      <c r="C387" s="1400" t="s">
        <v>328</v>
      </c>
      <c r="D387" s="1401">
        <f>SUM(E387:G387)</f>
        <v>42468.7445377629</v>
      </c>
      <c r="E387" s="1401">
        <v>14156.2481792543</v>
      </c>
      <c r="F387" s="1401">
        <v>14156.2481792543</v>
      </c>
      <c r="G387" s="1401">
        <v>14156.2481792543</v>
      </c>
    </row>
    <row r="388" s="21" customFormat="1" spans="4:7">
      <c r="D388" s="1397"/>
      <c r="E388" s="1397"/>
      <c r="F388" s="1397"/>
      <c r="G388" s="1397"/>
    </row>
    <row r="389" s="21" customFormat="1" spans="3:7">
      <c r="C389" s="1400" t="s">
        <v>329</v>
      </c>
      <c r="D389" s="1401">
        <f>SUM(E389:G389)</f>
        <v>823231.494537763</v>
      </c>
      <c r="E389" s="1401">
        <v>280556.248179254</v>
      </c>
      <c r="F389" s="1401">
        <v>278721.248179254</v>
      </c>
      <c r="G389" s="1401">
        <v>263953.998179254</v>
      </c>
    </row>
    <row r="390" s="21" customFormat="1" spans="2:7">
      <c r="B390" s="1403"/>
      <c r="C390" s="1403"/>
      <c r="D390" s="1397"/>
      <c r="E390" s="1397"/>
      <c r="F390" s="1397"/>
      <c r="G390" s="1397"/>
    </row>
    <row r="391" s="21" customFormat="1" spans="3:7">
      <c r="C391" s="1400" t="s">
        <v>168</v>
      </c>
      <c r="D391" s="1401">
        <f>SUM(E391:G391)</f>
        <v>34575</v>
      </c>
      <c r="E391" s="1401">
        <v>7500</v>
      </c>
      <c r="F391" s="1401">
        <v>14250</v>
      </c>
      <c r="G391" s="1401">
        <v>12825</v>
      </c>
    </row>
    <row r="392" s="21" customFormat="1" spans="3:7">
      <c r="C392" s="1398" t="s">
        <v>330</v>
      </c>
      <c r="D392" s="1399">
        <f>SUM(E392:G392)</f>
        <v>1654468.99731822</v>
      </c>
      <c r="E392" s="1399">
        <v>490595.264699885</v>
      </c>
      <c r="F392" s="1399">
        <v>535671.269387819</v>
      </c>
      <c r="G392" s="1399">
        <v>628202.463230518</v>
      </c>
    </row>
    <row r="393" s="21" customFormat="1" spans="3:7">
      <c r="C393" s="1403"/>
      <c r="D393" s="1397"/>
      <c r="E393" s="1397"/>
      <c r="F393" s="1397"/>
      <c r="G393" s="1397"/>
    </row>
    <row r="394" s="21" customFormat="1" spans="3:7">
      <c r="C394" s="1403"/>
      <c r="D394" s="1397"/>
      <c r="E394" s="1397"/>
      <c r="F394" s="1397"/>
      <c r="G394" s="1397"/>
    </row>
    <row r="395" spans="3:7">
      <c r="C395" s="1404" t="s">
        <v>333</v>
      </c>
      <c r="D395" s="1401"/>
      <c r="E395" s="1401">
        <v>217946.448524914</v>
      </c>
      <c r="F395" s="1401">
        <v>619699.900565778</v>
      </c>
      <c r="G395" s="1401">
        <v>1090851.74798867</v>
      </c>
    </row>
    <row r="396" spans="3:7">
      <c r="C396" s="1405" t="s">
        <v>334</v>
      </c>
      <c r="D396" s="1399">
        <f>SUM(E396:G396)</f>
        <v>1240851.74798867</v>
      </c>
      <c r="E396" s="1399">
        <v>367946.448524914</v>
      </c>
      <c r="F396" s="1399">
        <v>401753.452040864</v>
      </c>
      <c r="G396" s="1399">
        <v>471151.847422888</v>
      </c>
    </row>
    <row r="397" spans="3:7">
      <c r="C397" s="1404" t="s">
        <v>315</v>
      </c>
      <c r="D397" s="1401" t="s">
        <v>346</v>
      </c>
      <c r="E397" s="1401" t="s">
        <v>103</v>
      </c>
      <c r="F397" s="1401" t="s">
        <v>104</v>
      </c>
      <c r="G397" s="1401" t="s">
        <v>343</v>
      </c>
    </row>
    <row r="398" spans="4:7">
      <c r="D398" s="1397"/>
      <c r="E398" s="1397"/>
      <c r="F398" s="1397"/>
      <c r="G398" s="1397"/>
    </row>
    <row r="399" spans="4:7">
      <c r="D399" s="1397"/>
      <c r="E399" s="1397"/>
      <c r="F399" s="1397"/>
      <c r="G399" s="1397"/>
    </row>
    <row r="400" spans="4:7">
      <c r="D400" s="1397"/>
      <c r="E400" s="1397"/>
      <c r="F400" s="1397"/>
      <c r="G400" s="1397"/>
    </row>
  </sheetData>
  <mergeCells count="1">
    <mergeCell ref="E48:H48"/>
  </mergeCells>
  <pageMargins left="0.25" right="0.25" top="0.75" bottom="0.75" header="0.3" footer="0.3"/>
  <pageSetup paperSize="1" scale="55" fitToHeight="0" orientation="portrait"/>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1"/>
  <legacyDrawing r:id="rId2"/>
  <controls>
    <mc:AlternateContent xmlns:mc="http://schemas.openxmlformats.org/markup-compatibility/2006">
      <mc:Choice Requires="x14">
        <control shapeId="40961" r:id="rId3" name="ComboBox1">
          <controlPr defaultSize="0" r:id="rId4">
            <anchor moveWithCells="1">
              <from>
                <xdr:col>2</xdr:col>
                <xdr:colOff>431165</xdr:colOff>
                <xdr:row>0</xdr:row>
                <xdr:rowOff>77470</xdr:rowOff>
              </from>
              <to>
                <xdr:col>6</xdr:col>
                <xdr:colOff>22860</xdr:colOff>
                <xdr:row>0</xdr:row>
                <xdr:rowOff>320040</xdr:rowOff>
              </to>
            </anchor>
          </controlPr>
        </control>
      </mc:Choice>
      <mc:Fallback>
        <control shapeId="40961" r:id="rId3" name="ComboBox1"/>
      </mc:Fallback>
    </mc:AlternateContent>
    <mc:AlternateContent xmlns:mc="http://schemas.openxmlformats.org/markup-compatibility/2006">
      <mc:Choice Requires="x14">
        <control shapeId="40962" name="Check Box 2" r:id="rId5">
          <controlPr defaultSize="0">
            <anchor moveWithCells="1">
              <from>
                <xdr:col>1</xdr:col>
                <xdr:colOff>457200</xdr:colOff>
                <xdr:row>0</xdr:row>
                <xdr:rowOff>381000</xdr:rowOff>
              </from>
              <to>
                <xdr:col>1</xdr:col>
                <xdr:colOff>762000</xdr:colOff>
                <xdr:row>1</xdr:row>
                <xdr:rowOff>194945</xdr:rowOff>
              </to>
            </anchor>
          </controlPr>
        </control>
      </mc:Choice>
    </mc:AlternateContent>
    <mc:AlternateContent xmlns:mc="http://schemas.openxmlformats.org/markup-compatibility/2006">
      <mc:Choice Requires="x14">
        <control shapeId="40963" name="Check Box 3" r:id="rId6">
          <controlPr defaultSize="0">
            <anchor moveWithCells="1">
              <from>
                <xdr:col>1</xdr:col>
                <xdr:colOff>457200</xdr:colOff>
                <xdr:row>1</xdr:row>
                <xdr:rowOff>156210</xdr:rowOff>
              </from>
              <to>
                <xdr:col>1</xdr:col>
                <xdr:colOff>762000</xdr:colOff>
                <xdr:row>1</xdr:row>
                <xdr:rowOff>378460</xdr:rowOff>
              </to>
            </anchor>
          </controlPr>
        </control>
      </mc:Choice>
    </mc:AlternateContent>
    <mc:AlternateContent xmlns:mc="http://schemas.openxmlformats.org/markup-compatibility/2006">
      <mc:Choice Requires="x14">
        <control shapeId="40964" name="Check Box 4" r:id="rId7">
          <controlPr defaultSize="0">
            <anchor moveWithCells="1">
              <from>
                <xdr:col>1</xdr:col>
                <xdr:colOff>457200</xdr:colOff>
                <xdr:row>1</xdr:row>
                <xdr:rowOff>339725</xdr:rowOff>
              </from>
              <to>
                <xdr:col>1</xdr:col>
                <xdr:colOff>762000</xdr:colOff>
                <xdr:row>2</xdr:row>
                <xdr:rowOff>38100</xdr:rowOff>
              </to>
            </anchor>
          </controlPr>
        </control>
      </mc:Choice>
    </mc:AlternateContent>
    <mc:AlternateContent xmlns:mc="http://schemas.openxmlformats.org/markup-compatibility/2006">
      <mc:Choice Requires="x14">
        <control shapeId="40965" name="Check Box 5" r:id="rId8">
          <controlPr defaultSize="0">
            <anchor moveWithCells="1">
              <from>
                <xdr:col>2</xdr:col>
                <xdr:colOff>1209040</xdr:colOff>
                <xdr:row>0</xdr:row>
                <xdr:rowOff>381000</xdr:rowOff>
              </from>
              <to>
                <xdr:col>3</xdr:col>
                <xdr:colOff>237490</xdr:colOff>
                <xdr:row>1</xdr:row>
                <xdr:rowOff>194945</xdr:rowOff>
              </to>
            </anchor>
          </controlPr>
        </control>
      </mc:Choice>
    </mc:AlternateContent>
    <mc:AlternateContent xmlns:mc="http://schemas.openxmlformats.org/markup-compatibility/2006">
      <mc:Choice Requires="x14">
        <control shapeId="40966" name="Check Box 6" r:id="rId9">
          <controlPr defaultSize="0">
            <anchor moveWithCells="1">
              <from>
                <xdr:col>2</xdr:col>
                <xdr:colOff>1209040</xdr:colOff>
                <xdr:row>1</xdr:row>
                <xdr:rowOff>156210</xdr:rowOff>
              </from>
              <to>
                <xdr:col>3</xdr:col>
                <xdr:colOff>237490</xdr:colOff>
                <xdr:row>1</xdr:row>
                <xdr:rowOff>378460</xdr:rowOff>
              </to>
            </anchor>
          </controlPr>
        </control>
      </mc:Choice>
    </mc:AlternateContent>
    <mc:AlternateContent xmlns:mc="http://schemas.openxmlformats.org/markup-compatibility/2006">
      <mc:Choice Requires="x14">
        <control shapeId="40967" name="Check Box 7" r:id="rId10">
          <controlPr defaultSize="0">
            <anchor moveWithCells="1">
              <from>
                <xdr:col>2</xdr:col>
                <xdr:colOff>1209040</xdr:colOff>
                <xdr:row>1</xdr:row>
                <xdr:rowOff>339725</xdr:rowOff>
              </from>
              <to>
                <xdr:col>3</xdr:col>
                <xdr:colOff>237490</xdr:colOff>
                <xdr:row>2</xdr:row>
                <xdr:rowOff>38100</xdr:rowOff>
              </to>
            </anchor>
          </controlPr>
        </control>
      </mc:Choice>
    </mc:AlternateContent>
    <mc:AlternateContent xmlns:mc="http://schemas.openxmlformats.org/markup-compatibility/2006">
      <mc:Choice Requires="x14">
        <control shapeId="40968" name="Check Box 8" r:id="rId11">
          <controlPr defaultSize="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00B0F0"/>
    <pageSetUpPr fitToPage="1"/>
  </sheetPr>
  <dimension ref="A1:AH480"/>
  <sheetViews>
    <sheetView showGridLines="0" showRowColHeaders="0" zoomScalePageLayoutView="90" workbookViewId="0">
      <pane ySplit="1" topLeftCell="A269" activePane="bottomLeft" state="frozen"/>
      <selection/>
      <selection pane="bottomLeft" activeCell="I21" sqref="I21"/>
    </sheetView>
  </sheetViews>
  <sheetFormatPr defaultColWidth="9.14166666666667" defaultRowHeight="11.25"/>
  <cols>
    <col min="1" max="1" width="10.1416666666667" style="379" customWidth="1"/>
    <col min="2" max="2" width="19.425" style="379" customWidth="1"/>
    <col min="3" max="3" width="9.56666666666667" style="379" customWidth="1"/>
    <col min="4" max="4" width="13.425" style="379" customWidth="1"/>
    <col min="5" max="5" width="13.5666666666667" style="379" customWidth="1"/>
    <col min="6" max="7" width="11.425" style="379" customWidth="1"/>
    <col min="8" max="8" width="12" style="379" customWidth="1"/>
    <col min="9" max="9" width="15.425" style="379" customWidth="1"/>
    <col min="10" max="10" width="16.425" style="379" customWidth="1"/>
    <col min="11" max="11" width="14.5666666666667" style="379" customWidth="1"/>
    <col min="12" max="12" width="13.1416666666667" style="1005" customWidth="1"/>
    <col min="13" max="13" width="12.425" style="379" customWidth="1"/>
    <col min="14" max="14" width="12" style="379" customWidth="1"/>
    <col min="15" max="15" width="11.1416666666667" style="1005" customWidth="1"/>
    <col min="16" max="16" width="12.5666666666667" style="1005" customWidth="1"/>
    <col min="17" max="17" width="13.425" style="26" customWidth="1"/>
    <col min="18" max="18" width="10.5666666666667" style="379" customWidth="1"/>
    <col min="19" max="23" width="9.14166666666667" style="379"/>
    <col min="24" max="24" width="10.425" style="379" customWidth="1"/>
    <col min="25" max="16384" width="9.14166666666667" style="379"/>
  </cols>
  <sheetData>
    <row r="1" s="25" customFormat="1" ht="32.1" customHeight="1" spans="6:23">
      <c r="F1" s="29"/>
      <c r="G1" s="29"/>
      <c r="H1" s="29"/>
      <c r="I1" s="1059" t="str">
        <f>"Current Cycle "&amp;CurrentCycle</f>
        <v>Current Cycle 12</v>
      </c>
      <c r="J1" s="1059" t="str">
        <f>"Calculating "&amp;CycleInCalculation</f>
        <v>Calculating 12</v>
      </c>
      <c r="K1" s="1059" t="str">
        <f>"MCS Interation:"&amp;MCSInt</f>
        <v>MCS Interation:0</v>
      </c>
      <c r="L1" s="1060"/>
      <c r="N1" s="29"/>
      <c r="O1" s="1061"/>
      <c r="P1" s="1062"/>
      <c r="Q1" s="26"/>
      <c r="R1" s="140"/>
      <c r="S1" s="140"/>
      <c r="T1" s="140"/>
      <c r="U1" s="140"/>
      <c r="V1" s="140"/>
      <c r="W1" s="140"/>
    </row>
    <row r="2" s="25" customFormat="1" ht="41.25" customHeight="1" spans="12:25">
      <c r="L2" s="1061"/>
      <c r="O2" s="1062"/>
      <c r="P2" s="1062"/>
      <c r="Q2" s="26"/>
      <c r="R2" s="140"/>
      <c r="S2" s="140"/>
      <c r="T2" s="140"/>
      <c r="U2" s="140"/>
      <c r="V2" s="140"/>
      <c r="W2" s="140"/>
      <c r="X2" s="140"/>
      <c r="Y2" s="140"/>
    </row>
    <row r="3" s="25" customFormat="1" ht="12.75" customHeight="1" spans="12:25">
      <c r="L3" s="1062"/>
      <c r="O3" s="1062"/>
      <c r="P3" s="1062"/>
      <c r="Q3" s="26"/>
      <c r="R3" s="140"/>
      <c r="S3" s="140"/>
      <c r="T3" s="140"/>
      <c r="U3" s="140"/>
      <c r="V3" s="140"/>
      <c r="W3" s="140"/>
      <c r="X3" s="140"/>
      <c r="Y3" s="140"/>
    </row>
    <row r="4" ht="17.25" customHeight="1" spans="1:27">
      <c r="A4" s="26"/>
      <c r="B4" s="26"/>
      <c r="C4" s="26"/>
      <c r="D4" s="26"/>
      <c r="E4" s="26"/>
      <c r="F4" s="26"/>
      <c r="G4" s="26"/>
      <c r="H4" s="26"/>
      <c r="I4" s="26"/>
      <c r="J4" s="26"/>
      <c r="K4" s="26"/>
      <c r="L4" s="26"/>
      <c r="M4" s="26"/>
      <c r="N4" s="26"/>
      <c r="R4" s="26"/>
      <c r="S4" s="26"/>
      <c r="T4" s="26"/>
      <c r="U4" s="26"/>
      <c r="V4" s="26"/>
      <c r="W4" s="26"/>
      <c r="X4" s="26"/>
      <c r="Y4" s="26"/>
      <c r="Z4" s="26"/>
      <c r="AA4" s="26"/>
    </row>
    <row r="5" ht="15.75" spans="1:28">
      <c r="A5" s="677">
        <v>1</v>
      </c>
      <c r="B5" s="678" t="s">
        <v>347</v>
      </c>
      <c r="C5" s="678"/>
      <c r="D5" s="678"/>
      <c r="E5" s="26"/>
      <c r="F5" s="26"/>
      <c r="G5" s="26"/>
      <c r="H5" s="177"/>
      <c r="I5" s="177"/>
      <c r="J5" s="127"/>
      <c r="K5" s="127"/>
      <c r="L5" s="1063"/>
      <c r="M5" s="26"/>
      <c r="N5" s="26"/>
      <c r="R5" s="26"/>
      <c r="S5" s="26"/>
      <c r="T5" s="26"/>
      <c r="U5" s="26"/>
      <c r="V5" s="26"/>
      <c r="W5" s="26"/>
      <c r="X5" s="26"/>
      <c r="Y5" s="26"/>
      <c r="Z5" s="26"/>
      <c r="AA5" s="26"/>
      <c r="AB5" s="26"/>
    </row>
    <row r="6" spans="2:28">
      <c r="B6" s="26"/>
      <c r="C6" s="26"/>
      <c r="D6" s="26"/>
      <c r="E6" s="26"/>
      <c r="F6" s="26"/>
      <c r="G6" s="41"/>
      <c r="H6" s="26"/>
      <c r="I6" s="26"/>
      <c r="J6" s="26"/>
      <c r="K6" s="26"/>
      <c r="L6" s="1064"/>
      <c r="M6" s="26"/>
      <c r="N6" s="26"/>
      <c r="R6" s="427"/>
      <c r="S6" s="427"/>
      <c r="T6" s="427"/>
      <c r="U6" s="427"/>
      <c r="V6" s="427"/>
      <c r="W6" s="427"/>
      <c r="X6" s="427"/>
      <c r="Y6" s="26"/>
      <c r="Z6" s="26"/>
      <c r="AA6" s="26"/>
      <c r="AB6" s="26"/>
    </row>
    <row r="7" ht="12" spans="2:28">
      <c r="B7" s="26"/>
      <c r="C7" s="26"/>
      <c r="D7" s="26"/>
      <c r="E7" s="26"/>
      <c r="F7" s="26"/>
      <c r="G7" s="26"/>
      <c r="H7" s="26"/>
      <c r="I7" s="26"/>
      <c r="J7" s="26"/>
      <c r="K7" s="26"/>
      <c r="M7" s="26"/>
      <c r="N7" s="26"/>
      <c r="R7" s="427"/>
      <c r="S7" s="427"/>
      <c r="T7" s="427"/>
      <c r="U7" s="427"/>
      <c r="V7" s="427"/>
      <c r="W7" s="427"/>
      <c r="X7" s="427"/>
      <c r="Y7" s="26"/>
      <c r="Z7" s="26"/>
      <c r="AA7" s="26"/>
      <c r="AB7" s="26"/>
    </row>
    <row r="8" customHeight="1" spans="2:28">
      <c r="B8" s="1006"/>
      <c r="C8" s="1007"/>
      <c r="D8" s="1007"/>
      <c r="E8" s="1008"/>
      <c r="F8" s="1009" t="s">
        <v>103</v>
      </c>
      <c r="G8" s="1010"/>
      <c r="H8" s="1010"/>
      <c r="I8" s="1010"/>
      <c r="J8" s="1010"/>
      <c r="K8" s="1010"/>
      <c r="L8" s="1010"/>
      <c r="M8" s="1010"/>
      <c r="N8" s="1010"/>
      <c r="O8" s="1065"/>
      <c r="R8" s="26"/>
      <c r="S8" s="26"/>
      <c r="T8" s="26"/>
      <c r="U8" s="26"/>
      <c r="V8" s="26"/>
      <c r="W8" s="26"/>
      <c r="X8" s="26"/>
      <c r="Y8" s="26"/>
      <c r="Z8" s="26"/>
      <c r="AA8" s="26"/>
      <c r="AB8" s="26"/>
    </row>
    <row r="9" customHeight="1" spans="2:28">
      <c r="B9" s="1011"/>
      <c r="C9" s="1012"/>
      <c r="D9" s="1013"/>
      <c r="E9" s="1014" t="s">
        <v>348</v>
      </c>
      <c r="F9" s="1015" t="s">
        <v>293</v>
      </c>
      <c r="G9" s="1015" t="s">
        <v>294</v>
      </c>
      <c r="H9" s="1015" t="s">
        <v>295</v>
      </c>
      <c r="I9" s="1015" t="s">
        <v>296</v>
      </c>
      <c r="J9" s="1066" t="s">
        <v>297</v>
      </c>
      <c r="K9" s="1067" t="s">
        <v>298</v>
      </c>
      <c r="L9" s="1067" t="s">
        <v>299</v>
      </c>
      <c r="M9" s="1067" t="s">
        <v>300</v>
      </c>
      <c r="N9" s="1068" t="s">
        <v>301</v>
      </c>
      <c r="O9" s="1069"/>
      <c r="R9" s="26"/>
      <c r="S9" s="26"/>
      <c r="T9" s="26"/>
      <c r="U9" s="26"/>
      <c r="V9" s="26"/>
      <c r="W9" s="26"/>
      <c r="X9" s="26"/>
      <c r="Y9" s="26"/>
      <c r="Z9" s="26"/>
      <c r="AA9" s="26"/>
      <c r="AB9" s="26"/>
    </row>
    <row r="10" customHeight="1" spans="2:28">
      <c r="B10" s="1016" t="s">
        <v>320</v>
      </c>
      <c r="C10" s="1017"/>
      <c r="D10" s="1018" t="s">
        <v>349</v>
      </c>
      <c r="E10" s="1019">
        <f>SUM(F10:O10)</f>
        <v>978226.71</v>
      </c>
      <c r="F10" s="475">
        <v>46475.65</v>
      </c>
      <c r="G10" s="475">
        <v>69981.91</v>
      </c>
      <c r="H10" s="475">
        <v>41572.63</v>
      </c>
      <c r="I10" s="475">
        <v>143822.86</v>
      </c>
      <c r="J10" s="475">
        <v>123247.34</v>
      </c>
      <c r="K10" s="475">
        <v>123247.34</v>
      </c>
      <c r="L10" s="475">
        <v>171816.61</v>
      </c>
      <c r="M10" s="475">
        <v>251711.54</v>
      </c>
      <c r="N10" s="475">
        <v>6350.83</v>
      </c>
      <c r="O10" s="1070"/>
      <c r="R10" s="427"/>
      <c r="S10" s="427"/>
      <c r="T10" s="427"/>
      <c r="U10" s="427"/>
      <c r="V10" s="427"/>
      <c r="W10" s="427"/>
      <c r="X10" s="427"/>
      <c r="Y10" s="26"/>
      <c r="Z10" s="26"/>
      <c r="AA10" s="26"/>
      <c r="AB10" s="26"/>
    </row>
    <row r="11" customHeight="1" spans="2:28">
      <c r="B11" s="1016" t="s">
        <v>321</v>
      </c>
      <c r="C11" s="1017"/>
      <c r="D11" s="1018" t="s">
        <v>349</v>
      </c>
      <c r="E11" s="1019">
        <f>SUM(F11:O11)</f>
        <v>207075.22</v>
      </c>
      <c r="F11" s="475">
        <v>8487.76</v>
      </c>
      <c r="G11" s="475">
        <v>8573.72</v>
      </c>
      <c r="H11" s="475">
        <v>6285.12</v>
      </c>
      <c r="I11" s="475">
        <v>17237.2</v>
      </c>
      <c r="J11" s="475">
        <v>17054.56</v>
      </c>
      <c r="K11" s="475">
        <v>17054.56</v>
      </c>
      <c r="L11" s="475">
        <v>57505.97</v>
      </c>
      <c r="M11" s="475">
        <v>72236.6</v>
      </c>
      <c r="N11" s="475">
        <v>2639.73</v>
      </c>
      <c r="O11" s="1070"/>
      <c r="R11" s="26"/>
      <c r="S11" s="26"/>
      <c r="T11" s="26"/>
      <c r="U11" s="26"/>
      <c r="V11" s="26"/>
      <c r="W11" s="26"/>
      <c r="X11" s="26"/>
      <c r="Y11" s="26"/>
      <c r="Z11" s="26"/>
      <c r="AA11" s="26"/>
      <c r="AB11" s="26"/>
    </row>
    <row r="12" customHeight="1" spans="2:28">
      <c r="B12" s="1016" t="s">
        <v>311</v>
      </c>
      <c r="C12" s="1017"/>
      <c r="D12" s="1018" t="s">
        <v>349</v>
      </c>
      <c r="E12" s="1020">
        <f>'36-Mo-Fin-Pr'!C71</f>
        <v>273056.248179254</v>
      </c>
      <c r="F12" s="475"/>
      <c r="G12" s="475"/>
      <c r="H12" s="38"/>
      <c r="I12" s="38"/>
      <c r="J12" s="378"/>
      <c r="K12" s="38"/>
      <c r="L12" s="38"/>
      <c r="M12" s="475"/>
      <c r="N12" s="475"/>
      <c r="O12" s="1070"/>
      <c r="R12" s="26"/>
      <c r="S12" s="26"/>
      <c r="T12" s="26"/>
      <c r="U12" s="26"/>
      <c r="V12" s="26"/>
      <c r="W12" s="26"/>
      <c r="X12" s="26"/>
      <c r="Y12" s="26"/>
      <c r="Z12" s="26"/>
      <c r="AA12" s="26"/>
      <c r="AB12" s="26"/>
    </row>
    <row r="13" customHeight="1" spans="2:28">
      <c r="B13" s="1021"/>
      <c r="C13" s="1022"/>
      <c r="D13" s="1023"/>
      <c r="E13" s="1024"/>
      <c r="F13" s="475"/>
      <c r="G13" s="475"/>
      <c r="H13" s="38"/>
      <c r="I13" s="38"/>
      <c r="J13" s="378"/>
      <c r="K13" s="38"/>
      <c r="L13" s="38"/>
      <c r="M13" s="475"/>
      <c r="N13" s="475"/>
      <c r="O13" s="1070"/>
      <c r="R13" s="26"/>
      <c r="S13" s="26"/>
      <c r="T13" s="26"/>
      <c r="U13" s="26"/>
      <c r="V13" s="26"/>
      <c r="W13" s="26"/>
      <c r="X13" s="26"/>
      <c r="Y13" s="26"/>
      <c r="Z13" s="26"/>
      <c r="AA13" s="26"/>
      <c r="AB13" s="26"/>
    </row>
    <row r="14" customHeight="1" spans="2:28">
      <c r="B14" s="1016" t="s">
        <v>350</v>
      </c>
      <c r="C14" s="1017"/>
      <c r="D14" s="1018" t="s">
        <v>349</v>
      </c>
      <c r="E14" s="1019">
        <f>SUM(F14:O14)</f>
        <v>771151.5</v>
      </c>
      <c r="F14" s="475">
        <v>37987.89</v>
      </c>
      <c r="G14" s="475">
        <v>61408.19</v>
      </c>
      <c r="H14" s="475">
        <v>35287.51</v>
      </c>
      <c r="I14" s="475">
        <v>126585.66</v>
      </c>
      <c r="J14" s="475">
        <v>106192.78</v>
      </c>
      <c r="K14" s="1071">
        <v>106192.78</v>
      </c>
      <c r="L14" s="475">
        <v>114310.64</v>
      </c>
      <c r="M14" s="475">
        <v>179474.94</v>
      </c>
      <c r="N14" s="475">
        <v>3711.11</v>
      </c>
      <c r="O14" s="1070"/>
      <c r="R14" s="26"/>
      <c r="S14" s="26"/>
      <c r="T14" s="26"/>
      <c r="U14" s="26"/>
      <c r="V14" s="26"/>
      <c r="W14" s="26"/>
      <c r="X14" s="26"/>
      <c r="Y14" s="26"/>
      <c r="Z14" s="26"/>
      <c r="AA14" s="26"/>
      <c r="AB14" s="26"/>
    </row>
    <row r="15" customHeight="1" spans="2:28">
      <c r="B15" s="1025" t="s">
        <v>351</v>
      </c>
      <c r="C15" s="1026"/>
      <c r="D15" s="1027"/>
      <c r="E15" s="1028">
        <f t="shared" ref="E15:N15" si="0">(E10-E11)/E10*100</f>
        <v>78.8315716711518</v>
      </c>
      <c r="F15" s="1029">
        <f t="shared" si="0"/>
        <v>81.7371892593218</v>
      </c>
      <c r="G15" s="1029">
        <f t="shared" si="0"/>
        <v>87.7486624757741</v>
      </c>
      <c r="H15" s="1029">
        <f t="shared" si="0"/>
        <v>84.8815915663743</v>
      </c>
      <c r="I15" s="1029">
        <f t="shared" si="0"/>
        <v>88.0149789817836</v>
      </c>
      <c r="J15" s="1029">
        <f t="shared" si="0"/>
        <v>86.1623301565778</v>
      </c>
      <c r="K15" s="1029">
        <f t="shared" si="0"/>
        <v>86.1623301565778</v>
      </c>
      <c r="L15" s="1029">
        <f t="shared" si="0"/>
        <v>66.5306107482856</v>
      </c>
      <c r="M15" s="1029">
        <f t="shared" si="0"/>
        <v>71.3018322481361</v>
      </c>
      <c r="N15" s="1029">
        <f t="shared" si="0"/>
        <v>58.4348817398671</v>
      </c>
      <c r="O15" s="1072"/>
      <c r="R15" s="26"/>
      <c r="S15" s="26"/>
      <c r="T15" s="26"/>
      <c r="U15" s="26"/>
      <c r="V15" s="26"/>
      <c r="W15" s="26"/>
      <c r="X15" s="26"/>
      <c r="Y15" s="26"/>
      <c r="Z15" s="26"/>
      <c r="AA15" s="26"/>
      <c r="AB15" s="26"/>
    </row>
    <row r="16" customHeight="1" spans="2:28">
      <c r="B16" s="26"/>
      <c r="C16" s="26"/>
      <c r="D16" s="26"/>
      <c r="E16" s="1030"/>
      <c r="F16" s="26"/>
      <c r="G16" s="1030"/>
      <c r="H16" s="26"/>
      <c r="I16" s="26"/>
      <c r="J16" s="26"/>
      <c r="K16" s="26"/>
      <c r="M16" s="26"/>
      <c r="N16" s="26"/>
      <c r="R16" s="26"/>
      <c r="S16" s="26"/>
      <c r="T16" s="26"/>
      <c r="U16" s="26"/>
      <c r="V16" s="26"/>
      <c r="W16" s="26"/>
      <c r="X16" s="26"/>
      <c r="Y16" s="26"/>
      <c r="Z16" s="26"/>
      <c r="AA16" s="26"/>
      <c r="AB16" s="26"/>
    </row>
    <row r="17" customHeight="1" spans="3:29">
      <c r="C17" s="861" t="s">
        <v>352</v>
      </c>
      <c r="D17" s="862"/>
      <c r="E17" s="1031" t="s">
        <v>353</v>
      </c>
      <c r="F17" s="1032">
        <f>J17</f>
        <v>4.24906776184842</v>
      </c>
      <c r="G17" s="127"/>
      <c r="H17" s="1033" t="s">
        <v>352</v>
      </c>
      <c r="I17" s="1033" t="s">
        <v>353</v>
      </c>
      <c r="J17" s="1073">
        <f>E12/E14*12</f>
        <v>4.24906776184842</v>
      </c>
      <c r="K17" s="1074" t="s">
        <v>354</v>
      </c>
      <c r="L17" s="1075"/>
      <c r="M17" s="1076"/>
      <c r="N17" s="26"/>
      <c r="R17" s="26"/>
      <c r="S17" s="26"/>
      <c r="T17" s="26"/>
      <c r="U17" s="26"/>
      <c r="V17" s="26"/>
      <c r="W17" s="26"/>
      <c r="X17" s="26"/>
      <c r="Y17" s="26"/>
      <c r="Z17" s="26"/>
      <c r="AA17" s="26"/>
      <c r="AB17" s="26"/>
      <c r="AC17" s="26"/>
    </row>
    <row r="18" spans="3:29">
      <c r="C18" s="1034"/>
      <c r="D18" s="1035"/>
      <c r="E18" s="1036" t="s">
        <v>355</v>
      </c>
      <c r="F18" s="1037">
        <f>J18</f>
        <v>346379.302595052</v>
      </c>
      <c r="G18" s="127"/>
      <c r="H18" s="1038"/>
      <c r="I18" s="1033" t="s">
        <v>355</v>
      </c>
      <c r="J18" s="1077">
        <f>E12/E15*100</f>
        <v>346379.302595052</v>
      </c>
      <c r="K18" s="1074" t="s">
        <v>356</v>
      </c>
      <c r="L18" s="1078"/>
      <c r="M18" s="1076"/>
      <c r="N18" s="26"/>
      <c r="R18" s="26"/>
      <c r="S18" s="26"/>
      <c r="T18" s="26"/>
      <c r="U18" s="26"/>
      <c r="V18" s="26"/>
      <c r="W18" s="26"/>
      <c r="X18" s="26"/>
      <c r="Y18" s="26"/>
      <c r="Z18" s="26"/>
      <c r="AA18" s="26"/>
      <c r="AB18" s="26"/>
      <c r="AC18" s="26"/>
    </row>
    <row r="19" spans="3:29">
      <c r="C19" s="1039"/>
      <c r="D19" s="1040"/>
      <c r="E19" s="1040"/>
      <c r="F19" s="1041"/>
      <c r="G19" s="127"/>
      <c r="H19" s="26"/>
      <c r="I19" s="26"/>
      <c r="J19" s="26"/>
      <c r="K19" s="26"/>
      <c r="M19" s="853"/>
      <c r="N19" s="26"/>
      <c r="R19" s="26"/>
      <c r="S19" s="26"/>
      <c r="T19" s="26"/>
      <c r="U19" s="26"/>
      <c r="V19" s="26"/>
      <c r="W19" s="26"/>
      <c r="X19" s="26"/>
      <c r="Y19" s="26"/>
      <c r="Z19" s="26"/>
      <c r="AA19" s="26"/>
      <c r="AB19" s="26"/>
      <c r="AC19" s="26"/>
    </row>
    <row r="20" spans="3:29">
      <c r="C20" s="1042" t="s">
        <v>357</v>
      </c>
      <c r="D20" s="1043"/>
      <c r="E20" s="1044">
        <v>0</v>
      </c>
      <c r="F20" s="1045">
        <f>J17</f>
        <v>4.24906776184842</v>
      </c>
      <c r="G20" s="127"/>
      <c r="H20" s="26"/>
      <c r="I20" s="26"/>
      <c r="J20" s="26"/>
      <c r="K20" s="26"/>
      <c r="L20" s="1079"/>
      <c r="M20" s="1030"/>
      <c r="N20" s="1030"/>
      <c r="R20" s="26"/>
      <c r="S20" s="26"/>
      <c r="T20" s="26"/>
      <c r="U20" s="26"/>
      <c r="V20" s="26"/>
      <c r="W20" s="26"/>
      <c r="X20" s="26"/>
      <c r="Y20" s="26"/>
      <c r="Z20" s="26"/>
      <c r="AA20" s="26"/>
      <c r="AB20" s="26"/>
      <c r="AC20" s="26"/>
    </row>
    <row r="21" spans="3:29">
      <c r="C21" s="1042" t="s">
        <v>358</v>
      </c>
      <c r="D21" s="1043"/>
      <c r="E21" s="1046">
        <f>E12</f>
        <v>273056.248179254</v>
      </c>
      <c r="F21" s="1037">
        <f>E12</f>
        <v>273056.248179254</v>
      </c>
      <c r="G21" s="127"/>
      <c r="H21" s="26"/>
      <c r="I21" s="26"/>
      <c r="J21" s="26"/>
      <c r="K21" s="26"/>
      <c r="M21" s="26"/>
      <c r="N21" s="26"/>
      <c r="R21" s="26"/>
      <c r="S21" s="26"/>
      <c r="T21" s="26"/>
      <c r="U21" s="26"/>
      <c r="V21" s="26"/>
      <c r="W21" s="26"/>
      <c r="X21" s="26"/>
      <c r="Y21" s="26"/>
      <c r="Z21" s="26"/>
      <c r="AA21" s="26"/>
      <c r="AB21" s="26"/>
      <c r="AC21" s="26"/>
    </row>
    <row r="22" spans="3:29">
      <c r="C22" s="1042" t="s">
        <v>359</v>
      </c>
      <c r="D22" s="1043"/>
      <c r="E22" s="1047">
        <v>0</v>
      </c>
      <c r="F22" s="1048">
        <f>J18</f>
        <v>346379.302595052</v>
      </c>
      <c r="G22" s="1049"/>
      <c r="H22" s="1050"/>
      <c r="I22" s="1050"/>
      <c r="J22" s="1050"/>
      <c r="K22" s="26"/>
      <c r="L22" s="1080"/>
      <c r="M22" s="1050"/>
      <c r="N22" s="1050"/>
      <c r="O22" s="1080"/>
      <c r="R22" s="26"/>
      <c r="S22" s="26"/>
      <c r="T22" s="26"/>
      <c r="U22" s="26"/>
      <c r="V22" s="26"/>
      <c r="W22" s="26"/>
      <c r="X22" s="26"/>
      <c r="Y22" s="26"/>
      <c r="Z22" s="26"/>
      <c r="AA22" s="26"/>
      <c r="AB22" s="26"/>
      <c r="AC22" s="26"/>
    </row>
    <row r="23" customHeight="1" spans="3:29">
      <c r="C23" s="1051" t="s">
        <v>360</v>
      </c>
      <c r="D23" s="1052"/>
      <c r="E23" s="1053">
        <f>E21</f>
        <v>273056.248179254</v>
      </c>
      <c r="F23" s="1054">
        <f>J18</f>
        <v>346379.302595052</v>
      </c>
      <c r="G23" s="127"/>
      <c r="H23" s="26"/>
      <c r="I23" s="26"/>
      <c r="J23" s="26"/>
      <c r="K23" s="26"/>
      <c r="M23" s="26"/>
      <c r="N23" s="1050"/>
      <c r="R23" s="26"/>
      <c r="S23" s="26"/>
      <c r="T23" s="26"/>
      <c r="U23" s="26"/>
      <c r="V23" s="26"/>
      <c r="W23" s="26"/>
      <c r="X23" s="26"/>
      <c r="Y23" s="26"/>
      <c r="Z23" s="26"/>
      <c r="AA23" s="26"/>
      <c r="AB23" s="26"/>
      <c r="AC23" s="26"/>
    </row>
    <row r="24" spans="3:29">
      <c r="C24" s="127"/>
      <c r="D24" s="127"/>
      <c r="E24" s="127"/>
      <c r="F24" s="127"/>
      <c r="G24" s="127"/>
      <c r="H24" s="26"/>
      <c r="I24" s="26"/>
      <c r="J24" s="26"/>
      <c r="K24" s="26"/>
      <c r="M24" s="26"/>
      <c r="N24" s="26"/>
      <c r="R24" s="26"/>
      <c r="S24" s="26"/>
      <c r="T24" s="26"/>
      <c r="U24" s="26"/>
      <c r="V24" s="26"/>
      <c r="W24" s="26"/>
      <c r="X24" s="26"/>
      <c r="Y24" s="26"/>
      <c r="Z24" s="26"/>
      <c r="AA24" s="26"/>
      <c r="AB24" s="26"/>
      <c r="AC24" s="26"/>
    </row>
    <row r="25" spans="2:28">
      <c r="B25" s="26"/>
      <c r="C25" s="26"/>
      <c r="D25" s="26"/>
      <c r="E25" s="26"/>
      <c r="F25" s="26"/>
      <c r="G25" s="26"/>
      <c r="H25" s="26"/>
      <c r="I25" s="26"/>
      <c r="J25" s="26"/>
      <c r="K25" s="26"/>
      <c r="M25" s="26"/>
      <c r="N25" s="26"/>
      <c r="R25" s="26"/>
      <c r="S25" s="26"/>
      <c r="T25" s="26"/>
      <c r="U25" s="26"/>
      <c r="V25" s="26"/>
      <c r="W25" s="26"/>
      <c r="X25" s="26"/>
      <c r="Y25" s="26"/>
      <c r="Z25" s="26"/>
      <c r="AA25" s="26"/>
      <c r="AB25" s="26"/>
    </row>
    <row r="26" spans="2:28">
      <c r="B26" s="26"/>
      <c r="C26" s="26"/>
      <c r="D26" s="26"/>
      <c r="E26" s="26"/>
      <c r="F26" s="26"/>
      <c r="G26" s="26"/>
      <c r="H26" s="26"/>
      <c r="I26" s="26"/>
      <c r="J26" s="26"/>
      <c r="K26" s="26"/>
      <c r="M26" s="26"/>
      <c r="N26" s="26"/>
      <c r="R26" s="26"/>
      <c r="S26" s="26"/>
      <c r="T26" s="26"/>
      <c r="U26" s="26"/>
      <c r="V26" s="26"/>
      <c r="W26" s="26"/>
      <c r="X26" s="26"/>
      <c r="Y26" s="26"/>
      <c r="Z26" s="26"/>
      <c r="AA26" s="26"/>
      <c r="AB26" s="26"/>
    </row>
    <row r="27" spans="2:28">
      <c r="B27" s="26"/>
      <c r="C27" s="26"/>
      <c r="D27" s="26"/>
      <c r="E27" s="26"/>
      <c r="F27" s="26"/>
      <c r="G27" s="26"/>
      <c r="H27" s="26"/>
      <c r="I27" s="26"/>
      <c r="J27" s="26"/>
      <c r="K27" s="26"/>
      <c r="M27" s="26"/>
      <c r="N27" s="26"/>
      <c r="R27" s="26"/>
      <c r="S27" s="26"/>
      <c r="T27" s="26"/>
      <c r="U27" s="26"/>
      <c r="V27" s="26"/>
      <c r="W27" s="26"/>
      <c r="X27" s="26"/>
      <c r="Y27" s="26"/>
      <c r="Z27" s="26"/>
      <c r="AA27" s="26"/>
      <c r="AB27" s="26"/>
    </row>
    <row r="28" spans="2:28">
      <c r="B28" s="26"/>
      <c r="C28" s="26"/>
      <c r="D28" s="26"/>
      <c r="E28" s="26"/>
      <c r="F28" s="26"/>
      <c r="G28" s="26"/>
      <c r="H28" s="26"/>
      <c r="I28" s="26"/>
      <c r="J28" s="26"/>
      <c r="K28" s="26"/>
      <c r="M28" s="26"/>
      <c r="N28" s="26"/>
      <c r="R28" s="26"/>
      <c r="S28" s="26"/>
      <c r="T28" s="26"/>
      <c r="U28" s="26"/>
      <c r="V28" s="26"/>
      <c r="W28" s="26"/>
      <c r="X28" s="26"/>
      <c r="Y28" s="26"/>
      <c r="Z28" s="26"/>
      <c r="AA28" s="26"/>
      <c r="AB28" s="26"/>
    </row>
    <row r="29" spans="2:28">
      <c r="B29" s="26"/>
      <c r="C29" s="26"/>
      <c r="D29" s="26"/>
      <c r="E29" s="26"/>
      <c r="F29" s="26"/>
      <c r="G29" s="26"/>
      <c r="H29" s="26"/>
      <c r="I29" s="26"/>
      <c r="J29" s="26"/>
      <c r="K29" s="26"/>
      <c r="M29" s="26"/>
      <c r="N29" s="26"/>
      <c r="R29" s="26"/>
      <c r="S29" s="26"/>
      <c r="T29" s="26"/>
      <c r="U29" s="26"/>
      <c r="V29" s="26"/>
      <c r="W29" s="26"/>
      <c r="X29" s="26"/>
      <c r="Y29" s="26"/>
      <c r="Z29" s="26"/>
      <c r="AA29" s="26"/>
      <c r="AB29" s="26"/>
    </row>
    <row r="30" spans="2:28">
      <c r="B30" s="26"/>
      <c r="C30" s="26"/>
      <c r="D30" s="26"/>
      <c r="E30" s="26"/>
      <c r="F30" s="26"/>
      <c r="G30" s="26"/>
      <c r="H30" s="26"/>
      <c r="I30" s="26"/>
      <c r="J30" s="26"/>
      <c r="K30" s="26"/>
      <c r="M30" s="26"/>
      <c r="N30" s="26"/>
      <c r="R30" s="26"/>
      <c r="S30" s="26"/>
      <c r="T30" s="26"/>
      <c r="U30" s="26"/>
      <c r="V30" s="26"/>
      <c r="W30" s="26"/>
      <c r="X30" s="26"/>
      <c r="Y30" s="26"/>
      <c r="Z30" s="26"/>
      <c r="AA30" s="26"/>
      <c r="AB30" s="26"/>
    </row>
    <row r="31" spans="2:28">
      <c r="B31" s="26"/>
      <c r="C31" s="26"/>
      <c r="D31" s="26"/>
      <c r="E31" s="26"/>
      <c r="F31" s="26"/>
      <c r="G31" s="26"/>
      <c r="H31" s="26"/>
      <c r="I31" s="26"/>
      <c r="J31" s="26"/>
      <c r="K31" s="26"/>
      <c r="M31" s="26"/>
      <c r="N31" s="26"/>
      <c r="R31" s="26"/>
      <c r="S31" s="26"/>
      <c r="T31" s="26"/>
      <c r="U31" s="26"/>
      <c r="V31" s="26"/>
      <c r="W31" s="26"/>
      <c r="X31" s="26"/>
      <c r="Y31" s="26"/>
      <c r="Z31" s="26"/>
      <c r="AA31" s="26"/>
      <c r="AB31" s="26"/>
    </row>
    <row r="32" spans="2:28">
      <c r="B32" s="26"/>
      <c r="C32" s="26"/>
      <c r="D32" s="26"/>
      <c r="E32" s="26"/>
      <c r="F32" s="26"/>
      <c r="G32" s="26"/>
      <c r="H32" s="26"/>
      <c r="I32" s="26"/>
      <c r="J32" s="26"/>
      <c r="K32" s="26"/>
      <c r="M32" s="26"/>
      <c r="N32" s="26"/>
      <c r="R32" s="26"/>
      <c r="S32" s="26"/>
      <c r="T32" s="26"/>
      <c r="U32" s="26"/>
      <c r="V32" s="26"/>
      <c r="W32" s="26"/>
      <c r="X32" s="26"/>
      <c r="Y32" s="26"/>
      <c r="Z32" s="26"/>
      <c r="AA32" s="26"/>
      <c r="AB32" s="26"/>
    </row>
    <row r="33" spans="2:28">
      <c r="B33" s="26"/>
      <c r="C33" s="26"/>
      <c r="D33" s="26"/>
      <c r="E33" s="26"/>
      <c r="F33" s="26"/>
      <c r="G33" s="26"/>
      <c r="H33" s="26"/>
      <c r="I33" s="26"/>
      <c r="J33" s="26"/>
      <c r="K33" s="26"/>
      <c r="M33" s="26"/>
      <c r="N33" s="26"/>
      <c r="R33" s="26"/>
      <c r="S33" s="26"/>
      <c r="T33" s="26"/>
      <c r="U33" s="26"/>
      <c r="V33" s="26"/>
      <c r="W33" s="26"/>
      <c r="X33" s="26"/>
      <c r="Y33" s="26"/>
      <c r="Z33" s="26"/>
      <c r="AA33" s="26"/>
      <c r="AB33" s="26"/>
    </row>
    <row r="34" spans="2:28">
      <c r="B34" s="26"/>
      <c r="C34" s="26"/>
      <c r="D34" s="26"/>
      <c r="E34" s="26"/>
      <c r="F34" s="26"/>
      <c r="G34" s="26"/>
      <c r="H34" s="26"/>
      <c r="I34" s="26"/>
      <c r="J34" s="26"/>
      <c r="K34" s="26"/>
      <c r="M34" s="26"/>
      <c r="N34" s="26"/>
      <c r="R34" s="26"/>
      <c r="S34" s="26"/>
      <c r="T34" s="26"/>
      <c r="U34" s="26"/>
      <c r="V34" s="26"/>
      <c r="W34" s="26"/>
      <c r="X34" s="26"/>
      <c r="Y34" s="26"/>
      <c r="Z34" s="26"/>
      <c r="AA34" s="26"/>
      <c r="AB34" s="26"/>
    </row>
    <row r="35" spans="2:28">
      <c r="B35" s="26"/>
      <c r="C35" s="26"/>
      <c r="D35" s="26"/>
      <c r="E35" s="26"/>
      <c r="F35" s="26"/>
      <c r="G35" s="26"/>
      <c r="H35" s="26"/>
      <c r="I35" s="26"/>
      <c r="J35" s="26"/>
      <c r="K35" s="26"/>
      <c r="M35" s="26"/>
      <c r="N35" s="26"/>
      <c r="R35" s="26"/>
      <c r="S35" s="26"/>
      <c r="T35" s="26"/>
      <c r="U35" s="26"/>
      <c r="V35" s="26"/>
      <c r="W35" s="26"/>
      <c r="X35" s="26"/>
      <c r="Y35" s="26"/>
      <c r="Z35" s="26"/>
      <c r="AA35" s="26"/>
      <c r="AB35" s="26"/>
    </row>
    <row r="36" spans="2:28">
      <c r="B36" s="26"/>
      <c r="C36" s="26"/>
      <c r="D36" s="26"/>
      <c r="E36" s="26"/>
      <c r="F36" s="26"/>
      <c r="G36" s="26"/>
      <c r="H36" s="26"/>
      <c r="I36" s="26"/>
      <c r="J36" s="26"/>
      <c r="K36" s="26"/>
      <c r="M36" s="26"/>
      <c r="N36" s="26"/>
      <c r="R36" s="26"/>
      <c r="S36" s="26"/>
      <c r="T36" s="26"/>
      <c r="U36" s="26"/>
      <c r="V36" s="26"/>
      <c r="W36" s="26"/>
      <c r="X36" s="26"/>
      <c r="Y36" s="26"/>
      <c r="Z36" s="26"/>
      <c r="AA36" s="26"/>
      <c r="AB36" s="26"/>
    </row>
    <row r="37" spans="2:28">
      <c r="B37" s="26"/>
      <c r="C37" s="26"/>
      <c r="D37" s="26"/>
      <c r="E37" s="26"/>
      <c r="F37" s="26"/>
      <c r="G37" s="26"/>
      <c r="H37" s="26"/>
      <c r="I37" s="26"/>
      <c r="J37" s="26"/>
      <c r="K37" s="26"/>
      <c r="M37" s="26"/>
      <c r="N37" s="26"/>
      <c r="R37" s="26"/>
      <c r="S37" s="26"/>
      <c r="T37" s="26"/>
      <c r="U37" s="26"/>
      <c r="V37" s="26"/>
      <c r="W37" s="26"/>
      <c r="X37" s="26"/>
      <c r="Y37" s="26"/>
      <c r="Z37" s="26"/>
      <c r="AA37" s="26"/>
      <c r="AB37" s="26"/>
    </row>
    <row r="38" spans="2:28">
      <c r="B38" s="26"/>
      <c r="C38" s="26"/>
      <c r="D38" s="26"/>
      <c r="E38" s="26"/>
      <c r="F38" s="26"/>
      <c r="G38" s="26"/>
      <c r="H38" s="26"/>
      <c r="I38" s="26"/>
      <c r="J38" s="26"/>
      <c r="K38" s="26"/>
      <c r="M38" s="26"/>
      <c r="N38" s="26"/>
      <c r="R38" s="26"/>
      <c r="S38" s="26"/>
      <c r="T38" s="26"/>
      <c r="U38" s="26"/>
      <c r="V38" s="26"/>
      <c r="W38" s="26"/>
      <c r="X38" s="26"/>
      <c r="Y38" s="26"/>
      <c r="Z38" s="26"/>
      <c r="AA38" s="26"/>
      <c r="AB38" s="26"/>
    </row>
    <row r="39" spans="2:28">
      <c r="B39" s="26"/>
      <c r="C39" s="26"/>
      <c r="D39" s="26"/>
      <c r="E39" s="26"/>
      <c r="F39" s="26"/>
      <c r="G39" s="26"/>
      <c r="H39" s="26"/>
      <c r="I39" s="26"/>
      <c r="J39" s="26"/>
      <c r="K39" s="26"/>
      <c r="M39" s="26"/>
      <c r="N39" s="26"/>
      <c r="R39" s="26"/>
      <c r="S39" s="26"/>
      <c r="T39" s="26"/>
      <c r="U39" s="26"/>
      <c r="V39" s="26"/>
      <c r="W39" s="26"/>
      <c r="X39" s="26"/>
      <c r="Y39" s="26"/>
      <c r="Z39" s="26"/>
      <c r="AA39" s="26"/>
      <c r="AB39" s="26"/>
    </row>
    <row r="40" spans="2:28">
      <c r="B40" s="26"/>
      <c r="C40" s="26"/>
      <c r="D40" s="26"/>
      <c r="E40" s="26"/>
      <c r="F40" s="26"/>
      <c r="G40" s="26"/>
      <c r="H40" s="26"/>
      <c r="I40" s="26"/>
      <c r="J40" s="26"/>
      <c r="K40" s="26"/>
      <c r="M40" s="26"/>
      <c r="N40" s="26"/>
      <c r="R40" s="26"/>
      <c r="S40" s="26"/>
      <c r="T40" s="26"/>
      <c r="U40" s="26"/>
      <c r="V40" s="26"/>
      <c r="W40" s="26"/>
      <c r="X40" s="26"/>
      <c r="Y40" s="26"/>
      <c r="Z40" s="26"/>
      <c r="AA40" s="26"/>
      <c r="AB40" s="26"/>
    </row>
    <row r="41" spans="2:28">
      <c r="B41" s="26"/>
      <c r="C41" s="26"/>
      <c r="D41" s="26"/>
      <c r="E41" s="26"/>
      <c r="F41" s="26"/>
      <c r="G41" s="26"/>
      <c r="H41" s="26"/>
      <c r="I41" s="26"/>
      <c r="J41" s="26"/>
      <c r="K41" s="26"/>
      <c r="M41" s="26"/>
      <c r="N41" s="26"/>
      <c r="R41" s="26"/>
      <c r="S41" s="26"/>
      <c r="T41" s="26"/>
      <c r="U41" s="26"/>
      <c r="V41" s="26"/>
      <c r="W41" s="26"/>
      <c r="X41" s="26"/>
      <c r="Y41" s="26"/>
      <c r="Z41" s="26"/>
      <c r="AA41" s="26"/>
      <c r="AB41" s="26"/>
    </row>
    <row r="42" spans="2:28">
      <c r="B42" s="26"/>
      <c r="C42" s="26"/>
      <c r="D42" s="26"/>
      <c r="E42" s="26"/>
      <c r="F42" s="26"/>
      <c r="G42" s="26"/>
      <c r="H42" s="26"/>
      <c r="I42" s="26"/>
      <c r="J42" s="26"/>
      <c r="K42" s="26"/>
      <c r="M42" s="26"/>
      <c r="N42" s="26"/>
      <c r="R42" s="26"/>
      <c r="S42" s="26"/>
      <c r="T42" s="26"/>
      <c r="U42" s="26"/>
      <c r="V42" s="26"/>
      <c r="W42" s="26"/>
      <c r="X42" s="26"/>
      <c r="Y42" s="26"/>
      <c r="Z42" s="26"/>
      <c r="AA42" s="26"/>
      <c r="AB42" s="26"/>
    </row>
    <row r="43" spans="2:28">
      <c r="B43" s="26"/>
      <c r="C43" s="26"/>
      <c r="D43" s="26"/>
      <c r="E43" s="26"/>
      <c r="F43" s="26"/>
      <c r="G43" s="26"/>
      <c r="H43" s="26"/>
      <c r="I43" s="26"/>
      <c r="J43" s="26"/>
      <c r="K43" s="26"/>
      <c r="M43" s="26"/>
      <c r="N43" s="26"/>
      <c r="R43" s="26"/>
      <c r="S43" s="26"/>
      <c r="T43" s="26"/>
      <c r="U43" s="26"/>
      <c r="V43" s="26"/>
      <c r="W43" s="26"/>
      <c r="X43" s="26"/>
      <c r="Y43" s="26"/>
      <c r="Z43" s="26"/>
      <c r="AA43" s="26"/>
      <c r="AB43" s="26"/>
    </row>
    <row r="44" spans="2:28">
      <c r="B44" s="26"/>
      <c r="C44" s="26"/>
      <c r="D44" s="26"/>
      <c r="E44" s="26"/>
      <c r="F44" s="26"/>
      <c r="G44" s="26"/>
      <c r="H44" s="26"/>
      <c r="I44" s="26"/>
      <c r="J44" s="26"/>
      <c r="K44" s="26"/>
      <c r="M44" s="26"/>
      <c r="N44" s="26"/>
      <c r="R44" s="26"/>
      <c r="S44" s="26"/>
      <c r="T44" s="26"/>
      <c r="U44" s="26"/>
      <c r="V44" s="26"/>
      <c r="W44" s="26"/>
      <c r="X44" s="26"/>
      <c r="Y44" s="26"/>
      <c r="Z44" s="26"/>
      <c r="AA44" s="26"/>
      <c r="AB44" s="26"/>
    </row>
    <row r="45" spans="2:28">
      <c r="B45" s="26"/>
      <c r="C45" s="26"/>
      <c r="D45" s="26"/>
      <c r="E45" s="26"/>
      <c r="F45" s="26"/>
      <c r="G45" s="26"/>
      <c r="H45" s="26"/>
      <c r="I45" s="26"/>
      <c r="J45" s="26"/>
      <c r="K45" s="26"/>
      <c r="M45" s="26"/>
      <c r="N45" s="26"/>
      <c r="R45" s="26"/>
      <c r="S45" s="26"/>
      <c r="T45" s="26"/>
      <c r="U45" s="26"/>
      <c r="V45" s="26"/>
      <c r="W45" s="26"/>
      <c r="X45" s="26"/>
      <c r="Y45" s="26"/>
      <c r="Z45" s="26"/>
      <c r="AA45" s="26"/>
      <c r="AB45" s="26"/>
    </row>
    <row r="46" spans="2:28">
      <c r="B46" s="26"/>
      <c r="C46" s="26"/>
      <c r="D46" s="26"/>
      <c r="E46" s="26"/>
      <c r="F46" s="26"/>
      <c r="G46" s="26"/>
      <c r="H46" s="26"/>
      <c r="I46" s="26"/>
      <c r="J46" s="26"/>
      <c r="K46" s="26"/>
      <c r="M46" s="26"/>
      <c r="N46" s="26"/>
      <c r="R46" s="26"/>
      <c r="S46" s="26"/>
      <c r="T46" s="26"/>
      <c r="U46" s="26"/>
      <c r="V46" s="26"/>
      <c r="W46" s="26"/>
      <c r="X46" s="26"/>
      <c r="Y46" s="26"/>
      <c r="Z46" s="26"/>
      <c r="AA46" s="26"/>
      <c r="AB46" s="26"/>
    </row>
    <row r="47" spans="2:28">
      <c r="B47" s="26"/>
      <c r="C47" s="26"/>
      <c r="D47" s="26"/>
      <c r="E47" s="26"/>
      <c r="F47" s="26"/>
      <c r="G47" s="26"/>
      <c r="H47" s="26"/>
      <c r="I47" s="26"/>
      <c r="J47" s="26"/>
      <c r="K47" s="26"/>
      <c r="M47" s="26"/>
      <c r="N47" s="26"/>
      <c r="R47" s="26"/>
      <c r="S47" s="26"/>
      <c r="T47" s="26"/>
      <c r="U47" s="26"/>
      <c r="V47" s="26"/>
      <c r="W47" s="26"/>
      <c r="X47" s="26"/>
      <c r="Y47" s="26"/>
      <c r="Z47" s="26"/>
      <c r="AA47" s="26"/>
      <c r="AB47" s="26"/>
    </row>
    <row r="48" spans="2:28">
      <c r="B48" s="26"/>
      <c r="C48" s="26"/>
      <c r="D48" s="26"/>
      <c r="E48" s="26"/>
      <c r="F48" s="26"/>
      <c r="G48" s="26"/>
      <c r="H48" s="26"/>
      <c r="I48" s="26"/>
      <c r="J48" s="26"/>
      <c r="K48" s="26"/>
      <c r="M48" s="26"/>
      <c r="N48" s="26"/>
      <c r="R48" s="26"/>
      <c r="S48" s="26"/>
      <c r="T48" s="26"/>
      <c r="U48" s="26"/>
      <c r="V48" s="26"/>
      <c r="W48" s="26"/>
      <c r="X48" s="26"/>
      <c r="Y48" s="26"/>
      <c r="Z48" s="26"/>
      <c r="AA48" s="26"/>
      <c r="AB48" s="26"/>
    </row>
    <row r="49" spans="2:28">
      <c r="B49" s="26"/>
      <c r="C49" s="26"/>
      <c r="D49" s="26"/>
      <c r="E49" s="26"/>
      <c r="F49" s="26"/>
      <c r="G49" s="26"/>
      <c r="H49" s="26"/>
      <c r="I49" s="26"/>
      <c r="J49" s="26"/>
      <c r="K49" s="26"/>
      <c r="M49" s="26"/>
      <c r="N49" s="26"/>
      <c r="R49" s="26"/>
      <c r="S49" s="26"/>
      <c r="T49" s="26"/>
      <c r="U49" s="26"/>
      <c r="V49" s="26"/>
      <c r="W49" s="26"/>
      <c r="X49" s="26"/>
      <c r="Y49" s="26"/>
      <c r="Z49" s="26"/>
      <c r="AA49" s="26"/>
      <c r="AB49" s="26"/>
    </row>
    <row r="50" spans="2:28">
      <c r="B50" s="26"/>
      <c r="C50" s="26"/>
      <c r="D50" s="26"/>
      <c r="E50" s="26"/>
      <c r="F50" s="26"/>
      <c r="G50" s="26"/>
      <c r="H50" s="26"/>
      <c r="I50" s="26"/>
      <c r="J50" s="26"/>
      <c r="K50" s="26"/>
      <c r="M50" s="26"/>
      <c r="N50" s="26"/>
      <c r="R50" s="26"/>
      <c r="S50" s="26"/>
      <c r="T50" s="26"/>
      <c r="U50" s="26"/>
      <c r="V50" s="26"/>
      <c r="W50" s="26"/>
      <c r="X50" s="26"/>
      <c r="Y50" s="26"/>
      <c r="Z50" s="26"/>
      <c r="AA50" s="26"/>
      <c r="AB50" s="26"/>
    </row>
    <row r="51" spans="2:28">
      <c r="B51" s="26"/>
      <c r="C51" s="26"/>
      <c r="D51" s="26"/>
      <c r="E51" s="26"/>
      <c r="F51" s="26"/>
      <c r="G51" s="26"/>
      <c r="H51" s="26"/>
      <c r="I51" s="26"/>
      <c r="J51" s="26"/>
      <c r="K51" s="26"/>
      <c r="M51" s="26"/>
      <c r="N51" s="26"/>
      <c r="R51" s="26"/>
      <c r="S51" s="26"/>
      <c r="T51" s="26"/>
      <c r="U51" s="26"/>
      <c r="V51" s="26"/>
      <c r="W51" s="26"/>
      <c r="X51" s="26"/>
      <c r="Y51" s="26"/>
      <c r="Z51" s="26"/>
      <c r="AA51" s="26"/>
      <c r="AB51" s="26"/>
    </row>
    <row r="52" spans="2:28">
      <c r="B52" s="26"/>
      <c r="C52" s="26"/>
      <c r="D52" s="26"/>
      <c r="E52" s="26"/>
      <c r="F52" s="26"/>
      <c r="G52" s="26"/>
      <c r="H52" s="26"/>
      <c r="I52" s="26"/>
      <c r="J52" s="26"/>
      <c r="K52" s="26"/>
      <c r="M52" s="26"/>
      <c r="N52" s="26"/>
      <c r="R52" s="26"/>
      <c r="S52" s="26"/>
      <c r="T52" s="26"/>
      <c r="U52" s="26"/>
      <c r="V52" s="26"/>
      <c r="W52" s="26"/>
      <c r="X52" s="26"/>
      <c r="Y52" s="26"/>
      <c r="Z52" s="26"/>
      <c r="AA52" s="26"/>
      <c r="AB52" s="26"/>
    </row>
    <row r="53" spans="2:28">
      <c r="B53" s="26"/>
      <c r="C53" s="26"/>
      <c r="D53" s="26"/>
      <c r="E53" s="26"/>
      <c r="F53" s="26"/>
      <c r="G53" s="26"/>
      <c r="H53" s="26"/>
      <c r="I53" s="26"/>
      <c r="J53" s="26"/>
      <c r="K53" s="26"/>
      <c r="M53" s="26"/>
      <c r="N53" s="26"/>
      <c r="R53" s="26"/>
      <c r="S53" s="26"/>
      <c r="T53" s="26"/>
      <c r="U53" s="26"/>
      <c r="V53" s="26"/>
      <c r="W53" s="26"/>
      <c r="X53" s="26"/>
      <c r="Y53" s="26"/>
      <c r="Z53" s="26"/>
      <c r="AA53" s="26"/>
      <c r="AB53" s="26"/>
    </row>
    <row r="54" spans="2:28">
      <c r="B54" s="26"/>
      <c r="C54" s="26"/>
      <c r="D54" s="26"/>
      <c r="E54" s="26"/>
      <c r="F54" s="26"/>
      <c r="G54" s="26"/>
      <c r="H54" s="26"/>
      <c r="I54" s="26"/>
      <c r="J54" s="26"/>
      <c r="K54" s="26"/>
      <c r="M54" s="26"/>
      <c r="N54" s="26"/>
      <c r="R54" s="26"/>
      <c r="S54" s="26"/>
      <c r="T54" s="26"/>
      <c r="U54" s="26"/>
      <c r="V54" s="26"/>
      <c r="W54" s="26"/>
      <c r="X54" s="26"/>
      <c r="Y54" s="26"/>
      <c r="Z54" s="26"/>
      <c r="AA54" s="26"/>
      <c r="AB54" s="26"/>
    </row>
    <row r="55" spans="2:28">
      <c r="B55" s="26"/>
      <c r="C55" s="26"/>
      <c r="D55" s="26"/>
      <c r="E55" s="26"/>
      <c r="F55" s="26"/>
      <c r="G55" s="26"/>
      <c r="H55" s="26"/>
      <c r="I55" s="26"/>
      <c r="J55" s="26"/>
      <c r="K55" s="26"/>
      <c r="M55" s="26"/>
      <c r="N55" s="26"/>
      <c r="R55" s="26"/>
      <c r="S55" s="26"/>
      <c r="T55" s="26"/>
      <c r="U55" s="26"/>
      <c r="V55" s="26"/>
      <c r="W55" s="26"/>
      <c r="X55" s="26"/>
      <c r="Y55" s="26"/>
      <c r="Z55" s="26"/>
      <c r="AA55" s="26"/>
      <c r="AB55" s="26"/>
    </row>
    <row r="56" spans="2:27">
      <c r="B56" s="26"/>
      <c r="C56" s="26"/>
      <c r="D56" s="26"/>
      <c r="E56" s="38"/>
      <c r="F56" s="38"/>
      <c r="G56" s="38"/>
      <c r="H56" s="83"/>
      <c r="I56" s="83"/>
      <c r="J56" s="83"/>
      <c r="K56" s="83"/>
      <c r="L56" s="1081"/>
      <c r="M56" s="378"/>
      <c r="N56" s="378"/>
      <c r="O56" s="1070"/>
      <c r="P56" s="1070"/>
      <c r="R56" s="26"/>
      <c r="S56" s="26"/>
      <c r="T56" s="26"/>
      <c r="U56" s="26"/>
      <c r="V56" s="26"/>
      <c r="W56" s="26"/>
      <c r="X56" s="26"/>
      <c r="Y56" s="26"/>
      <c r="Z56" s="26"/>
      <c r="AA56" s="26"/>
    </row>
    <row r="57" spans="1:27">
      <c r="A57" s="26"/>
      <c r="B57" s="26"/>
      <c r="C57" s="26"/>
      <c r="D57" s="26"/>
      <c r="E57" s="200"/>
      <c r="F57" s="200"/>
      <c r="G57" s="83"/>
      <c r="H57" s="1055"/>
      <c r="I57" s="1055"/>
      <c r="J57" s="475"/>
      <c r="K57" s="475"/>
      <c r="L57" s="475"/>
      <c r="M57" s="475"/>
      <c r="N57" s="475"/>
      <c r="O57" s="1070"/>
      <c r="P57" s="1070"/>
      <c r="R57" s="26"/>
      <c r="S57" s="26"/>
      <c r="T57" s="26"/>
      <c r="U57" s="26"/>
      <c r="V57" s="26"/>
      <c r="W57" s="26"/>
      <c r="X57" s="26"/>
      <c r="Y57" s="26"/>
      <c r="Z57" s="26"/>
      <c r="AA57" s="26"/>
    </row>
    <row r="58" spans="2:27">
      <c r="B58" s="26"/>
      <c r="C58" s="26"/>
      <c r="D58" s="26"/>
      <c r="E58" s="200"/>
      <c r="F58" s="200"/>
      <c r="G58" s="83"/>
      <c r="H58" s="1055"/>
      <c r="I58" s="1055"/>
      <c r="J58" s="475"/>
      <c r="K58" s="475"/>
      <c r="L58" s="475"/>
      <c r="M58" s="475"/>
      <c r="N58" s="475"/>
      <c r="O58" s="1070"/>
      <c r="P58" s="1070"/>
      <c r="R58" s="26"/>
      <c r="S58" s="26"/>
      <c r="T58" s="26"/>
      <c r="U58" s="26"/>
      <c r="V58" s="26"/>
      <c r="W58" s="26"/>
      <c r="X58" s="26"/>
      <c r="Y58" s="26"/>
      <c r="Z58" s="26"/>
      <c r="AA58" s="26"/>
    </row>
    <row r="59" ht="15.75" spans="1:28">
      <c r="A59" s="677">
        <v>2</v>
      </c>
      <c r="B59" s="678" t="s">
        <v>361</v>
      </c>
      <c r="C59" s="678"/>
      <c r="D59" s="677"/>
      <c r="E59" s="38"/>
      <c r="F59" s="38"/>
      <c r="G59" s="38"/>
      <c r="H59" s="1055"/>
      <c r="I59" s="1055"/>
      <c r="J59" s="475"/>
      <c r="K59" s="475"/>
      <c r="L59" s="475"/>
      <c r="M59" s="1071"/>
      <c r="N59" s="475"/>
      <c r="O59" s="1070"/>
      <c r="P59" s="1070"/>
      <c r="R59" s="26"/>
      <c r="S59" s="26"/>
      <c r="T59" s="26"/>
      <c r="U59" s="26"/>
      <c r="V59" s="26"/>
      <c r="W59" s="26"/>
      <c r="X59" s="26"/>
      <c r="Y59" s="26"/>
      <c r="Z59" s="26"/>
      <c r="AA59" s="26"/>
      <c r="AB59" s="26"/>
    </row>
    <row r="60" spans="2:28">
      <c r="B60" s="26"/>
      <c r="C60" s="26"/>
      <c r="D60" s="26"/>
      <c r="E60" s="26"/>
      <c r="F60" s="26"/>
      <c r="G60" s="26"/>
      <c r="H60" s="26"/>
      <c r="I60" s="26"/>
      <c r="J60" s="26"/>
      <c r="K60" s="26"/>
      <c r="M60" s="26"/>
      <c r="N60" s="26"/>
      <c r="R60" s="26"/>
      <c r="S60" s="26"/>
      <c r="T60" s="26"/>
      <c r="U60" s="26"/>
      <c r="V60" s="26"/>
      <c r="W60" s="26"/>
      <c r="X60" s="26"/>
      <c r="Y60" s="26"/>
      <c r="Z60" s="26"/>
      <c r="AA60" s="26"/>
      <c r="AB60" s="26"/>
    </row>
    <row r="61" ht="18.75" spans="2:28">
      <c r="B61" s="842">
        <v>2.1</v>
      </c>
      <c r="C61" s="1056" t="s">
        <v>362</v>
      </c>
      <c r="D61" s="1057"/>
      <c r="E61" s="1057"/>
      <c r="F61" s="1057"/>
      <c r="G61" s="1057"/>
      <c r="H61" s="1057"/>
      <c r="I61" s="1057"/>
      <c r="J61" s="26"/>
      <c r="K61" s="26"/>
      <c r="L61" s="1082"/>
      <c r="M61" s="26"/>
      <c r="N61" s="26"/>
      <c r="R61" s="26"/>
      <c r="S61" s="26"/>
      <c r="T61" s="26"/>
      <c r="U61" s="26"/>
      <c r="V61" s="26"/>
      <c r="W61" s="26"/>
      <c r="X61" s="26"/>
      <c r="Y61" s="26"/>
      <c r="Z61" s="26"/>
      <c r="AA61" s="26"/>
      <c r="AB61" s="26"/>
    </row>
    <row r="62" ht="12" spans="2:28">
      <c r="B62" s="26"/>
      <c r="C62" s="77"/>
      <c r="D62" s="26"/>
      <c r="E62" s="26"/>
      <c r="F62" s="26"/>
      <c r="G62" s="26"/>
      <c r="H62" s="26"/>
      <c r="I62" s="26"/>
      <c r="J62" s="26"/>
      <c r="K62" s="26"/>
      <c r="M62" s="26"/>
      <c r="N62" s="26"/>
      <c r="R62" s="26"/>
      <c r="S62" s="26"/>
      <c r="T62" s="26"/>
      <c r="U62" s="26"/>
      <c r="V62" s="26"/>
      <c r="W62" s="26"/>
      <c r="X62" s="26"/>
      <c r="Y62" s="26"/>
      <c r="Z62" s="26"/>
      <c r="AA62" s="26"/>
      <c r="AB62" s="26"/>
    </row>
    <row r="63" ht="15" customHeight="1" spans="2:28">
      <c r="B63" s="1006"/>
      <c r="C63" s="1007"/>
      <c r="D63" s="1008"/>
      <c r="E63" s="1009" t="s">
        <v>103</v>
      </c>
      <c r="F63" s="1010"/>
      <c r="G63" s="1010"/>
      <c r="H63" s="1010"/>
      <c r="I63" s="1010"/>
      <c r="J63" s="1010"/>
      <c r="K63" s="1010"/>
      <c r="L63" s="1010"/>
      <c r="M63" s="1010"/>
      <c r="N63" s="1010"/>
      <c r="R63" s="26"/>
      <c r="S63" s="26"/>
      <c r="T63" s="26"/>
      <c r="U63" s="26"/>
      <c r="V63" s="26"/>
      <c r="W63" s="26"/>
      <c r="X63" s="26"/>
      <c r="Y63" s="26"/>
      <c r="Z63" s="26"/>
      <c r="AA63" s="26"/>
      <c r="AB63" s="26"/>
    </row>
    <row r="64" ht="12" spans="2:28">
      <c r="B64" s="1058" t="s">
        <v>363</v>
      </c>
      <c r="C64" s="1013"/>
      <c r="D64" s="1014" t="str">
        <f>$E$9</f>
        <v>TOTAL BRAND 01</v>
      </c>
      <c r="E64" s="1015" t="s">
        <v>293</v>
      </c>
      <c r="F64" s="1015" t="s">
        <v>294</v>
      </c>
      <c r="G64" s="1015" t="s">
        <v>295</v>
      </c>
      <c r="H64" s="1015" t="s">
        <v>296</v>
      </c>
      <c r="I64" s="1066" t="s">
        <v>297</v>
      </c>
      <c r="J64" s="1067" t="s">
        <v>298</v>
      </c>
      <c r="K64" s="1067" t="s">
        <v>299</v>
      </c>
      <c r="L64" s="1067" t="s">
        <v>300</v>
      </c>
      <c r="M64" s="1068" t="s">
        <v>301</v>
      </c>
      <c r="N64" s="1068"/>
      <c r="R64" s="26"/>
      <c r="S64" s="26"/>
      <c r="T64" s="26"/>
      <c r="U64" s="26"/>
      <c r="V64" s="26"/>
      <c r="W64" s="26"/>
      <c r="X64" s="26"/>
      <c r="Y64" s="26"/>
      <c r="Z64" s="26"/>
      <c r="AA64" s="26"/>
      <c r="AB64" s="26"/>
    </row>
    <row r="65" ht="12" spans="2:28">
      <c r="B65" s="1083" t="s">
        <v>311</v>
      </c>
      <c r="C65" s="1018" t="s">
        <v>349</v>
      </c>
      <c r="D65" s="1084">
        <f>$E$12</f>
        <v>273056.248179254</v>
      </c>
      <c r="E65" s="38"/>
      <c r="F65" s="38"/>
      <c r="G65" s="38"/>
      <c r="H65" s="38"/>
      <c r="I65" s="378"/>
      <c r="J65" s="378"/>
      <c r="K65" s="378"/>
      <c r="L65" s="378"/>
      <c r="M65" s="378"/>
      <c r="N65" s="378"/>
      <c r="R65" s="427"/>
      <c r="S65" s="427"/>
      <c r="T65" s="427"/>
      <c r="U65" s="427"/>
      <c r="V65" s="427"/>
      <c r="W65" s="427"/>
      <c r="X65" s="427"/>
      <c r="Y65" s="26"/>
      <c r="Z65" s="26"/>
      <c r="AA65" s="26"/>
      <c r="AB65" s="26"/>
    </row>
    <row r="66" spans="2:28">
      <c r="B66" s="1021" t="s">
        <v>364</v>
      </c>
      <c r="C66" s="1018" t="s">
        <v>349</v>
      </c>
      <c r="D66" s="1024"/>
      <c r="E66" s="1085">
        <v>4.49</v>
      </c>
      <c r="F66" s="1085">
        <v>6.99</v>
      </c>
      <c r="G66" s="1085">
        <v>5.49</v>
      </c>
      <c r="H66" s="1085">
        <v>6.99</v>
      </c>
      <c r="I66" s="1085">
        <v>5.99</v>
      </c>
      <c r="J66" s="1085">
        <v>5.99</v>
      </c>
      <c r="K66" s="1085">
        <v>2.45</v>
      </c>
      <c r="L66" s="1085">
        <v>2.99</v>
      </c>
      <c r="M66" s="1085">
        <v>1.99</v>
      </c>
      <c r="N66" s="1085"/>
      <c r="R66" s="427"/>
      <c r="S66" s="427"/>
      <c r="T66" s="427"/>
      <c r="U66" s="427"/>
      <c r="V66" s="427"/>
      <c r="W66" s="427"/>
      <c r="X66" s="427"/>
      <c r="Y66" s="26"/>
      <c r="Z66" s="26"/>
      <c r="AA66" s="26"/>
      <c r="AB66" s="26"/>
    </row>
    <row r="67" spans="2:28">
      <c r="B67" s="1021" t="s">
        <v>365</v>
      </c>
      <c r="C67" s="1018" t="s">
        <v>349</v>
      </c>
      <c r="D67" s="1024"/>
      <c r="E67" s="1085">
        <v>0.82</v>
      </c>
      <c r="F67" s="1085">
        <v>0.86</v>
      </c>
      <c r="G67" s="1085">
        <v>0.83</v>
      </c>
      <c r="H67" s="1085">
        <v>0.84</v>
      </c>
      <c r="I67" s="1085">
        <v>0.83</v>
      </c>
      <c r="J67" s="1085">
        <v>0.83</v>
      </c>
      <c r="K67" s="1085">
        <v>0.82</v>
      </c>
      <c r="L67" s="1085">
        <v>0.86</v>
      </c>
      <c r="M67" s="1085">
        <v>0.83</v>
      </c>
      <c r="N67" s="1085"/>
      <c r="Q67" s="427"/>
      <c r="R67" s="427"/>
      <c r="S67" s="427"/>
      <c r="T67" s="427"/>
      <c r="U67" s="427"/>
      <c r="V67" s="427"/>
      <c r="W67" s="427"/>
      <c r="X67" s="427"/>
      <c r="Y67" s="26"/>
      <c r="Z67" s="26"/>
      <c r="AA67" s="26"/>
      <c r="AB67" s="26"/>
    </row>
    <row r="68" spans="2:28">
      <c r="B68" s="1021" t="s">
        <v>366</v>
      </c>
      <c r="C68" s="1018" t="s">
        <v>349</v>
      </c>
      <c r="D68" s="1024"/>
      <c r="E68" s="1085">
        <f t="shared" ref="E68:M68" si="1">E66-E67</f>
        <v>3.67</v>
      </c>
      <c r="F68" s="1085">
        <f t="shared" si="1"/>
        <v>6.13</v>
      </c>
      <c r="G68" s="1085">
        <f t="shared" si="1"/>
        <v>4.66</v>
      </c>
      <c r="H68" s="1085">
        <f t="shared" si="1"/>
        <v>6.15</v>
      </c>
      <c r="I68" s="1085">
        <f t="shared" si="1"/>
        <v>5.16</v>
      </c>
      <c r="J68" s="1085">
        <f t="shared" si="1"/>
        <v>5.16</v>
      </c>
      <c r="K68" s="1085">
        <f t="shared" si="1"/>
        <v>1.63</v>
      </c>
      <c r="L68" s="1085">
        <f t="shared" si="1"/>
        <v>2.13</v>
      </c>
      <c r="M68" s="1085">
        <f t="shared" si="1"/>
        <v>1.16</v>
      </c>
      <c r="N68" s="1085"/>
      <c r="Q68" s="1145"/>
      <c r="R68" s="1146"/>
      <c r="S68" s="1146"/>
      <c r="T68" s="1146"/>
      <c r="U68" s="1146"/>
      <c r="V68" s="1146"/>
      <c r="W68" s="1146"/>
      <c r="X68" s="1146"/>
      <c r="Y68" s="1146"/>
      <c r="Z68" s="1146"/>
      <c r="AA68" s="26"/>
      <c r="AB68" s="26"/>
    </row>
    <row r="69" spans="2:28">
      <c r="B69" s="1021" t="s">
        <v>367</v>
      </c>
      <c r="C69" s="1018" t="s">
        <v>109</v>
      </c>
      <c r="D69" s="1086">
        <f>(D71-D73)/D71</f>
        <v>0.788009075090769</v>
      </c>
      <c r="E69" s="1087">
        <f t="shared" ref="E69:M69" si="2">E68/E66</f>
        <v>0.817371937639198</v>
      </c>
      <c r="F69" s="1087">
        <f t="shared" si="2"/>
        <v>0.876967095851216</v>
      </c>
      <c r="G69" s="1087">
        <f t="shared" si="2"/>
        <v>0.848816029143898</v>
      </c>
      <c r="H69" s="1087">
        <f t="shared" si="2"/>
        <v>0.879828326180258</v>
      </c>
      <c r="I69" s="1087">
        <f t="shared" si="2"/>
        <v>0.861435726210351</v>
      </c>
      <c r="J69" s="1087">
        <f t="shared" si="2"/>
        <v>0.861435726210351</v>
      </c>
      <c r="K69" s="1087">
        <f t="shared" si="2"/>
        <v>0.66530612244898</v>
      </c>
      <c r="L69" s="1087">
        <f t="shared" si="2"/>
        <v>0.712374581939799</v>
      </c>
      <c r="M69" s="1087">
        <f t="shared" si="2"/>
        <v>0.582914572864322</v>
      </c>
      <c r="N69" s="1087"/>
      <c r="Q69" s="1145"/>
      <c r="R69" s="1146"/>
      <c r="S69" s="1146"/>
      <c r="T69" s="1146"/>
      <c r="U69" s="1146"/>
      <c r="V69" s="1146"/>
      <c r="W69" s="1146"/>
      <c r="X69" s="1146"/>
      <c r="Y69" s="1146"/>
      <c r="Z69" s="1146"/>
      <c r="AA69" s="26"/>
      <c r="AB69" s="26"/>
    </row>
    <row r="70" spans="2:28">
      <c r="B70" s="1021" t="s">
        <v>368</v>
      </c>
      <c r="C70" s="1018" t="s">
        <v>369</v>
      </c>
      <c r="D70" s="1024"/>
      <c r="E70" s="1088">
        <v>10350.9235204173</v>
      </c>
      <c r="F70" s="1088">
        <v>10011.717753559</v>
      </c>
      <c r="G70" s="1088">
        <v>7572.4279361728</v>
      </c>
      <c r="H70" s="1088">
        <v>20575.5163110464</v>
      </c>
      <c r="I70" s="1088">
        <v>20575.5163110464</v>
      </c>
      <c r="J70" s="1088">
        <v>20575.5163110464</v>
      </c>
      <c r="K70" s="1088">
        <v>70129.2282285562</v>
      </c>
      <c r="L70" s="1088">
        <v>84184.4623246669</v>
      </c>
      <c r="M70" s="1088">
        <v>3191.37407319295</v>
      </c>
      <c r="N70" s="1088"/>
      <c r="R70" s="26"/>
      <c r="S70" s="26"/>
      <c r="T70" s="26"/>
      <c r="U70" s="26"/>
      <c r="V70" s="26"/>
      <c r="W70" s="26"/>
      <c r="X70" s="26"/>
      <c r="Y70" s="26"/>
      <c r="Z70" s="26"/>
      <c r="AA70" s="26"/>
      <c r="AB70" s="26"/>
    </row>
    <row r="71" spans="2:28">
      <c r="B71" s="1021" t="s">
        <v>320</v>
      </c>
      <c r="C71" s="1018" t="s">
        <v>349</v>
      </c>
      <c r="D71" s="1020">
        <f>SUM(E71:XN71)</f>
        <v>978226.713410561</v>
      </c>
      <c r="E71" s="475">
        <f t="shared" ref="E71:M71" si="3">E66*E70</f>
        <v>46475.6466066735</v>
      </c>
      <c r="F71" s="475">
        <f t="shared" si="3"/>
        <v>69981.9070973775</v>
      </c>
      <c r="G71" s="475">
        <f t="shared" si="3"/>
        <v>41572.6293695887</v>
      </c>
      <c r="H71" s="475">
        <f t="shared" si="3"/>
        <v>143822.859014214</v>
      </c>
      <c r="I71" s="475">
        <f t="shared" si="3"/>
        <v>123247.342703168</v>
      </c>
      <c r="J71" s="475">
        <f t="shared" si="3"/>
        <v>123247.342703168</v>
      </c>
      <c r="K71" s="475">
        <f t="shared" si="3"/>
        <v>171816.609159963</v>
      </c>
      <c r="L71" s="475">
        <f t="shared" si="3"/>
        <v>251711.542350754</v>
      </c>
      <c r="M71" s="475">
        <f t="shared" si="3"/>
        <v>6350.83440565397</v>
      </c>
      <c r="N71" s="475"/>
      <c r="R71" s="26"/>
      <c r="S71" s="26"/>
      <c r="T71" s="26"/>
      <c r="U71" s="26"/>
      <c r="V71" s="26"/>
      <c r="W71" s="26"/>
      <c r="X71" s="26"/>
      <c r="Y71" s="26"/>
      <c r="Z71" s="26"/>
      <c r="AA71" s="26"/>
      <c r="AB71" s="26"/>
    </row>
    <row r="72" spans="2:28">
      <c r="B72" s="1021" t="s">
        <v>370</v>
      </c>
      <c r="C72" s="1018" t="s">
        <v>109</v>
      </c>
      <c r="D72" s="1089"/>
      <c r="E72" s="1087">
        <f>E71/$D71</f>
        <v>0.0475100975771122</v>
      </c>
      <c r="F72" s="1087">
        <f>F71/$D71</f>
        <v>0.0715395584050117</v>
      </c>
      <c r="G72" s="1087">
        <f>G71/$D71</f>
        <v>0.0424979494013682</v>
      </c>
      <c r="H72" s="1087">
        <f>H71/$D71</f>
        <v>0.147024055919287</v>
      </c>
      <c r="I72" s="1087">
        <f>I71/$D71</f>
        <v>0.125990571524539</v>
      </c>
      <c r="J72" s="1087">
        <f>J71/$D71</f>
        <v>0.125990571524539</v>
      </c>
      <c r="K72" s="1087">
        <f>K71/$D71</f>
        <v>0.175640888563479</v>
      </c>
      <c r="L72" s="1087">
        <f>L71/$D71</f>
        <v>0.257314116349541</v>
      </c>
      <c r="M72" s="1087">
        <f>M71/$D71</f>
        <v>0.00649219073512311</v>
      </c>
      <c r="N72" s="1087"/>
      <c r="R72" s="26"/>
      <c r="S72" s="26"/>
      <c r="T72" s="26"/>
      <c r="U72" s="26"/>
      <c r="V72" s="26"/>
      <c r="W72" s="26"/>
      <c r="X72" s="26"/>
      <c r="Y72" s="26"/>
      <c r="Z72" s="26"/>
      <c r="AA72" s="26"/>
      <c r="AB72" s="26"/>
    </row>
    <row r="73" spans="2:28">
      <c r="B73" s="1021" t="s">
        <v>371</v>
      </c>
      <c r="C73" s="1018" t="s">
        <v>349</v>
      </c>
      <c r="D73" s="1020">
        <f>SUM(E73:XN73)</f>
        <v>207375.185746822</v>
      </c>
      <c r="E73" s="475">
        <f t="shared" ref="E73:M73" si="4">E67*E70</f>
        <v>8487.75728674215</v>
      </c>
      <c r="F73" s="475">
        <f t="shared" si="4"/>
        <v>8610.07726806075</v>
      </c>
      <c r="G73" s="475">
        <f t="shared" si="4"/>
        <v>6285.11518702342</v>
      </c>
      <c r="H73" s="475">
        <f t="shared" si="4"/>
        <v>17283.433701279</v>
      </c>
      <c r="I73" s="475">
        <f t="shared" si="4"/>
        <v>17077.6785381685</v>
      </c>
      <c r="J73" s="475">
        <f t="shared" si="4"/>
        <v>17077.6785381685</v>
      </c>
      <c r="K73" s="475">
        <f t="shared" si="4"/>
        <v>57505.9671474161</v>
      </c>
      <c r="L73" s="475">
        <f t="shared" si="4"/>
        <v>72398.6375992135</v>
      </c>
      <c r="M73" s="475">
        <f t="shared" si="4"/>
        <v>2648.84048075015</v>
      </c>
      <c r="N73" s="475"/>
      <c r="R73" s="26"/>
      <c r="S73" s="26"/>
      <c r="T73" s="26"/>
      <c r="U73" s="26"/>
      <c r="V73" s="26"/>
      <c r="W73" s="26"/>
      <c r="X73" s="26"/>
      <c r="Y73" s="26"/>
      <c r="Z73" s="26"/>
      <c r="AA73" s="26"/>
      <c r="AB73" s="26"/>
    </row>
    <row r="74" spans="2:28">
      <c r="B74" s="1021" t="s">
        <v>322</v>
      </c>
      <c r="C74" s="1018" t="s">
        <v>349</v>
      </c>
      <c r="D74" s="1020">
        <f>SUM(E74:XN74)</f>
        <v>770851.527663738</v>
      </c>
      <c r="E74" s="475">
        <f t="shared" ref="E74:M74" si="5">E71-E73</f>
        <v>37987.8893199314</v>
      </c>
      <c r="F74" s="475">
        <f t="shared" si="5"/>
        <v>61371.8298293167</v>
      </c>
      <c r="G74" s="475">
        <f t="shared" si="5"/>
        <v>35287.5141825653</v>
      </c>
      <c r="H74" s="475">
        <f t="shared" si="5"/>
        <v>126539.425312935</v>
      </c>
      <c r="I74" s="475">
        <f t="shared" si="5"/>
        <v>106169.664164999</v>
      </c>
      <c r="J74" s="475">
        <f t="shared" si="5"/>
        <v>106169.664164999</v>
      </c>
      <c r="K74" s="475">
        <f t="shared" si="5"/>
        <v>114310.642012547</v>
      </c>
      <c r="L74" s="475">
        <f t="shared" si="5"/>
        <v>179312.904751541</v>
      </c>
      <c r="M74" s="475">
        <f t="shared" si="5"/>
        <v>3701.99392490382</v>
      </c>
      <c r="N74" s="475"/>
      <c r="R74" s="26"/>
      <c r="S74" s="26"/>
      <c r="T74" s="26"/>
      <c r="U74" s="26"/>
      <c r="V74" s="26"/>
      <c r="W74" s="26"/>
      <c r="X74" s="26"/>
      <c r="Y74" s="26"/>
      <c r="Z74" s="26"/>
      <c r="AA74" s="26"/>
      <c r="AB74" s="26"/>
    </row>
    <row r="75" ht="12" spans="2:28">
      <c r="B75" s="1090"/>
      <c r="C75" s="1091" t="s">
        <v>109</v>
      </c>
      <c r="D75" s="1092"/>
      <c r="E75" s="1093">
        <f>E74/$D74</f>
        <v>0.0492804229564976</v>
      </c>
      <c r="F75" s="1093">
        <f>F74/$D74</f>
        <v>0.0796156297637752</v>
      </c>
      <c r="G75" s="1093">
        <f>G74/$D74</f>
        <v>0.045777316274527</v>
      </c>
      <c r="H75" s="1093">
        <f>H74/$D74</f>
        <v>0.164155379825795</v>
      </c>
      <c r="I75" s="1093">
        <f>I74/$D74</f>
        <v>0.137730367463594</v>
      </c>
      <c r="J75" s="1093">
        <f>J74/$D74</f>
        <v>0.137730367463594</v>
      </c>
      <c r="K75" s="1093">
        <f>K74/$D74</f>
        <v>0.148291386746024</v>
      </c>
      <c r="L75" s="1093">
        <f>L74/$D74</f>
        <v>0.232616656147772</v>
      </c>
      <c r="M75" s="1093">
        <f>M74/$D74</f>
        <v>0.00480247335842177</v>
      </c>
      <c r="N75" s="1093"/>
      <c r="R75" s="26"/>
      <c r="S75" s="26"/>
      <c r="T75" s="26"/>
      <c r="U75" s="26"/>
      <c r="V75" s="26"/>
      <c r="W75" s="26"/>
      <c r="X75" s="26"/>
      <c r="Y75" s="26"/>
      <c r="Z75" s="26"/>
      <c r="AA75" s="26"/>
      <c r="AB75" s="26"/>
    </row>
    <row r="76" ht="12" spans="2:28">
      <c r="B76" s="26"/>
      <c r="C76" s="26"/>
      <c r="D76" s="26"/>
      <c r="E76" s="26"/>
      <c r="F76" s="26"/>
      <c r="G76" s="26"/>
      <c r="H76" s="26"/>
      <c r="L76" s="379"/>
      <c r="R76" s="26"/>
      <c r="S76" s="26"/>
      <c r="T76" s="26"/>
      <c r="U76" s="26"/>
      <c r="V76" s="26"/>
      <c r="W76" s="26"/>
      <c r="X76" s="26"/>
      <c r="Y76" s="26"/>
      <c r="Z76" s="26"/>
      <c r="AA76" s="26"/>
      <c r="AB76" s="26"/>
    </row>
    <row r="77" spans="1:28">
      <c r="A77" s="1094" t="s">
        <v>372</v>
      </c>
      <c r="B77" s="1095" t="s">
        <v>311</v>
      </c>
      <c r="C77" s="1096" t="s">
        <v>349</v>
      </c>
      <c r="D77" s="1097">
        <v>250000</v>
      </c>
      <c r="E77" s="1098"/>
      <c r="F77" s="1098"/>
      <c r="G77" s="1098"/>
      <c r="H77" s="1098"/>
      <c r="I77" s="1136"/>
      <c r="J77" s="1136"/>
      <c r="K77" s="1136"/>
      <c r="L77" s="1136"/>
      <c r="M77" s="1136"/>
      <c r="N77" s="1136"/>
      <c r="R77" s="26"/>
      <c r="S77" s="26"/>
      <c r="T77" s="26"/>
      <c r="U77" s="26"/>
      <c r="V77" s="26"/>
      <c r="W77" s="26"/>
      <c r="X77" s="26"/>
      <c r="Y77" s="26"/>
      <c r="Z77" s="26"/>
      <c r="AA77" s="26"/>
      <c r="AB77" s="26"/>
    </row>
    <row r="78" spans="1:28">
      <c r="A78" s="26"/>
      <c r="B78" s="1099" t="s">
        <v>364</v>
      </c>
      <c r="C78" s="83" t="s">
        <v>349</v>
      </c>
      <c r="D78" s="1100"/>
      <c r="E78" s="1085">
        <f t="shared" ref="E78:M78" si="6">E66</f>
        <v>4.49</v>
      </c>
      <c r="F78" s="1085">
        <f t="shared" si="6"/>
        <v>6.99</v>
      </c>
      <c r="G78" s="1085">
        <f t="shared" si="6"/>
        <v>5.49</v>
      </c>
      <c r="H78" s="1085">
        <f t="shared" si="6"/>
        <v>6.99</v>
      </c>
      <c r="I78" s="1085">
        <f t="shared" si="6"/>
        <v>5.99</v>
      </c>
      <c r="J78" s="1085">
        <f t="shared" si="6"/>
        <v>5.99</v>
      </c>
      <c r="K78" s="1085">
        <f t="shared" si="6"/>
        <v>2.45</v>
      </c>
      <c r="L78" s="1085">
        <f t="shared" si="6"/>
        <v>2.99</v>
      </c>
      <c r="M78" s="1085">
        <f t="shared" si="6"/>
        <v>1.99</v>
      </c>
      <c r="N78" s="1085"/>
      <c r="R78" s="26"/>
      <c r="S78" s="26"/>
      <c r="T78" s="26"/>
      <c r="U78" s="26"/>
      <c r="V78" s="26"/>
      <c r="W78" s="26"/>
      <c r="X78" s="26"/>
      <c r="Y78" s="26"/>
      <c r="Z78" s="26"/>
      <c r="AA78" s="26"/>
      <c r="AB78" s="26"/>
    </row>
    <row r="79" spans="1:28">
      <c r="A79" s="26"/>
      <c r="B79" s="1099" t="s">
        <v>365</v>
      </c>
      <c r="C79" s="83" t="s">
        <v>349</v>
      </c>
      <c r="D79" s="1100"/>
      <c r="E79" s="1085">
        <f t="shared" ref="E79:M79" si="7">E67</f>
        <v>0.82</v>
      </c>
      <c r="F79" s="1085">
        <f t="shared" si="7"/>
        <v>0.86</v>
      </c>
      <c r="G79" s="1085">
        <f t="shared" si="7"/>
        <v>0.83</v>
      </c>
      <c r="H79" s="1085">
        <f t="shared" si="7"/>
        <v>0.84</v>
      </c>
      <c r="I79" s="1085">
        <f t="shared" si="7"/>
        <v>0.83</v>
      </c>
      <c r="J79" s="1085">
        <f t="shared" si="7"/>
        <v>0.83</v>
      </c>
      <c r="K79" s="1085">
        <f t="shared" si="7"/>
        <v>0.82</v>
      </c>
      <c r="L79" s="1085">
        <f t="shared" si="7"/>
        <v>0.86</v>
      </c>
      <c r="M79" s="1085">
        <f t="shared" si="7"/>
        <v>0.83</v>
      </c>
      <c r="N79" s="1085"/>
      <c r="R79" s="26"/>
      <c r="S79" s="26"/>
      <c r="T79" s="26"/>
      <c r="U79" s="26"/>
      <c r="V79" s="26"/>
      <c r="W79" s="26"/>
      <c r="X79" s="26"/>
      <c r="Y79" s="26"/>
      <c r="Z79" s="26"/>
      <c r="AA79" s="26"/>
      <c r="AB79" s="26"/>
    </row>
    <row r="80" spans="1:28">
      <c r="A80" s="26"/>
      <c r="B80" s="1099" t="s">
        <v>366</v>
      </c>
      <c r="C80" s="83" t="s">
        <v>349</v>
      </c>
      <c r="D80" s="1100"/>
      <c r="E80" s="1085">
        <f t="shared" ref="E80:M80" si="8">E78-E79</f>
        <v>3.67</v>
      </c>
      <c r="F80" s="1085">
        <f t="shared" si="8"/>
        <v>6.13</v>
      </c>
      <c r="G80" s="1085">
        <f t="shared" si="8"/>
        <v>4.66</v>
      </c>
      <c r="H80" s="1085">
        <f t="shared" si="8"/>
        <v>6.15</v>
      </c>
      <c r="I80" s="1085">
        <f t="shared" si="8"/>
        <v>5.16</v>
      </c>
      <c r="J80" s="1085">
        <f t="shared" si="8"/>
        <v>5.16</v>
      </c>
      <c r="K80" s="1085">
        <f t="shared" si="8"/>
        <v>1.63</v>
      </c>
      <c r="L80" s="1085">
        <f t="shared" si="8"/>
        <v>2.13</v>
      </c>
      <c r="M80" s="1085">
        <f t="shared" si="8"/>
        <v>1.16</v>
      </c>
      <c r="N80" s="1085"/>
      <c r="R80" s="26"/>
      <c r="S80" s="26"/>
      <c r="T80" s="26"/>
      <c r="U80" s="26"/>
      <c r="V80" s="26"/>
      <c r="W80" s="26"/>
      <c r="X80" s="26"/>
      <c r="Y80" s="26"/>
      <c r="Z80" s="26"/>
      <c r="AA80" s="26"/>
      <c r="AB80" s="26"/>
    </row>
    <row r="81" spans="1:28">
      <c r="A81" s="26"/>
      <c r="B81" s="1099" t="s">
        <v>367</v>
      </c>
      <c r="C81" s="83" t="s">
        <v>109</v>
      </c>
      <c r="D81" s="1101">
        <f>(D83-D85)/D83</f>
        <v>0.788009075090769</v>
      </c>
      <c r="E81" s="1087">
        <f t="shared" ref="E81:M81" si="9">E80/E78</f>
        <v>0.817371937639198</v>
      </c>
      <c r="F81" s="1087">
        <f t="shared" si="9"/>
        <v>0.876967095851216</v>
      </c>
      <c r="G81" s="1087">
        <f t="shared" si="9"/>
        <v>0.848816029143898</v>
      </c>
      <c r="H81" s="1087">
        <f t="shared" si="9"/>
        <v>0.879828326180258</v>
      </c>
      <c r="I81" s="1087">
        <f t="shared" si="9"/>
        <v>0.861435726210351</v>
      </c>
      <c r="J81" s="1087">
        <f t="shared" si="9"/>
        <v>0.861435726210351</v>
      </c>
      <c r="K81" s="1087">
        <f t="shared" si="9"/>
        <v>0.66530612244898</v>
      </c>
      <c r="L81" s="1087">
        <f t="shared" si="9"/>
        <v>0.712374581939799</v>
      </c>
      <c r="M81" s="1087">
        <f t="shared" si="9"/>
        <v>0.582914572864322</v>
      </c>
      <c r="N81" s="1087"/>
      <c r="R81" s="26"/>
      <c r="S81" s="26"/>
      <c r="T81" s="26"/>
      <c r="U81" s="26"/>
      <c r="V81" s="26"/>
      <c r="W81" s="26"/>
      <c r="X81" s="26"/>
      <c r="Y81" s="26"/>
      <c r="Z81" s="26"/>
      <c r="AA81" s="26"/>
      <c r="AB81" s="26"/>
    </row>
    <row r="82" spans="1:28">
      <c r="A82" s="26"/>
      <c r="B82" s="1099" t="s">
        <v>368</v>
      </c>
      <c r="C82" s="83" t="s">
        <v>369</v>
      </c>
      <c r="D82" s="1100"/>
      <c r="E82" s="1088">
        <f>70:70</f>
        <v>10350.9235204173</v>
      </c>
      <c r="F82" s="1088">
        <f>70:70</f>
        <v>10011.717753559</v>
      </c>
      <c r="G82" s="1088">
        <f>70:70</f>
        <v>7572.4279361728</v>
      </c>
      <c r="H82" s="1088">
        <f>70:70</f>
        <v>20575.5163110464</v>
      </c>
      <c r="I82" s="1088">
        <f>70:70</f>
        <v>20575.5163110464</v>
      </c>
      <c r="J82" s="1088">
        <f>70:70</f>
        <v>20575.5163110464</v>
      </c>
      <c r="K82" s="1088">
        <f>70:70</f>
        <v>70129.2282285562</v>
      </c>
      <c r="L82" s="1088">
        <f>70:70</f>
        <v>84184.4623246669</v>
      </c>
      <c r="M82" s="1088">
        <f>70:70</f>
        <v>3191.37407319295</v>
      </c>
      <c r="N82" s="1088"/>
      <c r="R82" s="26"/>
      <c r="S82" s="26"/>
      <c r="T82" s="26"/>
      <c r="U82" s="26"/>
      <c r="V82" s="26"/>
      <c r="W82" s="26"/>
      <c r="X82" s="26"/>
      <c r="Y82" s="26"/>
      <c r="Z82" s="26"/>
      <c r="AA82" s="26"/>
      <c r="AB82" s="26"/>
    </row>
    <row r="83" spans="1:28">
      <c r="A83" s="26"/>
      <c r="B83" s="1099" t="s">
        <v>320</v>
      </c>
      <c r="C83" s="83" t="s">
        <v>349</v>
      </c>
      <c r="D83" s="1102">
        <f>SUM(E83:XN83)</f>
        <v>978226.713410561</v>
      </c>
      <c r="E83" s="475">
        <f t="shared" ref="E83:M83" si="10">E78*E82</f>
        <v>46475.6466066735</v>
      </c>
      <c r="F83" s="475">
        <f t="shared" si="10"/>
        <v>69981.9070973775</v>
      </c>
      <c r="G83" s="475">
        <f t="shared" si="10"/>
        <v>41572.6293695887</v>
      </c>
      <c r="H83" s="475">
        <f t="shared" si="10"/>
        <v>143822.859014214</v>
      </c>
      <c r="I83" s="475">
        <f t="shared" si="10"/>
        <v>123247.342703168</v>
      </c>
      <c r="J83" s="475">
        <f t="shared" si="10"/>
        <v>123247.342703168</v>
      </c>
      <c r="K83" s="475">
        <f t="shared" si="10"/>
        <v>171816.609159963</v>
      </c>
      <c r="L83" s="475">
        <f t="shared" si="10"/>
        <v>251711.542350754</v>
      </c>
      <c r="M83" s="475">
        <f t="shared" si="10"/>
        <v>6350.83440565397</v>
      </c>
      <c r="N83" s="475"/>
      <c r="R83" s="26"/>
      <c r="S83" s="26"/>
      <c r="T83" s="26"/>
      <c r="U83" s="26"/>
      <c r="V83" s="26"/>
      <c r="W83" s="26"/>
      <c r="X83" s="26"/>
      <c r="Y83" s="26"/>
      <c r="Z83" s="26"/>
      <c r="AA83" s="26"/>
      <c r="AB83" s="26"/>
    </row>
    <row r="84" spans="1:28">
      <c r="A84" s="26"/>
      <c r="B84" s="1099" t="s">
        <v>370</v>
      </c>
      <c r="C84" s="83" t="s">
        <v>109</v>
      </c>
      <c r="D84" s="1103"/>
      <c r="E84" s="1087">
        <f>E83/$D83</f>
        <v>0.0475100975771122</v>
      </c>
      <c r="F84" s="1087">
        <f>F83/$D83</f>
        <v>0.0715395584050117</v>
      </c>
      <c r="G84" s="1087">
        <f>G83/$D83</f>
        <v>0.0424979494013682</v>
      </c>
      <c r="H84" s="1087">
        <f>H83/$D83</f>
        <v>0.147024055919287</v>
      </c>
      <c r="I84" s="1087">
        <f>I83/$D83</f>
        <v>0.125990571524539</v>
      </c>
      <c r="J84" s="1087">
        <f>J83/$D83</f>
        <v>0.125990571524539</v>
      </c>
      <c r="K84" s="1087">
        <f>K83/$D83</f>
        <v>0.175640888563479</v>
      </c>
      <c r="L84" s="1087">
        <f>L83/$D83</f>
        <v>0.257314116349541</v>
      </c>
      <c r="M84" s="1087">
        <f>M83/$D83</f>
        <v>0.00649219073512311</v>
      </c>
      <c r="N84" s="1087"/>
      <c r="R84" s="26"/>
      <c r="S84" s="26"/>
      <c r="T84" s="26"/>
      <c r="U84" s="26"/>
      <c r="V84" s="26"/>
      <c r="W84" s="26"/>
      <c r="X84" s="26"/>
      <c r="Y84" s="26"/>
      <c r="Z84" s="26"/>
      <c r="AA84" s="26"/>
      <c r="AB84" s="26"/>
    </row>
    <row r="85" spans="1:28">
      <c r="A85" s="26"/>
      <c r="B85" s="1099" t="s">
        <v>371</v>
      </c>
      <c r="C85" s="83" t="s">
        <v>349</v>
      </c>
      <c r="D85" s="1102">
        <f>SUM(E85:XN85)</f>
        <v>207375.185746822</v>
      </c>
      <c r="E85" s="475">
        <f t="shared" ref="E85:M85" si="11">E79*E82</f>
        <v>8487.75728674215</v>
      </c>
      <c r="F85" s="475">
        <f t="shared" si="11"/>
        <v>8610.07726806075</v>
      </c>
      <c r="G85" s="475">
        <f t="shared" si="11"/>
        <v>6285.11518702342</v>
      </c>
      <c r="H85" s="475">
        <f t="shared" si="11"/>
        <v>17283.433701279</v>
      </c>
      <c r="I85" s="475">
        <f t="shared" si="11"/>
        <v>17077.6785381685</v>
      </c>
      <c r="J85" s="475">
        <f t="shared" si="11"/>
        <v>17077.6785381685</v>
      </c>
      <c r="K85" s="475">
        <f t="shared" si="11"/>
        <v>57505.9671474161</v>
      </c>
      <c r="L85" s="475">
        <f t="shared" si="11"/>
        <v>72398.6375992135</v>
      </c>
      <c r="M85" s="475">
        <f t="shared" si="11"/>
        <v>2648.84048075015</v>
      </c>
      <c r="N85" s="475"/>
      <c r="R85" s="26"/>
      <c r="S85" s="26"/>
      <c r="T85" s="26"/>
      <c r="U85" s="26"/>
      <c r="V85" s="26"/>
      <c r="W85" s="26"/>
      <c r="X85" s="26"/>
      <c r="Y85" s="26"/>
      <c r="Z85" s="26"/>
      <c r="AA85" s="26"/>
      <c r="AB85" s="26"/>
    </row>
    <row r="86" spans="1:28">
      <c r="A86" s="26"/>
      <c r="B86" s="1099" t="s">
        <v>322</v>
      </c>
      <c r="C86" s="83" t="s">
        <v>349</v>
      </c>
      <c r="D86" s="1102">
        <f>SUM(E86:XN86)</f>
        <v>770851.527663738</v>
      </c>
      <c r="E86" s="475">
        <f t="shared" ref="E86:M86" si="12">E83-E85</f>
        <v>37987.8893199314</v>
      </c>
      <c r="F86" s="475">
        <f t="shared" si="12"/>
        <v>61371.8298293167</v>
      </c>
      <c r="G86" s="475">
        <f t="shared" si="12"/>
        <v>35287.5141825653</v>
      </c>
      <c r="H86" s="475">
        <f t="shared" si="12"/>
        <v>126539.425312935</v>
      </c>
      <c r="I86" s="475">
        <f t="shared" si="12"/>
        <v>106169.664164999</v>
      </c>
      <c r="J86" s="475">
        <f t="shared" si="12"/>
        <v>106169.664164999</v>
      </c>
      <c r="K86" s="475">
        <f t="shared" si="12"/>
        <v>114310.642012547</v>
      </c>
      <c r="L86" s="475">
        <f t="shared" si="12"/>
        <v>179312.904751541</v>
      </c>
      <c r="M86" s="475">
        <f t="shared" si="12"/>
        <v>3701.99392490382</v>
      </c>
      <c r="N86" s="475"/>
      <c r="R86" s="26"/>
      <c r="S86" s="26"/>
      <c r="T86" s="26"/>
      <c r="U86" s="26"/>
      <c r="V86" s="26"/>
      <c r="W86" s="26"/>
      <c r="X86" s="26"/>
      <c r="Y86" s="26"/>
      <c r="Z86" s="26"/>
      <c r="AA86" s="26"/>
      <c r="AB86" s="26"/>
    </row>
    <row r="87" spans="1:28">
      <c r="A87" s="26"/>
      <c r="B87" s="1099"/>
      <c r="C87" s="83" t="s">
        <v>109</v>
      </c>
      <c r="D87" s="1100"/>
      <c r="E87" s="1087">
        <f>E86/$D86</f>
        <v>0.0492804229564976</v>
      </c>
      <c r="F87" s="1087">
        <f>F86/$D86</f>
        <v>0.0796156297637752</v>
      </c>
      <c r="G87" s="1087">
        <f>G86/$D86</f>
        <v>0.045777316274527</v>
      </c>
      <c r="H87" s="1087">
        <f>H86/$D86</f>
        <v>0.164155379825795</v>
      </c>
      <c r="I87" s="1087">
        <f>I86/$D86</f>
        <v>0.137730367463594</v>
      </c>
      <c r="J87" s="1087">
        <f>J86/$D86</f>
        <v>0.137730367463594</v>
      </c>
      <c r="K87" s="1087">
        <f>K86/$D86</f>
        <v>0.148291386746024</v>
      </c>
      <c r="L87" s="1087">
        <f>L86/$D86</f>
        <v>0.232616656147772</v>
      </c>
      <c r="M87" s="1087">
        <f>M86/$D86</f>
        <v>0.00480247335842177</v>
      </c>
      <c r="N87" s="1087"/>
      <c r="R87" s="26"/>
      <c r="S87" s="26"/>
      <c r="T87" s="26"/>
      <c r="U87" s="26"/>
      <c r="V87" s="26"/>
      <c r="W87" s="26"/>
      <c r="X87" s="26"/>
      <c r="Y87" s="26"/>
      <c r="Z87" s="26"/>
      <c r="AA87" s="26"/>
      <c r="AB87" s="26"/>
    </row>
    <row r="88" spans="1:28">
      <c r="A88" s="26"/>
      <c r="B88" s="1104" t="s">
        <v>373</v>
      </c>
      <c r="C88" s="1105" t="s">
        <v>353</v>
      </c>
      <c r="D88" s="1106">
        <f>D77/D86*12</f>
        <v>3.8918000319624</v>
      </c>
      <c r="E88" s="378"/>
      <c r="F88" s="38"/>
      <c r="G88" s="38"/>
      <c r="H88" s="38"/>
      <c r="I88" s="378"/>
      <c r="J88" s="38"/>
      <c r="K88" s="378"/>
      <c r="L88" s="378"/>
      <c r="M88" s="1070"/>
      <c r="N88" s="378"/>
      <c r="R88" s="26"/>
      <c r="S88" s="26"/>
      <c r="T88" s="26"/>
      <c r="U88" s="26"/>
      <c r="V88" s="26"/>
      <c r="W88" s="26"/>
      <c r="X88" s="26"/>
      <c r="Y88" s="26"/>
      <c r="Z88" s="26"/>
      <c r="AA88" s="26"/>
      <c r="AB88" s="26"/>
    </row>
    <row r="89" ht="12" spans="1:28">
      <c r="A89" s="26"/>
      <c r="B89" s="1107" t="s">
        <v>374</v>
      </c>
      <c r="C89" s="1108" t="s">
        <v>320</v>
      </c>
      <c r="D89" s="1109">
        <f>D77/D81</f>
        <v>317255.229543141</v>
      </c>
      <c r="E89" s="1110"/>
      <c r="F89" s="1111"/>
      <c r="G89" s="1111"/>
      <c r="H89" s="1111"/>
      <c r="I89" s="1110"/>
      <c r="J89" s="1111"/>
      <c r="K89" s="1110"/>
      <c r="L89" s="1110"/>
      <c r="M89" s="1137"/>
      <c r="N89" s="1110"/>
      <c r="R89" s="26"/>
      <c r="S89" s="26"/>
      <c r="T89" s="26"/>
      <c r="U89" s="26"/>
      <c r="V89" s="26"/>
      <c r="W89" s="26"/>
      <c r="X89" s="26"/>
      <c r="Y89" s="26"/>
      <c r="Z89" s="26"/>
      <c r="AA89" s="26"/>
      <c r="AB89" s="26"/>
    </row>
    <row r="90" ht="12" spans="1:28">
      <c r="A90" s="26"/>
      <c r="B90" s="1112"/>
      <c r="C90" s="1105"/>
      <c r="D90" s="1113"/>
      <c r="E90" s="378"/>
      <c r="F90" s="38"/>
      <c r="G90" s="38"/>
      <c r="H90" s="38"/>
      <c r="I90" s="378"/>
      <c r="J90" s="38"/>
      <c r="K90" s="378"/>
      <c r="L90" s="378"/>
      <c r="M90" s="1070"/>
      <c r="N90" s="378"/>
      <c r="R90" s="26"/>
      <c r="S90" s="26"/>
      <c r="T90" s="26"/>
      <c r="U90" s="26"/>
      <c r="V90" s="26"/>
      <c r="W90" s="26"/>
      <c r="X90" s="26"/>
      <c r="Y90" s="26"/>
      <c r="Z90" s="26"/>
      <c r="AA90" s="26"/>
      <c r="AB90" s="26"/>
    </row>
    <row r="91" spans="1:28">
      <c r="A91" s="1094" t="s">
        <v>375</v>
      </c>
      <c r="B91" s="1114" t="s">
        <v>311</v>
      </c>
      <c r="C91" s="1115" t="s">
        <v>349</v>
      </c>
      <c r="D91" s="1097">
        <v>230000</v>
      </c>
      <c r="E91" s="1116"/>
      <c r="F91" s="1116"/>
      <c r="G91" s="1116"/>
      <c r="H91" s="1116"/>
      <c r="I91" s="1138"/>
      <c r="J91" s="1138"/>
      <c r="K91" s="1138"/>
      <c r="L91" s="1138"/>
      <c r="M91" s="1138"/>
      <c r="N91" s="1138"/>
      <c r="R91" s="26"/>
      <c r="S91" s="26"/>
      <c r="T91" s="26"/>
      <c r="U91" s="26"/>
      <c r="V91" s="26"/>
      <c r="W91" s="26"/>
      <c r="X91" s="26"/>
      <c r="Y91" s="26"/>
      <c r="Z91" s="26"/>
      <c r="AA91" s="26"/>
      <c r="AB91" s="26"/>
    </row>
    <row r="92" spans="1:28">
      <c r="A92" s="26"/>
      <c r="B92" s="1117" t="s">
        <v>364</v>
      </c>
      <c r="C92" s="59" t="s">
        <v>349</v>
      </c>
      <c r="D92" s="1118"/>
      <c r="E92" s="1085">
        <f t="shared" ref="E92:M92" si="13">E78</f>
        <v>4.49</v>
      </c>
      <c r="F92" s="1085">
        <f t="shared" si="13"/>
        <v>6.99</v>
      </c>
      <c r="G92" s="1085">
        <f t="shared" si="13"/>
        <v>5.49</v>
      </c>
      <c r="H92" s="1085">
        <f t="shared" si="13"/>
        <v>6.99</v>
      </c>
      <c r="I92" s="1085">
        <f t="shared" si="13"/>
        <v>5.99</v>
      </c>
      <c r="J92" s="1085">
        <f t="shared" si="13"/>
        <v>5.99</v>
      </c>
      <c r="K92" s="1085">
        <f t="shared" si="13"/>
        <v>2.45</v>
      </c>
      <c r="L92" s="1085">
        <f t="shared" si="13"/>
        <v>2.99</v>
      </c>
      <c r="M92" s="1085">
        <f t="shared" si="13"/>
        <v>1.99</v>
      </c>
      <c r="N92" s="1085"/>
      <c r="R92" s="26"/>
      <c r="S92" s="26"/>
      <c r="T92" s="26"/>
      <c r="U92" s="26"/>
      <c r="V92" s="26"/>
      <c r="W92" s="26"/>
      <c r="X92" s="26"/>
      <c r="Y92" s="26"/>
      <c r="Z92" s="26"/>
      <c r="AA92" s="26"/>
      <c r="AB92" s="26"/>
    </row>
    <row r="93" spans="1:28">
      <c r="A93" s="26"/>
      <c r="B93" s="1117" t="s">
        <v>365</v>
      </c>
      <c r="C93" s="59" t="s">
        <v>349</v>
      </c>
      <c r="D93" s="1118"/>
      <c r="E93" s="1085">
        <f t="shared" ref="E93:M93" si="14">E79</f>
        <v>0.82</v>
      </c>
      <c r="F93" s="1085">
        <f t="shared" si="14"/>
        <v>0.86</v>
      </c>
      <c r="G93" s="1085">
        <f t="shared" si="14"/>
        <v>0.83</v>
      </c>
      <c r="H93" s="1085">
        <f t="shared" si="14"/>
        <v>0.84</v>
      </c>
      <c r="I93" s="1085">
        <f t="shared" si="14"/>
        <v>0.83</v>
      </c>
      <c r="J93" s="1085">
        <f t="shared" si="14"/>
        <v>0.83</v>
      </c>
      <c r="K93" s="1085">
        <f t="shared" si="14"/>
        <v>0.82</v>
      </c>
      <c r="L93" s="1085">
        <f t="shared" si="14"/>
        <v>0.86</v>
      </c>
      <c r="M93" s="1085">
        <f t="shared" si="14"/>
        <v>0.83</v>
      </c>
      <c r="N93" s="1085"/>
      <c r="R93" s="26"/>
      <c r="S93" s="26"/>
      <c r="T93" s="26"/>
      <c r="U93" s="26"/>
      <c r="V93" s="26"/>
      <c r="W93" s="26"/>
      <c r="X93" s="26"/>
      <c r="Y93" s="26"/>
      <c r="Z93" s="26"/>
      <c r="AA93" s="26"/>
      <c r="AB93" s="26"/>
    </row>
    <row r="94" spans="1:28">
      <c r="A94" s="26"/>
      <c r="B94" s="1117" t="s">
        <v>366</v>
      </c>
      <c r="C94" s="59" t="s">
        <v>349</v>
      </c>
      <c r="D94" s="1118"/>
      <c r="E94" s="1085">
        <f t="shared" ref="E94:M94" si="15">E92-E93</f>
        <v>3.67</v>
      </c>
      <c r="F94" s="1085">
        <f t="shared" si="15"/>
        <v>6.13</v>
      </c>
      <c r="G94" s="1085">
        <f t="shared" si="15"/>
        <v>4.66</v>
      </c>
      <c r="H94" s="1085">
        <f t="shared" si="15"/>
        <v>6.15</v>
      </c>
      <c r="I94" s="1085">
        <f t="shared" si="15"/>
        <v>5.16</v>
      </c>
      <c r="J94" s="1085">
        <f t="shared" si="15"/>
        <v>5.16</v>
      </c>
      <c r="K94" s="1085">
        <f t="shared" si="15"/>
        <v>1.63</v>
      </c>
      <c r="L94" s="1085">
        <f t="shared" si="15"/>
        <v>2.13</v>
      </c>
      <c r="M94" s="1085">
        <f t="shared" si="15"/>
        <v>1.16</v>
      </c>
      <c r="N94" s="1085"/>
      <c r="R94" s="26"/>
      <c r="S94" s="26"/>
      <c r="T94" s="26"/>
      <c r="U94" s="26"/>
      <c r="V94" s="26"/>
      <c r="W94" s="26"/>
      <c r="X94" s="26"/>
      <c r="Y94" s="26"/>
      <c r="Z94" s="26"/>
      <c r="AA94" s="26"/>
      <c r="AB94" s="26"/>
    </row>
    <row r="95" spans="1:28">
      <c r="A95" s="26"/>
      <c r="B95" s="1117" t="s">
        <v>367</v>
      </c>
      <c r="C95" s="59" t="s">
        <v>109</v>
      </c>
      <c r="D95" s="1119">
        <f>(D97-D99)/D97</f>
        <v>0.788009075090769</v>
      </c>
      <c r="E95" s="1087">
        <f t="shared" ref="E95:M95" si="16">E94/E92</f>
        <v>0.817371937639198</v>
      </c>
      <c r="F95" s="1087">
        <f t="shared" si="16"/>
        <v>0.876967095851216</v>
      </c>
      <c r="G95" s="1087">
        <f t="shared" si="16"/>
        <v>0.848816029143898</v>
      </c>
      <c r="H95" s="1087">
        <f t="shared" si="16"/>
        <v>0.879828326180258</v>
      </c>
      <c r="I95" s="1087">
        <f t="shared" si="16"/>
        <v>0.861435726210351</v>
      </c>
      <c r="J95" s="1087">
        <f t="shared" si="16"/>
        <v>0.861435726210351</v>
      </c>
      <c r="K95" s="1087">
        <f t="shared" si="16"/>
        <v>0.66530612244898</v>
      </c>
      <c r="L95" s="1087">
        <f t="shared" si="16"/>
        <v>0.712374581939799</v>
      </c>
      <c r="M95" s="1087">
        <f t="shared" si="16"/>
        <v>0.582914572864322</v>
      </c>
      <c r="N95" s="1087"/>
      <c r="R95" s="26"/>
      <c r="S95" s="26"/>
      <c r="T95" s="26"/>
      <c r="U95" s="26"/>
      <c r="V95" s="26"/>
      <c r="W95" s="26"/>
      <c r="X95" s="26"/>
      <c r="Y95" s="26"/>
      <c r="Z95" s="26"/>
      <c r="AA95" s="26"/>
      <c r="AB95" s="26"/>
    </row>
    <row r="96" spans="1:28">
      <c r="A96" s="26"/>
      <c r="B96" s="1117" t="s">
        <v>368</v>
      </c>
      <c r="C96" s="59" t="s">
        <v>369</v>
      </c>
      <c r="D96" s="1118"/>
      <c r="E96" s="1088">
        <f t="shared" ref="E96:M96" si="17">E70</f>
        <v>10350.9235204173</v>
      </c>
      <c r="F96" s="1088">
        <f t="shared" si="17"/>
        <v>10011.717753559</v>
      </c>
      <c r="G96" s="1088">
        <f t="shared" si="17"/>
        <v>7572.4279361728</v>
      </c>
      <c r="H96" s="1088">
        <f t="shared" si="17"/>
        <v>20575.5163110464</v>
      </c>
      <c r="I96" s="1088">
        <f t="shared" si="17"/>
        <v>20575.5163110464</v>
      </c>
      <c r="J96" s="1088">
        <f t="shared" si="17"/>
        <v>20575.5163110464</v>
      </c>
      <c r="K96" s="1088">
        <f t="shared" si="17"/>
        <v>70129.2282285562</v>
      </c>
      <c r="L96" s="1088">
        <f t="shared" si="17"/>
        <v>84184.4623246669</v>
      </c>
      <c r="M96" s="1088">
        <f t="shared" si="17"/>
        <v>3191.37407319295</v>
      </c>
      <c r="N96" s="1088"/>
      <c r="R96" s="26"/>
      <c r="S96" s="26"/>
      <c r="T96" s="26"/>
      <c r="U96" s="26"/>
      <c r="V96" s="26"/>
      <c r="W96" s="26"/>
      <c r="X96" s="26"/>
      <c r="Y96" s="26"/>
      <c r="Z96" s="26"/>
      <c r="AA96" s="26"/>
      <c r="AB96" s="26"/>
    </row>
    <row r="97" spans="1:28">
      <c r="A97" s="26"/>
      <c r="B97" s="1117" t="s">
        <v>320</v>
      </c>
      <c r="C97" s="59" t="s">
        <v>349</v>
      </c>
      <c r="D97" s="1120">
        <f>SUM(E97:XN97)</f>
        <v>978226.713410561</v>
      </c>
      <c r="E97" s="475">
        <f t="shared" ref="E97:M97" si="18">E92*E96</f>
        <v>46475.6466066735</v>
      </c>
      <c r="F97" s="475">
        <f t="shared" si="18"/>
        <v>69981.9070973775</v>
      </c>
      <c r="G97" s="475">
        <f t="shared" si="18"/>
        <v>41572.6293695887</v>
      </c>
      <c r="H97" s="475">
        <f t="shared" si="18"/>
        <v>143822.859014214</v>
      </c>
      <c r="I97" s="475">
        <f t="shared" si="18"/>
        <v>123247.342703168</v>
      </c>
      <c r="J97" s="475">
        <f t="shared" si="18"/>
        <v>123247.342703168</v>
      </c>
      <c r="K97" s="475">
        <f t="shared" si="18"/>
        <v>171816.609159963</v>
      </c>
      <c r="L97" s="475">
        <f t="shared" si="18"/>
        <v>251711.542350754</v>
      </c>
      <c r="M97" s="475">
        <f t="shared" si="18"/>
        <v>6350.83440565397</v>
      </c>
      <c r="N97" s="475"/>
      <c r="R97" s="26"/>
      <c r="S97" s="26"/>
      <c r="T97" s="26"/>
      <c r="U97" s="26"/>
      <c r="V97" s="26"/>
      <c r="W97" s="26"/>
      <c r="X97" s="26"/>
      <c r="Y97" s="26"/>
      <c r="Z97" s="26"/>
      <c r="AA97" s="26"/>
      <c r="AB97" s="26"/>
    </row>
    <row r="98" spans="1:28">
      <c r="A98" s="26"/>
      <c r="B98" s="1117" t="s">
        <v>370</v>
      </c>
      <c r="C98" s="59" t="s">
        <v>109</v>
      </c>
      <c r="D98" s="1121"/>
      <c r="E98" s="1087">
        <f>E97/$D97</f>
        <v>0.0475100975771122</v>
      </c>
      <c r="F98" s="1087">
        <f>F97/$D97</f>
        <v>0.0715395584050117</v>
      </c>
      <c r="G98" s="1087">
        <f>G97/$D97</f>
        <v>0.0424979494013682</v>
      </c>
      <c r="H98" s="1087">
        <f>H97/$D97</f>
        <v>0.147024055919287</v>
      </c>
      <c r="I98" s="1087">
        <f>I97/$D97</f>
        <v>0.125990571524539</v>
      </c>
      <c r="J98" s="1087">
        <f>J97/$D97</f>
        <v>0.125990571524539</v>
      </c>
      <c r="K98" s="1087">
        <f>K97/$D97</f>
        <v>0.175640888563479</v>
      </c>
      <c r="L98" s="1087">
        <f>L97/$D97</f>
        <v>0.257314116349541</v>
      </c>
      <c r="M98" s="1087">
        <f>M97/$D97</f>
        <v>0.00649219073512311</v>
      </c>
      <c r="N98" s="1087"/>
      <c r="R98" s="26"/>
      <c r="S98" s="26"/>
      <c r="T98" s="26"/>
      <c r="U98" s="26"/>
      <c r="V98" s="26"/>
      <c r="W98" s="26"/>
      <c r="X98" s="26"/>
      <c r="Y98" s="26"/>
      <c r="Z98" s="26"/>
      <c r="AA98" s="26"/>
      <c r="AB98" s="26"/>
    </row>
    <row r="99" spans="1:28">
      <c r="A99" s="26"/>
      <c r="B99" s="1117" t="s">
        <v>371</v>
      </c>
      <c r="C99" s="59" t="s">
        <v>349</v>
      </c>
      <c r="D99" s="1120">
        <f>SUM(E99:XN99)</f>
        <v>207375.185746822</v>
      </c>
      <c r="E99" s="475">
        <f t="shared" ref="E99:M99" si="19">E93*E96</f>
        <v>8487.75728674215</v>
      </c>
      <c r="F99" s="475">
        <f t="shared" si="19"/>
        <v>8610.07726806075</v>
      </c>
      <c r="G99" s="475">
        <f t="shared" si="19"/>
        <v>6285.11518702342</v>
      </c>
      <c r="H99" s="475">
        <f t="shared" si="19"/>
        <v>17283.433701279</v>
      </c>
      <c r="I99" s="475">
        <f t="shared" si="19"/>
        <v>17077.6785381685</v>
      </c>
      <c r="J99" s="475">
        <f t="shared" si="19"/>
        <v>17077.6785381685</v>
      </c>
      <c r="K99" s="475">
        <f t="shared" si="19"/>
        <v>57505.9671474161</v>
      </c>
      <c r="L99" s="475">
        <f t="shared" si="19"/>
        <v>72398.6375992135</v>
      </c>
      <c r="M99" s="475">
        <f t="shared" si="19"/>
        <v>2648.84048075015</v>
      </c>
      <c r="N99" s="475"/>
      <c r="R99" s="26"/>
      <c r="S99" s="26"/>
      <c r="T99" s="26"/>
      <c r="U99" s="26"/>
      <c r="V99" s="26"/>
      <c r="W99" s="26"/>
      <c r="X99" s="26"/>
      <c r="Y99" s="26"/>
      <c r="Z99" s="26"/>
      <c r="AA99" s="26"/>
      <c r="AB99" s="26"/>
    </row>
    <row r="100" spans="1:28">
      <c r="A100" s="26"/>
      <c r="B100" s="1117" t="s">
        <v>322</v>
      </c>
      <c r="C100" s="59" t="s">
        <v>349</v>
      </c>
      <c r="D100" s="1120">
        <f>SUM(E100:XN100)</f>
        <v>770851.527663738</v>
      </c>
      <c r="E100" s="475">
        <f t="shared" ref="E100:M100" si="20">E97-E99</f>
        <v>37987.8893199314</v>
      </c>
      <c r="F100" s="475">
        <f t="shared" si="20"/>
        <v>61371.8298293167</v>
      </c>
      <c r="G100" s="475">
        <f t="shared" si="20"/>
        <v>35287.5141825653</v>
      </c>
      <c r="H100" s="475">
        <f t="shared" si="20"/>
        <v>126539.425312935</v>
      </c>
      <c r="I100" s="475">
        <f t="shared" si="20"/>
        <v>106169.664164999</v>
      </c>
      <c r="J100" s="475">
        <f t="shared" si="20"/>
        <v>106169.664164999</v>
      </c>
      <c r="K100" s="475">
        <f t="shared" si="20"/>
        <v>114310.642012547</v>
      </c>
      <c r="L100" s="475">
        <f t="shared" si="20"/>
        <v>179312.904751541</v>
      </c>
      <c r="M100" s="475">
        <f t="shared" si="20"/>
        <v>3701.99392490382</v>
      </c>
      <c r="N100" s="475"/>
      <c r="R100" s="26"/>
      <c r="S100" s="26"/>
      <c r="T100" s="26"/>
      <c r="U100" s="26"/>
      <c r="V100" s="26"/>
      <c r="W100" s="26"/>
      <c r="X100" s="26"/>
      <c r="Y100" s="26"/>
      <c r="Z100" s="26"/>
      <c r="AA100" s="26"/>
      <c r="AB100" s="26"/>
    </row>
    <row r="101" spans="1:28">
      <c r="A101" s="26"/>
      <c r="B101" s="1117"/>
      <c r="C101" s="59" t="s">
        <v>109</v>
      </c>
      <c r="D101" s="1118"/>
      <c r="E101" s="1087">
        <f>E100/$D100</f>
        <v>0.0492804229564976</v>
      </c>
      <c r="F101" s="1087">
        <f>F100/$D100</f>
        <v>0.0796156297637752</v>
      </c>
      <c r="G101" s="1087">
        <f>G100/$D100</f>
        <v>0.045777316274527</v>
      </c>
      <c r="H101" s="1087">
        <f>H100/$D100</f>
        <v>0.164155379825795</v>
      </c>
      <c r="I101" s="1087">
        <f>I100/$D100</f>
        <v>0.137730367463594</v>
      </c>
      <c r="J101" s="1087">
        <f>J100/$D100</f>
        <v>0.137730367463594</v>
      </c>
      <c r="K101" s="1087">
        <f>K100/$D100</f>
        <v>0.148291386746024</v>
      </c>
      <c r="L101" s="1087">
        <f>L100/$D100</f>
        <v>0.232616656147772</v>
      </c>
      <c r="M101" s="1087">
        <f>M100/$D100</f>
        <v>0.00480247335842177</v>
      </c>
      <c r="N101" s="1087"/>
      <c r="R101" s="26"/>
      <c r="S101" s="26"/>
      <c r="T101" s="26"/>
      <c r="U101" s="26"/>
      <c r="V101" s="26"/>
      <c r="W101" s="26"/>
      <c r="X101" s="26"/>
      <c r="Y101" s="26"/>
      <c r="Z101" s="26"/>
      <c r="AA101" s="26"/>
      <c r="AB101" s="26"/>
    </row>
    <row r="102" spans="1:28">
      <c r="A102" s="26"/>
      <c r="B102" s="1122" t="s">
        <v>373</v>
      </c>
      <c r="C102" s="1123" t="s">
        <v>353</v>
      </c>
      <c r="D102" s="1124">
        <f>D91/D100*12</f>
        <v>3.5804560294054</v>
      </c>
      <c r="E102" s="378"/>
      <c r="F102" s="38"/>
      <c r="G102" s="38"/>
      <c r="H102" s="38"/>
      <c r="I102" s="378"/>
      <c r="J102" s="38"/>
      <c r="K102" s="378"/>
      <c r="L102" s="1105"/>
      <c r="M102" s="1139"/>
      <c r="N102" s="200"/>
      <c r="R102" s="26"/>
      <c r="S102" s="26"/>
      <c r="T102" s="26"/>
      <c r="U102" s="26"/>
      <c r="V102" s="26"/>
      <c r="W102" s="26"/>
      <c r="X102" s="26"/>
      <c r="Y102" s="26"/>
      <c r="Z102" s="26"/>
      <c r="AA102" s="26"/>
      <c r="AB102" s="26"/>
    </row>
    <row r="103" ht="12" spans="1:28">
      <c r="A103" s="26"/>
      <c r="B103" s="1125" t="s">
        <v>374</v>
      </c>
      <c r="C103" s="1126" t="s">
        <v>320</v>
      </c>
      <c r="D103" s="1127">
        <f>D91/D95</f>
        <v>291874.81117969</v>
      </c>
      <c r="E103" s="1110"/>
      <c r="F103" s="1128"/>
      <c r="G103" s="1128"/>
      <c r="H103" s="1111"/>
      <c r="I103" s="1110"/>
      <c r="J103" s="1111"/>
      <c r="K103" s="1110"/>
      <c r="L103" s="1108"/>
      <c r="M103" s="1140"/>
      <c r="N103" s="1128"/>
      <c r="R103" s="26"/>
      <c r="S103" s="26"/>
      <c r="T103" s="26"/>
      <c r="U103" s="26"/>
      <c r="V103" s="26"/>
      <c r="W103" s="26"/>
      <c r="X103" s="26"/>
      <c r="Y103" s="26"/>
      <c r="Z103" s="26"/>
      <c r="AA103" s="26"/>
      <c r="AB103" s="26"/>
    </row>
    <row r="104" spans="1:28">
      <c r="A104" s="26"/>
      <c r="B104" s="1038"/>
      <c r="C104" s="1033"/>
      <c r="D104" s="1129"/>
      <c r="E104" s="60"/>
      <c r="F104" s="60"/>
      <c r="G104" s="26"/>
      <c r="I104" s="26"/>
      <c r="K104" s="1033"/>
      <c r="L104" s="1141"/>
      <c r="M104" s="60"/>
      <c r="N104" s="26"/>
      <c r="R104" s="26"/>
      <c r="S104" s="26"/>
      <c r="T104" s="26"/>
      <c r="U104" s="26"/>
      <c r="V104" s="26"/>
      <c r="W104" s="26"/>
      <c r="X104" s="26"/>
      <c r="Y104" s="26"/>
      <c r="Z104" s="26"/>
      <c r="AA104" s="26"/>
      <c r="AB104" s="26"/>
    </row>
    <row r="105" spans="2:28">
      <c r="B105" s="26"/>
      <c r="C105" s="26"/>
      <c r="D105" s="60"/>
      <c r="E105" s="60"/>
      <c r="F105" s="26"/>
      <c r="G105" s="26"/>
      <c r="H105" s="26"/>
      <c r="I105" s="26"/>
      <c r="J105" s="26"/>
      <c r="K105" s="26"/>
      <c r="M105" s="60"/>
      <c r="N105" s="60"/>
      <c r="R105" s="26"/>
      <c r="S105" s="26"/>
      <c r="T105" s="26"/>
      <c r="U105" s="26"/>
      <c r="V105" s="26"/>
      <c r="W105" s="26"/>
      <c r="X105" s="26"/>
      <c r="Y105" s="26"/>
      <c r="Z105" s="26"/>
      <c r="AA105" s="26"/>
      <c r="AB105" s="26"/>
    </row>
    <row r="106" ht="15.75" spans="2:28">
      <c r="B106" s="842">
        <v>2.2</v>
      </c>
      <c r="C106" s="1130" t="s">
        <v>376</v>
      </c>
      <c r="D106" s="1130"/>
      <c r="E106" s="1130"/>
      <c r="F106" s="1130"/>
      <c r="G106" s="1130"/>
      <c r="H106" s="1130"/>
      <c r="I106" s="1130"/>
      <c r="J106" s="26"/>
      <c r="K106" s="26"/>
      <c r="M106" s="60"/>
      <c r="N106" s="60"/>
      <c r="R106" s="26"/>
      <c r="S106" s="26"/>
      <c r="T106" s="26"/>
      <c r="U106" s="26"/>
      <c r="V106" s="26"/>
      <c r="W106" s="26"/>
      <c r="X106" s="26"/>
      <c r="Y106" s="26"/>
      <c r="Z106" s="26"/>
      <c r="AA106" s="26"/>
      <c r="AB106" s="26"/>
    </row>
    <row r="107" ht="12" spans="2:28">
      <c r="B107" s="26"/>
      <c r="C107" s="26"/>
      <c r="D107" s="26"/>
      <c r="E107" s="26"/>
      <c r="F107" s="26"/>
      <c r="G107" s="26"/>
      <c r="H107" s="26"/>
      <c r="R107" s="26"/>
      <c r="S107" s="26"/>
      <c r="T107" s="26"/>
      <c r="U107" s="26"/>
      <c r="V107" s="26"/>
      <c r="W107" s="26"/>
      <c r="X107" s="26"/>
      <c r="Y107" s="26"/>
      <c r="Z107" s="26"/>
      <c r="AA107" s="26"/>
      <c r="AB107" s="26"/>
    </row>
    <row r="108" ht="15" customHeight="1" spans="2:28">
      <c r="B108" s="1006"/>
      <c r="C108" s="1007"/>
      <c r="D108" s="1008"/>
      <c r="E108" s="1009" t="s">
        <v>103</v>
      </c>
      <c r="F108" s="1010"/>
      <c r="G108" s="1010"/>
      <c r="H108" s="1010"/>
      <c r="I108" s="1010"/>
      <c r="J108" s="1010"/>
      <c r="K108" s="1010"/>
      <c r="L108" s="1010"/>
      <c r="M108" s="1010"/>
      <c r="N108" s="1010"/>
      <c r="R108" s="26"/>
      <c r="S108" s="26"/>
      <c r="T108" s="26"/>
      <c r="U108" s="26"/>
      <c r="V108" s="26"/>
      <c r="W108" s="26"/>
      <c r="X108" s="26"/>
      <c r="Y108" s="26"/>
      <c r="Z108" s="26"/>
      <c r="AA108" s="26"/>
      <c r="AB108" s="26"/>
    </row>
    <row r="109" ht="12" spans="2:28">
      <c r="B109" s="1058" t="s">
        <v>363</v>
      </c>
      <c r="C109" s="1013"/>
      <c r="D109" s="1014" t="str">
        <f>$D$64</f>
        <v>TOTAL BRAND 01</v>
      </c>
      <c r="E109" s="1015" t="s">
        <v>293</v>
      </c>
      <c r="F109" s="1015" t="s">
        <v>294</v>
      </c>
      <c r="G109" s="1015" t="s">
        <v>295</v>
      </c>
      <c r="H109" s="1015" t="s">
        <v>296</v>
      </c>
      <c r="I109" s="1015" t="s">
        <v>297</v>
      </c>
      <c r="J109" s="1015" t="s">
        <v>298</v>
      </c>
      <c r="K109" s="1015" t="s">
        <v>299</v>
      </c>
      <c r="L109" s="1015" t="s">
        <v>300</v>
      </c>
      <c r="M109" s="1015" t="s">
        <v>301</v>
      </c>
      <c r="N109" s="1015"/>
      <c r="R109" s="26"/>
      <c r="S109" s="26"/>
      <c r="T109" s="26"/>
      <c r="U109" s="26"/>
      <c r="V109" s="26"/>
      <c r="W109" s="26"/>
      <c r="X109" s="26"/>
      <c r="Y109" s="26"/>
      <c r="Z109" s="26"/>
      <c r="AA109" s="26"/>
      <c r="AB109" s="26"/>
    </row>
    <row r="110" ht="12" spans="2:28">
      <c r="B110" s="1021" t="s">
        <v>311</v>
      </c>
      <c r="C110" s="1018" t="s">
        <v>349</v>
      </c>
      <c r="D110" s="1020">
        <f>$E$12</f>
        <v>273056.248179254</v>
      </c>
      <c r="E110" s="38"/>
      <c r="F110" s="38"/>
      <c r="G110" s="38"/>
      <c r="H110" s="38"/>
      <c r="I110" s="378"/>
      <c r="J110" s="378"/>
      <c r="K110" s="378"/>
      <c r="L110" s="378"/>
      <c r="M110" s="378"/>
      <c r="N110" s="378"/>
      <c r="R110" s="26"/>
      <c r="S110" s="26"/>
      <c r="T110" s="26"/>
      <c r="U110" s="26"/>
      <c r="V110" s="26"/>
      <c r="W110" s="26"/>
      <c r="X110" s="26"/>
      <c r="Y110" s="26"/>
      <c r="Z110" s="26"/>
      <c r="AA110" s="26"/>
      <c r="AB110" s="26"/>
    </row>
    <row r="111" spans="2:28">
      <c r="B111" s="1083" t="s">
        <v>364</v>
      </c>
      <c r="C111" s="1018" t="s">
        <v>349</v>
      </c>
      <c r="D111" s="1024"/>
      <c r="E111" s="1131">
        <v>4.49</v>
      </c>
      <c r="F111" s="1131">
        <v>6.99</v>
      </c>
      <c r="G111" s="1131">
        <v>5.49</v>
      </c>
      <c r="H111" s="1131">
        <v>6.99</v>
      </c>
      <c r="I111" s="1131">
        <v>5.99</v>
      </c>
      <c r="J111" s="1131">
        <v>5.99</v>
      </c>
      <c r="K111" s="1131">
        <v>2.45</v>
      </c>
      <c r="L111" s="1131">
        <v>2.99</v>
      </c>
      <c r="M111" s="1131">
        <v>1.99</v>
      </c>
      <c r="N111" s="1131"/>
      <c r="R111" s="26"/>
      <c r="S111" s="26"/>
      <c r="T111" s="26"/>
      <c r="U111" s="26"/>
      <c r="V111" s="26"/>
      <c r="W111" s="26"/>
      <c r="X111" s="26"/>
      <c r="Y111" s="26"/>
      <c r="Z111" s="26"/>
      <c r="AA111" s="26"/>
      <c r="AB111" s="26"/>
    </row>
    <row r="112" spans="2:28">
      <c r="B112" s="1021" t="s">
        <v>365</v>
      </c>
      <c r="C112" s="1018" t="s">
        <v>349</v>
      </c>
      <c r="D112" s="1024"/>
      <c r="E112" s="1085">
        <v>0.82</v>
      </c>
      <c r="F112" s="1085">
        <v>0.86</v>
      </c>
      <c r="G112" s="1085">
        <v>0.83</v>
      </c>
      <c r="H112" s="1085">
        <v>0.84</v>
      </c>
      <c r="I112" s="1085">
        <v>0.83</v>
      </c>
      <c r="J112" s="1085">
        <v>0.83</v>
      </c>
      <c r="K112" s="1085">
        <v>0.82</v>
      </c>
      <c r="L112" s="1085">
        <v>0.86</v>
      </c>
      <c r="M112" s="1085">
        <v>0.83</v>
      </c>
      <c r="N112" s="1085"/>
      <c r="R112" s="26"/>
      <c r="S112" s="26"/>
      <c r="T112" s="26"/>
      <c r="U112" s="26"/>
      <c r="V112" s="26"/>
      <c r="W112" s="26"/>
      <c r="X112" s="26"/>
      <c r="Y112" s="26"/>
      <c r="Z112" s="26"/>
      <c r="AA112" s="26"/>
      <c r="AB112" s="26"/>
    </row>
    <row r="113" spans="2:28">
      <c r="B113" s="1021" t="s">
        <v>366</v>
      </c>
      <c r="C113" s="1018" t="s">
        <v>349</v>
      </c>
      <c r="D113" s="1024"/>
      <c r="E113" s="1085">
        <f t="shared" ref="E113:M113" si="21">E111-E112</f>
        <v>3.67</v>
      </c>
      <c r="F113" s="1085">
        <f t="shared" si="21"/>
        <v>6.13</v>
      </c>
      <c r="G113" s="1085">
        <f t="shared" si="21"/>
        <v>4.66</v>
      </c>
      <c r="H113" s="1085">
        <f t="shared" si="21"/>
        <v>6.15</v>
      </c>
      <c r="I113" s="1085">
        <f t="shared" si="21"/>
        <v>5.16</v>
      </c>
      <c r="J113" s="1085">
        <f t="shared" si="21"/>
        <v>5.16</v>
      </c>
      <c r="K113" s="1085">
        <f t="shared" si="21"/>
        <v>1.63</v>
      </c>
      <c r="L113" s="1085">
        <f t="shared" si="21"/>
        <v>2.13</v>
      </c>
      <c r="M113" s="1085">
        <f t="shared" si="21"/>
        <v>1.16</v>
      </c>
      <c r="N113" s="1085"/>
      <c r="R113" s="26"/>
      <c r="S113" s="26"/>
      <c r="T113" s="26"/>
      <c r="U113" s="26"/>
      <c r="V113" s="26"/>
      <c r="W113" s="26"/>
      <c r="X113" s="26"/>
      <c r="Y113" s="26"/>
      <c r="Z113" s="26"/>
      <c r="AA113" s="26"/>
      <c r="AB113" s="26"/>
    </row>
    <row r="114" spans="2:28">
      <c r="B114" s="1021" t="s">
        <v>367</v>
      </c>
      <c r="C114" s="1018" t="s">
        <v>109</v>
      </c>
      <c r="D114" s="1086">
        <f>(D116-D118)/D116</f>
        <v>0.788009075090769</v>
      </c>
      <c r="E114" s="1087">
        <f t="shared" ref="E114:M114" si="22">E113/E111</f>
        <v>0.817371937639198</v>
      </c>
      <c r="F114" s="1087">
        <f t="shared" si="22"/>
        <v>0.876967095851216</v>
      </c>
      <c r="G114" s="1087">
        <f t="shared" si="22"/>
        <v>0.848816029143898</v>
      </c>
      <c r="H114" s="1087">
        <f t="shared" si="22"/>
        <v>0.879828326180258</v>
      </c>
      <c r="I114" s="1087">
        <f t="shared" si="22"/>
        <v>0.861435726210351</v>
      </c>
      <c r="J114" s="1087">
        <f t="shared" si="22"/>
        <v>0.861435726210351</v>
      </c>
      <c r="K114" s="1087">
        <f t="shared" si="22"/>
        <v>0.66530612244898</v>
      </c>
      <c r="L114" s="1087">
        <f t="shared" si="22"/>
        <v>0.712374581939799</v>
      </c>
      <c r="M114" s="1087">
        <f t="shared" si="22"/>
        <v>0.582914572864322</v>
      </c>
      <c r="N114" s="1087"/>
      <c r="R114" s="26"/>
      <c r="S114" s="26"/>
      <c r="T114" s="26"/>
      <c r="U114" s="26"/>
      <c r="V114" s="26"/>
      <c r="W114" s="26"/>
      <c r="X114" s="26"/>
      <c r="Y114" s="26"/>
      <c r="Z114" s="26"/>
      <c r="AA114" s="26"/>
      <c r="AB114" s="26"/>
    </row>
    <row r="115" spans="2:28">
      <c r="B115" s="1021" t="s">
        <v>368</v>
      </c>
      <c r="C115" s="1018" t="s">
        <v>369</v>
      </c>
      <c r="D115" s="1024"/>
      <c r="E115" s="1088">
        <v>10350.9235204173</v>
      </c>
      <c r="F115" s="1088">
        <v>10011.717753559</v>
      </c>
      <c r="G115" s="1088">
        <v>7572.4279361728</v>
      </c>
      <c r="H115" s="1088">
        <v>20575.5163110464</v>
      </c>
      <c r="I115" s="1088">
        <v>20575.5163110464</v>
      </c>
      <c r="J115" s="1088">
        <v>20575.5163110464</v>
      </c>
      <c r="K115" s="1088">
        <v>70129.2282285562</v>
      </c>
      <c r="L115" s="1088">
        <v>84184.4623246669</v>
      </c>
      <c r="M115" s="1088">
        <v>3191.37407319295</v>
      </c>
      <c r="N115" s="1088"/>
      <c r="R115" s="26"/>
      <c r="S115" s="26"/>
      <c r="T115" s="26"/>
      <c r="U115" s="26"/>
      <c r="V115" s="26"/>
      <c r="W115" s="26"/>
      <c r="X115" s="26"/>
      <c r="Y115" s="26"/>
      <c r="Z115" s="26"/>
      <c r="AA115" s="26"/>
      <c r="AB115" s="26"/>
    </row>
    <row r="116" spans="2:28">
      <c r="B116" s="1021" t="s">
        <v>320</v>
      </c>
      <c r="C116" s="1018" t="s">
        <v>349</v>
      </c>
      <c r="D116" s="1020">
        <f>SUM(E116:XN116)</f>
        <v>978226.713410561</v>
      </c>
      <c r="E116" s="475">
        <f t="shared" ref="E116:M116" si="23">E111*E115</f>
        <v>46475.6466066735</v>
      </c>
      <c r="F116" s="475">
        <f t="shared" si="23"/>
        <v>69981.9070973775</v>
      </c>
      <c r="G116" s="475">
        <f t="shared" si="23"/>
        <v>41572.6293695887</v>
      </c>
      <c r="H116" s="475">
        <f t="shared" si="23"/>
        <v>143822.859014214</v>
      </c>
      <c r="I116" s="475">
        <f t="shared" si="23"/>
        <v>123247.342703168</v>
      </c>
      <c r="J116" s="475">
        <f t="shared" si="23"/>
        <v>123247.342703168</v>
      </c>
      <c r="K116" s="475">
        <f t="shared" si="23"/>
        <v>171816.609159963</v>
      </c>
      <c r="L116" s="475">
        <f t="shared" si="23"/>
        <v>251711.542350754</v>
      </c>
      <c r="M116" s="475">
        <f t="shared" si="23"/>
        <v>6350.83440565397</v>
      </c>
      <c r="N116" s="475"/>
      <c r="R116" s="26"/>
      <c r="S116" s="26"/>
      <c r="T116" s="26"/>
      <c r="U116" s="26"/>
      <c r="V116" s="26"/>
      <c r="W116" s="26"/>
      <c r="X116" s="26"/>
      <c r="Y116" s="26"/>
      <c r="Z116" s="26"/>
      <c r="AA116" s="26"/>
      <c r="AB116" s="26"/>
    </row>
    <row r="117" spans="2:28">
      <c r="B117" s="1021" t="s">
        <v>370</v>
      </c>
      <c r="C117" s="1018" t="s">
        <v>109</v>
      </c>
      <c r="D117" s="1089"/>
      <c r="E117" s="1087">
        <f>E116/$D116</f>
        <v>0.0475100975771122</v>
      </c>
      <c r="F117" s="1087">
        <f>F116/$D116</f>
        <v>0.0715395584050117</v>
      </c>
      <c r="G117" s="1087">
        <f>G116/$D116</f>
        <v>0.0424979494013682</v>
      </c>
      <c r="H117" s="1087">
        <f>H116/$D116</f>
        <v>0.147024055919287</v>
      </c>
      <c r="I117" s="1087">
        <f>I116/$D116</f>
        <v>0.125990571524539</v>
      </c>
      <c r="J117" s="1087">
        <f>J116/$D116</f>
        <v>0.125990571524539</v>
      </c>
      <c r="K117" s="1087">
        <f>K116/$D116</f>
        <v>0.175640888563479</v>
      </c>
      <c r="L117" s="1087">
        <f>L116/$D116</f>
        <v>0.257314116349541</v>
      </c>
      <c r="M117" s="1087">
        <f>M116/$D116</f>
        <v>0.00649219073512311</v>
      </c>
      <c r="N117" s="1087"/>
      <c r="R117" s="26"/>
      <c r="S117" s="26"/>
      <c r="T117" s="26"/>
      <c r="U117" s="26"/>
      <c r="V117" s="26"/>
      <c r="W117" s="26"/>
      <c r="X117" s="26"/>
      <c r="Y117" s="26"/>
      <c r="Z117" s="26"/>
      <c r="AA117" s="26"/>
      <c r="AB117" s="26"/>
    </row>
    <row r="118" spans="2:28">
      <c r="B118" s="1021" t="s">
        <v>371</v>
      </c>
      <c r="C118" s="1018" t="s">
        <v>349</v>
      </c>
      <c r="D118" s="1020">
        <f>SUM(E118:XN118)</f>
        <v>207375.185746822</v>
      </c>
      <c r="E118" s="475">
        <f t="shared" ref="E118:M118" si="24">E112*E115</f>
        <v>8487.75728674215</v>
      </c>
      <c r="F118" s="475">
        <f t="shared" si="24"/>
        <v>8610.07726806075</v>
      </c>
      <c r="G118" s="475">
        <f t="shared" si="24"/>
        <v>6285.11518702342</v>
      </c>
      <c r="H118" s="475">
        <f t="shared" si="24"/>
        <v>17283.433701279</v>
      </c>
      <c r="I118" s="475">
        <f t="shared" si="24"/>
        <v>17077.6785381685</v>
      </c>
      <c r="J118" s="475">
        <f t="shared" si="24"/>
        <v>17077.6785381685</v>
      </c>
      <c r="K118" s="475">
        <f t="shared" si="24"/>
        <v>57505.9671474161</v>
      </c>
      <c r="L118" s="475">
        <f t="shared" si="24"/>
        <v>72398.6375992135</v>
      </c>
      <c r="M118" s="475">
        <f t="shared" si="24"/>
        <v>2648.84048075015</v>
      </c>
      <c r="N118" s="475"/>
      <c r="R118" s="26"/>
      <c r="S118" s="26"/>
      <c r="T118" s="26"/>
      <c r="U118" s="26"/>
      <c r="V118" s="26"/>
      <c r="W118" s="26"/>
      <c r="X118" s="26"/>
      <c r="Y118" s="26"/>
      <c r="Z118" s="26"/>
      <c r="AA118" s="26"/>
      <c r="AB118" s="26"/>
    </row>
    <row r="119" spans="2:28">
      <c r="B119" s="1021" t="s">
        <v>322</v>
      </c>
      <c r="C119" s="1018" t="s">
        <v>349</v>
      </c>
      <c r="D119" s="1020">
        <f>SUM(E119:XN119)</f>
        <v>770851.527663738</v>
      </c>
      <c r="E119" s="475">
        <f t="shared" ref="E119:M119" si="25">E116-E118</f>
        <v>37987.8893199314</v>
      </c>
      <c r="F119" s="475">
        <f t="shared" si="25"/>
        <v>61371.8298293167</v>
      </c>
      <c r="G119" s="475">
        <f t="shared" si="25"/>
        <v>35287.5141825653</v>
      </c>
      <c r="H119" s="475">
        <f t="shared" si="25"/>
        <v>126539.425312935</v>
      </c>
      <c r="I119" s="475">
        <f t="shared" si="25"/>
        <v>106169.664164999</v>
      </c>
      <c r="J119" s="475">
        <f t="shared" si="25"/>
        <v>106169.664164999</v>
      </c>
      <c r="K119" s="475">
        <f t="shared" si="25"/>
        <v>114310.642012547</v>
      </c>
      <c r="L119" s="475">
        <f t="shared" si="25"/>
        <v>179312.904751541</v>
      </c>
      <c r="M119" s="475">
        <f t="shared" si="25"/>
        <v>3701.99392490382</v>
      </c>
      <c r="N119" s="475"/>
      <c r="R119" s="26"/>
      <c r="S119" s="26"/>
      <c r="T119" s="26"/>
      <c r="U119" s="26"/>
      <c r="V119" s="26"/>
      <c r="W119" s="26"/>
      <c r="X119" s="26"/>
      <c r="Y119" s="26"/>
      <c r="Z119" s="26"/>
      <c r="AA119" s="26"/>
      <c r="AB119" s="26"/>
    </row>
    <row r="120" ht="12" spans="2:28">
      <c r="B120" s="1090"/>
      <c r="C120" s="1091" t="s">
        <v>109</v>
      </c>
      <c r="D120" s="1092"/>
      <c r="E120" s="1087">
        <f>E119/$D119</f>
        <v>0.0492804229564976</v>
      </c>
      <c r="F120" s="1087">
        <f>F119/$D119</f>
        <v>0.0796156297637752</v>
      </c>
      <c r="G120" s="1087">
        <f>G119/$D119</f>
        <v>0.045777316274527</v>
      </c>
      <c r="H120" s="1087">
        <f>H119/$D119</f>
        <v>0.164155379825795</v>
      </c>
      <c r="I120" s="1087">
        <f>I119/$D119</f>
        <v>0.137730367463594</v>
      </c>
      <c r="J120" s="1087">
        <f>J119/$D119</f>
        <v>0.137730367463594</v>
      </c>
      <c r="K120" s="1087">
        <f>K119/$D119</f>
        <v>0.148291386746024</v>
      </c>
      <c r="L120" s="1087">
        <f>L119/$D119</f>
        <v>0.232616656147772</v>
      </c>
      <c r="M120" s="1087">
        <f>M119/$D119</f>
        <v>0.00480247335842177</v>
      </c>
      <c r="N120" s="1087"/>
      <c r="R120" s="26"/>
      <c r="S120" s="26"/>
      <c r="T120" s="26"/>
      <c r="U120" s="26"/>
      <c r="V120" s="26"/>
      <c r="W120" s="26"/>
      <c r="X120" s="26"/>
      <c r="Y120" s="26"/>
      <c r="Z120" s="26"/>
      <c r="AA120" s="26"/>
      <c r="AB120" s="26"/>
    </row>
    <row r="121" ht="12" spans="2:28">
      <c r="B121" s="26"/>
      <c r="C121" s="26"/>
      <c r="E121" s="26"/>
      <c r="F121" s="26"/>
      <c r="G121" s="26"/>
      <c r="H121" s="26"/>
      <c r="I121" s="26"/>
      <c r="L121" s="379"/>
      <c r="M121" s="1005"/>
      <c r="R121" s="26"/>
      <c r="S121" s="26"/>
      <c r="T121" s="26"/>
      <c r="U121" s="26"/>
      <c r="V121" s="26"/>
      <c r="W121" s="26"/>
      <c r="X121" s="26"/>
      <c r="Y121" s="26"/>
      <c r="Z121" s="26"/>
      <c r="AA121" s="26"/>
      <c r="AB121" s="26"/>
    </row>
    <row r="122" spans="2:28">
      <c r="B122" s="1132" t="s">
        <v>311</v>
      </c>
      <c r="C122" s="1115" t="s">
        <v>349</v>
      </c>
      <c r="D122" s="1133">
        <f>$E$12</f>
        <v>273056.248179254</v>
      </c>
      <c r="E122" s="1098"/>
      <c r="F122" s="1098"/>
      <c r="G122" s="1098"/>
      <c r="H122" s="1098"/>
      <c r="I122" s="1136"/>
      <c r="J122" s="1136"/>
      <c r="K122" s="1136"/>
      <c r="L122" s="1136"/>
      <c r="M122" s="1136"/>
      <c r="N122" s="1136"/>
      <c r="R122" s="26"/>
      <c r="S122" s="26"/>
      <c r="T122" s="26"/>
      <c r="U122" s="26"/>
      <c r="V122" s="26"/>
      <c r="W122" s="26"/>
      <c r="X122" s="26"/>
      <c r="Y122" s="26"/>
      <c r="Z122" s="26"/>
      <c r="AA122" s="26"/>
      <c r="AB122" s="26"/>
    </row>
    <row r="123" spans="1:28">
      <c r="A123" s="1094" t="s">
        <v>372</v>
      </c>
      <c r="B123" s="1134" t="s">
        <v>364</v>
      </c>
      <c r="C123" s="59" t="s">
        <v>349</v>
      </c>
      <c r="D123" s="1118"/>
      <c r="E123" s="1135">
        <f t="shared" ref="E123:M123" si="26">E111</f>
        <v>4.49</v>
      </c>
      <c r="F123" s="1135">
        <f t="shared" si="26"/>
        <v>6.99</v>
      </c>
      <c r="G123" s="1135">
        <f t="shared" si="26"/>
        <v>5.49</v>
      </c>
      <c r="H123" s="1135">
        <f t="shared" si="26"/>
        <v>6.99</v>
      </c>
      <c r="I123" s="1135">
        <f t="shared" si="26"/>
        <v>5.99</v>
      </c>
      <c r="J123" s="1135">
        <f t="shared" si="26"/>
        <v>5.99</v>
      </c>
      <c r="K123" s="1135">
        <f t="shared" si="26"/>
        <v>2.45</v>
      </c>
      <c r="L123" s="1135">
        <f t="shared" si="26"/>
        <v>2.99</v>
      </c>
      <c r="M123" s="1135">
        <f t="shared" si="26"/>
        <v>1.99</v>
      </c>
      <c r="N123" s="1142"/>
      <c r="O123" s="1143"/>
      <c r="P123" s="1143"/>
      <c r="R123" s="26"/>
      <c r="S123" s="26"/>
      <c r="T123" s="26"/>
      <c r="U123" s="26"/>
      <c r="V123" s="26"/>
      <c r="W123" s="26"/>
      <c r="X123" s="26"/>
      <c r="Y123" s="26"/>
      <c r="Z123" s="26"/>
      <c r="AA123" s="26"/>
      <c r="AB123" s="26"/>
    </row>
    <row r="124" spans="1:28">
      <c r="A124" s="26"/>
      <c r="B124" s="1117" t="s">
        <v>365</v>
      </c>
      <c r="C124" s="59" t="s">
        <v>349</v>
      </c>
      <c r="D124" s="1118"/>
      <c r="E124" s="1085">
        <f t="shared" ref="E124:M124" si="27">E112</f>
        <v>0.82</v>
      </c>
      <c r="F124" s="1085">
        <f t="shared" si="27"/>
        <v>0.86</v>
      </c>
      <c r="G124" s="1085">
        <f t="shared" si="27"/>
        <v>0.83</v>
      </c>
      <c r="H124" s="1085">
        <f t="shared" si="27"/>
        <v>0.84</v>
      </c>
      <c r="I124" s="1085">
        <f t="shared" si="27"/>
        <v>0.83</v>
      </c>
      <c r="J124" s="1085">
        <f t="shared" si="27"/>
        <v>0.83</v>
      </c>
      <c r="K124" s="1085">
        <f t="shared" si="27"/>
        <v>0.82</v>
      </c>
      <c r="L124" s="1085">
        <f t="shared" si="27"/>
        <v>0.86</v>
      </c>
      <c r="M124" s="1085">
        <f t="shared" si="27"/>
        <v>0.83</v>
      </c>
      <c r="N124" s="1085"/>
      <c r="R124" s="26"/>
      <c r="S124" s="26"/>
      <c r="T124" s="26"/>
      <c r="U124" s="26"/>
      <c r="V124" s="26"/>
      <c r="W124" s="26"/>
      <c r="X124" s="26"/>
      <c r="Y124" s="26"/>
      <c r="Z124" s="26"/>
      <c r="AA124" s="26"/>
      <c r="AB124" s="26"/>
    </row>
    <row r="125" spans="1:28">
      <c r="A125" s="26"/>
      <c r="B125" s="1117" t="s">
        <v>366</v>
      </c>
      <c r="C125" s="59" t="s">
        <v>349</v>
      </c>
      <c r="D125" s="1118"/>
      <c r="E125" s="1085">
        <f t="shared" ref="E125:M125" si="28">E123-E124</f>
        <v>3.67</v>
      </c>
      <c r="F125" s="1085">
        <f t="shared" si="28"/>
        <v>6.13</v>
      </c>
      <c r="G125" s="1085">
        <f t="shared" si="28"/>
        <v>4.66</v>
      </c>
      <c r="H125" s="1085">
        <f t="shared" si="28"/>
        <v>6.15</v>
      </c>
      <c r="I125" s="1085">
        <f t="shared" si="28"/>
        <v>5.16</v>
      </c>
      <c r="J125" s="1085">
        <f t="shared" si="28"/>
        <v>5.16</v>
      </c>
      <c r="K125" s="1085">
        <f t="shared" si="28"/>
        <v>1.63</v>
      </c>
      <c r="L125" s="1085">
        <f t="shared" si="28"/>
        <v>2.13</v>
      </c>
      <c r="M125" s="1085">
        <f t="shared" si="28"/>
        <v>1.16</v>
      </c>
      <c r="N125" s="1085"/>
      <c r="R125" s="26"/>
      <c r="S125" s="26"/>
      <c r="T125" s="26"/>
      <c r="U125" s="26"/>
      <c r="V125" s="26"/>
      <c r="W125" s="26"/>
      <c r="X125" s="26"/>
      <c r="Y125" s="26"/>
      <c r="Z125" s="26"/>
      <c r="AA125" s="26"/>
      <c r="AB125" s="26"/>
    </row>
    <row r="126" spans="1:28">
      <c r="A126" s="26"/>
      <c r="B126" s="1117" t="s">
        <v>367</v>
      </c>
      <c r="C126" s="59" t="s">
        <v>109</v>
      </c>
      <c r="D126" s="1119">
        <f>(D128-D130)/D128</f>
        <v>0.788009075090769</v>
      </c>
      <c r="E126" s="904">
        <f t="shared" ref="E126:M126" si="29">E125/E123</f>
        <v>0.817371937639198</v>
      </c>
      <c r="F126" s="904">
        <f t="shared" si="29"/>
        <v>0.876967095851216</v>
      </c>
      <c r="G126" s="904">
        <f t="shared" si="29"/>
        <v>0.848816029143898</v>
      </c>
      <c r="H126" s="904">
        <f t="shared" si="29"/>
        <v>0.879828326180258</v>
      </c>
      <c r="I126" s="904">
        <f t="shared" si="29"/>
        <v>0.861435726210351</v>
      </c>
      <c r="J126" s="904">
        <f t="shared" si="29"/>
        <v>0.861435726210351</v>
      </c>
      <c r="K126" s="904">
        <f t="shared" si="29"/>
        <v>0.66530612244898</v>
      </c>
      <c r="L126" s="904">
        <f t="shared" si="29"/>
        <v>0.712374581939799</v>
      </c>
      <c r="M126" s="904">
        <f t="shared" si="29"/>
        <v>0.582914572864322</v>
      </c>
      <c r="N126" s="904"/>
      <c r="R126" s="26"/>
      <c r="S126" s="26"/>
      <c r="T126" s="26"/>
      <c r="U126" s="26"/>
      <c r="V126" s="26"/>
      <c r="W126" s="26"/>
      <c r="X126" s="26"/>
      <c r="Y126" s="26"/>
      <c r="Z126" s="26"/>
      <c r="AA126" s="26"/>
      <c r="AB126" s="26"/>
    </row>
    <row r="127" spans="1:28">
      <c r="A127" s="26"/>
      <c r="B127" s="1117" t="s">
        <v>368</v>
      </c>
      <c r="C127" s="59" t="s">
        <v>369</v>
      </c>
      <c r="D127" s="1118"/>
      <c r="E127" s="1088">
        <f>115:115</f>
        <v>10350.9235204173</v>
      </c>
      <c r="F127" s="1088">
        <f>115:115</f>
        <v>10011.717753559</v>
      </c>
      <c r="G127" s="1088">
        <f>115:115</f>
        <v>7572.4279361728</v>
      </c>
      <c r="H127" s="1088">
        <f>115:115</f>
        <v>20575.5163110464</v>
      </c>
      <c r="I127" s="1088">
        <f>115:115</f>
        <v>20575.5163110464</v>
      </c>
      <c r="J127" s="1088">
        <f>115:115</f>
        <v>20575.5163110464</v>
      </c>
      <c r="K127" s="1088">
        <f>115:115</f>
        <v>70129.2282285562</v>
      </c>
      <c r="L127" s="1088">
        <f>115:115</f>
        <v>84184.4623246669</v>
      </c>
      <c r="M127" s="1088">
        <f>115:115</f>
        <v>3191.37407319295</v>
      </c>
      <c r="N127" s="1088"/>
      <c r="O127" s="1144"/>
      <c r="R127" s="26"/>
      <c r="S127" s="26"/>
      <c r="T127" s="26"/>
      <c r="U127" s="26"/>
      <c r="V127" s="26"/>
      <c r="W127" s="26"/>
      <c r="X127" s="26"/>
      <c r="Y127" s="26"/>
      <c r="Z127" s="26"/>
      <c r="AA127" s="26"/>
      <c r="AB127" s="26"/>
    </row>
    <row r="128" spans="1:28">
      <c r="A128" s="26"/>
      <c r="B128" s="1117" t="s">
        <v>320</v>
      </c>
      <c r="C128" s="59" t="s">
        <v>349</v>
      </c>
      <c r="D128" s="1120">
        <f>SUM(E128:XN128)</f>
        <v>978226.713410561</v>
      </c>
      <c r="E128" s="1085">
        <f t="shared" ref="E128:M128" si="30">E123*E127</f>
        <v>46475.6466066735</v>
      </c>
      <c r="F128" s="1085">
        <f t="shared" si="30"/>
        <v>69981.9070973775</v>
      </c>
      <c r="G128" s="1085">
        <f t="shared" si="30"/>
        <v>41572.6293695887</v>
      </c>
      <c r="H128" s="1085">
        <f t="shared" si="30"/>
        <v>143822.859014214</v>
      </c>
      <c r="I128" s="1085">
        <f t="shared" si="30"/>
        <v>123247.342703168</v>
      </c>
      <c r="J128" s="1085">
        <f t="shared" si="30"/>
        <v>123247.342703168</v>
      </c>
      <c r="K128" s="1085">
        <f t="shared" si="30"/>
        <v>171816.609159963</v>
      </c>
      <c r="L128" s="1085">
        <f t="shared" si="30"/>
        <v>251711.542350754</v>
      </c>
      <c r="M128" s="1085">
        <f t="shared" si="30"/>
        <v>6350.83440565397</v>
      </c>
      <c r="N128" s="1085"/>
      <c r="R128" s="26"/>
      <c r="S128" s="26"/>
      <c r="T128" s="26"/>
      <c r="U128" s="26"/>
      <c r="V128" s="26"/>
      <c r="W128" s="26"/>
      <c r="X128" s="26"/>
      <c r="Y128" s="26"/>
      <c r="Z128" s="26"/>
      <c r="AA128" s="26"/>
      <c r="AB128" s="26"/>
    </row>
    <row r="129" spans="1:28">
      <c r="A129" s="26"/>
      <c r="B129" s="1117" t="s">
        <v>370</v>
      </c>
      <c r="C129" s="59" t="s">
        <v>109</v>
      </c>
      <c r="D129" s="1121"/>
      <c r="E129" s="904">
        <f>E128/$D128</f>
        <v>0.0475100975771122</v>
      </c>
      <c r="F129" s="904">
        <f>F128/$D128</f>
        <v>0.0715395584050117</v>
      </c>
      <c r="G129" s="904">
        <f>G128/$D128</f>
        <v>0.0424979494013682</v>
      </c>
      <c r="H129" s="904">
        <f>H128/$D128</f>
        <v>0.147024055919287</v>
      </c>
      <c r="I129" s="904">
        <f>I128/$D128</f>
        <v>0.125990571524539</v>
      </c>
      <c r="J129" s="904">
        <f>J128/$D128</f>
        <v>0.125990571524539</v>
      </c>
      <c r="K129" s="904">
        <f>K128/$D128</f>
        <v>0.175640888563479</v>
      </c>
      <c r="L129" s="904">
        <f>L128/$D128</f>
        <v>0.257314116349541</v>
      </c>
      <c r="M129" s="904">
        <f>M128/$D128</f>
        <v>0.00649219073512311</v>
      </c>
      <c r="N129" s="904"/>
      <c r="R129" s="26"/>
      <c r="S129" s="26"/>
      <c r="T129" s="26"/>
      <c r="U129" s="26"/>
      <c r="V129" s="26"/>
      <c r="W129" s="26"/>
      <c r="X129" s="26"/>
      <c r="Y129" s="26"/>
      <c r="Z129" s="26"/>
      <c r="AA129" s="26"/>
      <c r="AB129" s="26"/>
    </row>
    <row r="130" spans="1:28">
      <c r="A130" s="26"/>
      <c r="B130" s="1117" t="s">
        <v>371</v>
      </c>
      <c r="C130" s="59" t="s">
        <v>349</v>
      </c>
      <c r="D130" s="1120">
        <f>SUM(E130:XN130)</f>
        <v>207375.185746822</v>
      </c>
      <c r="E130" s="1085">
        <f t="shared" ref="E130:M130" si="31">E124*E127</f>
        <v>8487.75728674215</v>
      </c>
      <c r="F130" s="1085">
        <f t="shared" si="31"/>
        <v>8610.07726806075</v>
      </c>
      <c r="G130" s="1085">
        <f t="shared" si="31"/>
        <v>6285.11518702342</v>
      </c>
      <c r="H130" s="1085">
        <f t="shared" si="31"/>
        <v>17283.433701279</v>
      </c>
      <c r="I130" s="1085">
        <f t="shared" si="31"/>
        <v>17077.6785381685</v>
      </c>
      <c r="J130" s="1085">
        <f t="shared" si="31"/>
        <v>17077.6785381685</v>
      </c>
      <c r="K130" s="1085">
        <f t="shared" si="31"/>
        <v>57505.9671474161</v>
      </c>
      <c r="L130" s="1085">
        <f t="shared" si="31"/>
        <v>72398.6375992135</v>
      </c>
      <c r="M130" s="1085">
        <f t="shared" si="31"/>
        <v>2648.84048075015</v>
      </c>
      <c r="N130" s="1085"/>
      <c r="R130" s="26"/>
      <c r="S130" s="26"/>
      <c r="T130" s="26"/>
      <c r="U130" s="26"/>
      <c r="V130" s="26"/>
      <c r="W130" s="26"/>
      <c r="X130" s="26"/>
      <c r="Y130" s="26"/>
      <c r="Z130" s="26"/>
      <c r="AA130" s="26"/>
      <c r="AB130" s="26"/>
    </row>
    <row r="131" spans="1:28">
      <c r="A131" s="26"/>
      <c r="B131" s="1117" t="s">
        <v>322</v>
      </c>
      <c r="C131" s="59" t="s">
        <v>349</v>
      </c>
      <c r="D131" s="1120">
        <f>SUM(E131:XN131)</f>
        <v>770851.527663738</v>
      </c>
      <c r="E131" s="1085">
        <f t="shared" ref="E131:M131" si="32">E128-E130</f>
        <v>37987.8893199314</v>
      </c>
      <c r="F131" s="1085">
        <f t="shared" si="32"/>
        <v>61371.8298293167</v>
      </c>
      <c r="G131" s="1085">
        <f t="shared" si="32"/>
        <v>35287.5141825653</v>
      </c>
      <c r="H131" s="1085">
        <f t="shared" si="32"/>
        <v>126539.425312935</v>
      </c>
      <c r="I131" s="1085">
        <f t="shared" si="32"/>
        <v>106169.664164999</v>
      </c>
      <c r="J131" s="1085">
        <f t="shared" si="32"/>
        <v>106169.664164999</v>
      </c>
      <c r="K131" s="1085">
        <f t="shared" si="32"/>
        <v>114310.642012547</v>
      </c>
      <c r="L131" s="1085">
        <f t="shared" si="32"/>
        <v>179312.904751541</v>
      </c>
      <c r="M131" s="1085">
        <f t="shared" si="32"/>
        <v>3701.99392490382</v>
      </c>
      <c r="N131" s="1085"/>
      <c r="R131" s="26"/>
      <c r="S131" s="26"/>
      <c r="T131" s="26"/>
      <c r="U131" s="26"/>
      <c r="V131" s="26"/>
      <c r="W131" s="26"/>
      <c r="X131" s="26"/>
      <c r="Y131" s="26"/>
      <c r="Z131" s="26"/>
      <c r="AA131" s="26"/>
      <c r="AB131" s="26"/>
    </row>
    <row r="132" spans="1:28">
      <c r="A132" s="26"/>
      <c r="B132" s="1117"/>
      <c r="C132" s="59" t="s">
        <v>109</v>
      </c>
      <c r="D132" s="1118"/>
      <c r="E132" s="904">
        <f>E131/$D131</f>
        <v>0.0492804229564976</v>
      </c>
      <c r="F132" s="904">
        <f>F131/$D131</f>
        <v>0.0796156297637752</v>
      </c>
      <c r="G132" s="904">
        <f>G131/$D131</f>
        <v>0.045777316274527</v>
      </c>
      <c r="H132" s="904">
        <f>H131/$D131</f>
        <v>0.164155379825795</v>
      </c>
      <c r="I132" s="904">
        <f>I131/$D131</f>
        <v>0.137730367463594</v>
      </c>
      <c r="J132" s="904">
        <f>J131/$D131</f>
        <v>0.137730367463594</v>
      </c>
      <c r="K132" s="904">
        <f>K131/$D131</f>
        <v>0.148291386746024</v>
      </c>
      <c r="L132" s="904">
        <f>L131/$D131</f>
        <v>0.232616656147772</v>
      </c>
      <c r="M132" s="904">
        <f>M131/$D131</f>
        <v>0.00480247335842177</v>
      </c>
      <c r="N132" s="904"/>
      <c r="R132" s="26"/>
      <c r="S132" s="26"/>
      <c r="T132" s="26"/>
      <c r="U132" s="26"/>
      <c r="V132" s="26"/>
      <c r="W132" s="26"/>
      <c r="X132" s="26"/>
      <c r="Y132" s="26"/>
      <c r="Z132" s="26"/>
      <c r="AA132" s="26"/>
      <c r="AB132" s="26"/>
    </row>
    <row r="133" spans="1:28">
      <c r="A133" s="26"/>
      <c r="B133" s="1122" t="s">
        <v>373</v>
      </c>
      <c r="C133" s="1123" t="s">
        <v>353</v>
      </c>
      <c r="D133" s="1124">
        <f>D122/D131*12</f>
        <v>4.25072126156622</v>
      </c>
      <c r="E133" s="378"/>
      <c r="F133" s="38"/>
      <c r="G133" s="38"/>
      <c r="H133" s="38"/>
      <c r="I133" s="378"/>
      <c r="J133" s="38"/>
      <c r="K133" s="378"/>
      <c r="L133" s="378"/>
      <c r="M133" s="1070"/>
      <c r="N133" s="378"/>
      <c r="R133" s="26"/>
      <c r="S133" s="26"/>
      <c r="T133" s="26"/>
      <c r="U133" s="26"/>
      <c r="V133" s="26"/>
      <c r="W133" s="26"/>
      <c r="X133" s="26"/>
      <c r="Y133" s="26"/>
      <c r="Z133" s="26"/>
      <c r="AA133" s="26"/>
      <c r="AB133" s="26"/>
    </row>
    <row r="134" ht="14.1" customHeight="1" spans="1:28">
      <c r="A134" s="26"/>
      <c r="B134" s="1125" t="s">
        <v>374</v>
      </c>
      <c r="C134" s="1126" t="s">
        <v>320</v>
      </c>
      <c r="D134" s="1127">
        <f>D122/D126</f>
        <v>346514.090777193</v>
      </c>
      <c r="E134" s="1110"/>
      <c r="F134" s="1111"/>
      <c r="G134" s="1111"/>
      <c r="H134" s="1111"/>
      <c r="I134" s="1110"/>
      <c r="J134" s="1111"/>
      <c r="K134" s="1110"/>
      <c r="L134" s="1110"/>
      <c r="M134" s="1137"/>
      <c r="N134" s="1110"/>
      <c r="R134" s="26"/>
      <c r="S134" s="26"/>
      <c r="T134" s="26"/>
      <c r="U134" s="26"/>
      <c r="V134" s="26"/>
      <c r="W134" s="26"/>
      <c r="X134" s="26"/>
      <c r="Y134" s="26"/>
      <c r="Z134" s="26"/>
      <c r="AA134" s="26"/>
      <c r="AB134" s="26"/>
    </row>
    <row r="135" ht="14.1" customHeight="1" spans="1:28">
      <c r="A135" s="26"/>
      <c r="B135" s="26"/>
      <c r="C135" s="26"/>
      <c r="D135" s="26"/>
      <c r="E135" s="26"/>
      <c r="F135" s="26"/>
      <c r="G135" s="26"/>
      <c r="H135" s="26"/>
      <c r="J135" s="26"/>
      <c r="L135" s="379"/>
      <c r="M135" s="1005"/>
      <c r="R135" s="26"/>
      <c r="S135" s="26"/>
      <c r="T135" s="26"/>
      <c r="U135" s="26"/>
      <c r="V135" s="26"/>
      <c r="W135" s="26"/>
      <c r="X135" s="26"/>
      <c r="Y135" s="26"/>
      <c r="Z135" s="26"/>
      <c r="AA135" s="26"/>
      <c r="AB135" s="26"/>
    </row>
    <row r="136" ht="14.1" customHeight="1" spans="2:28">
      <c r="B136" s="1132" t="s">
        <v>311</v>
      </c>
      <c r="C136" s="1115" t="s">
        <v>349</v>
      </c>
      <c r="D136" s="1133">
        <f>$E$12</f>
        <v>273056.248179254</v>
      </c>
      <c r="E136" s="1098"/>
      <c r="F136" s="1098"/>
      <c r="G136" s="1098"/>
      <c r="H136" s="1098"/>
      <c r="I136" s="1136"/>
      <c r="J136" s="1136"/>
      <c r="K136" s="1136"/>
      <c r="L136" s="1136"/>
      <c r="M136" s="1136"/>
      <c r="N136" s="1136"/>
      <c r="R136" s="26"/>
      <c r="S136" s="26"/>
      <c r="T136" s="26"/>
      <c r="U136" s="26"/>
      <c r="V136" s="26"/>
      <c r="W136" s="26"/>
      <c r="X136" s="26"/>
      <c r="Y136" s="26"/>
      <c r="Z136" s="26"/>
      <c r="AA136" s="26"/>
      <c r="AB136" s="26"/>
    </row>
    <row r="137" ht="14.1" customHeight="1" spans="1:28">
      <c r="A137" s="1094" t="s">
        <v>375</v>
      </c>
      <c r="B137" s="1134" t="s">
        <v>364</v>
      </c>
      <c r="C137" s="59" t="s">
        <v>349</v>
      </c>
      <c r="D137" s="1118"/>
      <c r="E137" s="1135">
        <f t="shared" ref="E137:M137" si="33">E123</f>
        <v>4.49</v>
      </c>
      <c r="F137" s="1135">
        <f t="shared" si="33"/>
        <v>6.99</v>
      </c>
      <c r="G137" s="1135">
        <f t="shared" si="33"/>
        <v>5.49</v>
      </c>
      <c r="H137" s="1135">
        <f t="shared" si="33"/>
        <v>6.99</v>
      </c>
      <c r="I137" s="1135">
        <f t="shared" si="33"/>
        <v>5.99</v>
      </c>
      <c r="J137" s="1135">
        <f t="shared" si="33"/>
        <v>5.99</v>
      </c>
      <c r="K137" s="1135">
        <f t="shared" si="33"/>
        <v>2.45</v>
      </c>
      <c r="L137" s="1135">
        <f t="shared" si="33"/>
        <v>2.99</v>
      </c>
      <c r="M137" s="1135">
        <f t="shared" si="33"/>
        <v>1.99</v>
      </c>
      <c r="N137" s="1142"/>
      <c r="O137" s="1143"/>
      <c r="P137" s="1143"/>
      <c r="R137" s="26"/>
      <c r="S137" s="26"/>
      <c r="T137" s="26"/>
      <c r="U137" s="26"/>
      <c r="V137" s="26"/>
      <c r="W137" s="26"/>
      <c r="X137" s="26"/>
      <c r="Y137" s="26"/>
      <c r="Z137" s="26"/>
      <c r="AA137" s="26"/>
      <c r="AB137" s="26"/>
    </row>
    <row r="138" ht="14.1" customHeight="1" spans="1:28">
      <c r="A138" s="26"/>
      <c r="B138" s="1117" t="s">
        <v>365</v>
      </c>
      <c r="C138" s="59" t="s">
        <v>349</v>
      </c>
      <c r="D138" s="1118"/>
      <c r="E138" s="1085">
        <f t="shared" ref="E138:M138" si="34">E124</f>
        <v>0.82</v>
      </c>
      <c r="F138" s="1085">
        <f t="shared" si="34"/>
        <v>0.86</v>
      </c>
      <c r="G138" s="1085">
        <f t="shared" si="34"/>
        <v>0.83</v>
      </c>
      <c r="H138" s="1085">
        <f t="shared" si="34"/>
        <v>0.84</v>
      </c>
      <c r="I138" s="1085">
        <f t="shared" si="34"/>
        <v>0.83</v>
      </c>
      <c r="J138" s="1085">
        <f t="shared" si="34"/>
        <v>0.83</v>
      </c>
      <c r="K138" s="1085">
        <f t="shared" si="34"/>
        <v>0.82</v>
      </c>
      <c r="L138" s="1085">
        <f t="shared" si="34"/>
        <v>0.86</v>
      </c>
      <c r="M138" s="1085">
        <f t="shared" si="34"/>
        <v>0.83</v>
      </c>
      <c r="N138" s="1085"/>
      <c r="R138" s="26"/>
      <c r="S138" s="26"/>
      <c r="T138" s="26"/>
      <c r="U138" s="26"/>
      <c r="V138" s="26"/>
      <c r="W138" s="26"/>
      <c r="X138" s="26"/>
      <c r="Y138" s="26"/>
      <c r="Z138" s="26"/>
      <c r="AA138" s="26"/>
      <c r="AB138" s="26"/>
    </row>
    <row r="139" ht="14.1" customHeight="1" spans="1:28">
      <c r="A139" s="26"/>
      <c r="B139" s="1117" t="s">
        <v>366</v>
      </c>
      <c r="C139" s="59" t="s">
        <v>349</v>
      </c>
      <c r="D139" s="1118"/>
      <c r="E139" s="1085">
        <f t="shared" ref="E139:M139" si="35">E137-E138</f>
        <v>3.67</v>
      </c>
      <c r="F139" s="1085">
        <f t="shared" si="35"/>
        <v>6.13</v>
      </c>
      <c r="G139" s="1085">
        <f t="shared" si="35"/>
        <v>4.66</v>
      </c>
      <c r="H139" s="1085">
        <f t="shared" si="35"/>
        <v>6.15</v>
      </c>
      <c r="I139" s="1085">
        <f t="shared" si="35"/>
        <v>5.16</v>
      </c>
      <c r="J139" s="1085">
        <f t="shared" si="35"/>
        <v>5.16</v>
      </c>
      <c r="K139" s="1085">
        <f t="shared" si="35"/>
        <v>1.63</v>
      </c>
      <c r="L139" s="1085">
        <f t="shared" si="35"/>
        <v>2.13</v>
      </c>
      <c r="M139" s="1085">
        <f t="shared" si="35"/>
        <v>1.16</v>
      </c>
      <c r="N139" s="1085"/>
      <c r="R139" s="26"/>
      <c r="S139" s="26"/>
      <c r="T139" s="26"/>
      <c r="U139" s="26"/>
      <c r="V139" s="26"/>
      <c r="W139" s="26"/>
      <c r="X139" s="26"/>
      <c r="Y139" s="26"/>
      <c r="Z139" s="26"/>
      <c r="AA139" s="26"/>
      <c r="AB139" s="26"/>
    </row>
    <row r="140" ht="14.1" customHeight="1" spans="1:28">
      <c r="A140" s="26"/>
      <c r="B140" s="1117" t="s">
        <v>367</v>
      </c>
      <c r="C140" s="59" t="s">
        <v>109</v>
      </c>
      <c r="D140" s="1119">
        <f>(D142-D144)/D142</f>
        <v>0.788009075090769</v>
      </c>
      <c r="E140" s="1085">
        <f t="shared" ref="E140:M140" si="36">E139/E137</f>
        <v>0.817371937639198</v>
      </c>
      <c r="F140" s="1085">
        <f t="shared" si="36"/>
        <v>0.876967095851216</v>
      </c>
      <c r="G140" s="1085">
        <f t="shared" si="36"/>
        <v>0.848816029143898</v>
      </c>
      <c r="H140" s="1085">
        <f t="shared" si="36"/>
        <v>0.879828326180258</v>
      </c>
      <c r="I140" s="1085">
        <f t="shared" si="36"/>
        <v>0.861435726210351</v>
      </c>
      <c r="J140" s="1085">
        <f t="shared" si="36"/>
        <v>0.861435726210351</v>
      </c>
      <c r="K140" s="1085">
        <f t="shared" si="36"/>
        <v>0.66530612244898</v>
      </c>
      <c r="L140" s="1085">
        <f t="shared" si="36"/>
        <v>0.712374581939799</v>
      </c>
      <c r="M140" s="1085">
        <f t="shared" si="36"/>
        <v>0.582914572864322</v>
      </c>
      <c r="N140" s="1085"/>
      <c r="R140" s="26"/>
      <c r="S140" s="26"/>
      <c r="T140" s="26"/>
      <c r="U140" s="26"/>
      <c r="V140" s="26"/>
      <c r="W140" s="26"/>
      <c r="X140" s="26"/>
      <c r="Y140" s="26"/>
      <c r="Z140" s="26"/>
      <c r="AA140" s="26"/>
      <c r="AB140" s="26"/>
    </row>
    <row r="141" ht="14.1" customHeight="1" spans="1:28">
      <c r="A141" s="26"/>
      <c r="B141" s="1117" t="s">
        <v>368</v>
      </c>
      <c r="C141" s="59" t="s">
        <v>369</v>
      </c>
      <c r="D141" s="1118"/>
      <c r="E141" s="1085">
        <f t="shared" ref="E141:M141" si="37">E115</f>
        <v>10350.9235204173</v>
      </c>
      <c r="F141" s="1085">
        <f t="shared" si="37"/>
        <v>10011.717753559</v>
      </c>
      <c r="G141" s="1085">
        <f t="shared" si="37"/>
        <v>7572.4279361728</v>
      </c>
      <c r="H141" s="1085">
        <f t="shared" si="37"/>
        <v>20575.5163110464</v>
      </c>
      <c r="I141" s="1085">
        <f t="shared" si="37"/>
        <v>20575.5163110464</v>
      </c>
      <c r="J141" s="1085">
        <f t="shared" si="37"/>
        <v>20575.5163110464</v>
      </c>
      <c r="K141" s="1085">
        <f t="shared" si="37"/>
        <v>70129.2282285562</v>
      </c>
      <c r="L141" s="1085">
        <f t="shared" si="37"/>
        <v>84184.4623246669</v>
      </c>
      <c r="M141" s="1085">
        <f t="shared" si="37"/>
        <v>3191.37407319295</v>
      </c>
      <c r="N141" s="1085"/>
      <c r="R141" s="26"/>
      <c r="S141" s="26"/>
      <c r="T141" s="26"/>
      <c r="U141" s="26"/>
      <c r="V141" s="26"/>
      <c r="W141" s="26"/>
      <c r="X141" s="26"/>
      <c r="Y141" s="26"/>
      <c r="Z141" s="26"/>
      <c r="AA141" s="26"/>
      <c r="AB141" s="26"/>
    </row>
    <row r="142" ht="14.1" customHeight="1" spans="1:28">
      <c r="A142" s="26"/>
      <c r="B142" s="1117" t="s">
        <v>320</v>
      </c>
      <c r="C142" s="59" t="s">
        <v>349</v>
      </c>
      <c r="D142" s="1120">
        <f>SUM(E142:XN142)</f>
        <v>978226.713410561</v>
      </c>
      <c r="E142" s="1085">
        <f t="shared" ref="E142:M142" si="38">E137*E141</f>
        <v>46475.6466066735</v>
      </c>
      <c r="F142" s="1085">
        <f t="shared" si="38"/>
        <v>69981.9070973775</v>
      </c>
      <c r="G142" s="1085">
        <f t="shared" si="38"/>
        <v>41572.6293695887</v>
      </c>
      <c r="H142" s="1085">
        <f t="shared" si="38"/>
        <v>143822.859014214</v>
      </c>
      <c r="I142" s="1085">
        <f t="shared" si="38"/>
        <v>123247.342703168</v>
      </c>
      <c r="J142" s="1085">
        <f t="shared" si="38"/>
        <v>123247.342703168</v>
      </c>
      <c r="K142" s="1085">
        <f t="shared" si="38"/>
        <v>171816.609159963</v>
      </c>
      <c r="L142" s="1085">
        <f t="shared" si="38"/>
        <v>251711.542350754</v>
      </c>
      <c r="M142" s="1085">
        <f t="shared" si="38"/>
        <v>6350.83440565397</v>
      </c>
      <c r="N142" s="1085"/>
      <c r="R142" s="26"/>
      <c r="S142" s="26"/>
      <c r="T142" s="26"/>
      <c r="U142" s="26"/>
      <c r="V142" s="26"/>
      <c r="W142" s="26"/>
      <c r="X142" s="26"/>
      <c r="Y142" s="26"/>
      <c r="Z142" s="26"/>
      <c r="AA142" s="26"/>
      <c r="AB142" s="26"/>
    </row>
    <row r="143" ht="14.1" customHeight="1" spans="1:28">
      <c r="A143" s="26"/>
      <c r="B143" s="1117" t="s">
        <v>370</v>
      </c>
      <c r="C143" s="59" t="s">
        <v>109</v>
      </c>
      <c r="D143" s="1121"/>
      <c r="E143" s="1085">
        <f>E142/$D142</f>
        <v>0.0475100975771122</v>
      </c>
      <c r="F143" s="1085">
        <f>F142/$D142</f>
        <v>0.0715395584050117</v>
      </c>
      <c r="G143" s="1085">
        <f>G142/$D142</f>
        <v>0.0424979494013682</v>
      </c>
      <c r="H143" s="1085">
        <f>H142/$D142</f>
        <v>0.147024055919287</v>
      </c>
      <c r="I143" s="1085">
        <f>I142/$D142</f>
        <v>0.125990571524539</v>
      </c>
      <c r="J143" s="1085">
        <f>J142/$D142</f>
        <v>0.125990571524539</v>
      </c>
      <c r="K143" s="1085">
        <f>K142/$D142</f>
        <v>0.175640888563479</v>
      </c>
      <c r="L143" s="1085">
        <f>L142/$D142</f>
        <v>0.257314116349541</v>
      </c>
      <c r="M143" s="1085">
        <f>M142/$D142</f>
        <v>0.00649219073512311</v>
      </c>
      <c r="N143" s="1085"/>
      <c r="R143" s="26"/>
      <c r="S143" s="26"/>
      <c r="T143" s="26"/>
      <c r="U143" s="26"/>
      <c r="V143" s="26"/>
      <c r="W143" s="26"/>
      <c r="X143" s="26"/>
      <c r="Y143" s="26"/>
      <c r="Z143" s="26"/>
      <c r="AA143" s="26"/>
      <c r="AB143" s="26"/>
    </row>
    <row r="144" ht="14.1" customHeight="1" spans="1:28">
      <c r="A144" s="26"/>
      <c r="B144" s="1117" t="s">
        <v>371</v>
      </c>
      <c r="C144" s="59" t="s">
        <v>349</v>
      </c>
      <c r="D144" s="1120">
        <f>SUM(E144:XN144)</f>
        <v>207375.185746822</v>
      </c>
      <c r="E144" s="1085">
        <f t="shared" ref="E144:M144" si="39">E138*E141</f>
        <v>8487.75728674215</v>
      </c>
      <c r="F144" s="1085">
        <f t="shared" si="39"/>
        <v>8610.07726806075</v>
      </c>
      <c r="G144" s="1085">
        <f t="shared" si="39"/>
        <v>6285.11518702342</v>
      </c>
      <c r="H144" s="1085">
        <f t="shared" si="39"/>
        <v>17283.433701279</v>
      </c>
      <c r="I144" s="1085">
        <f t="shared" si="39"/>
        <v>17077.6785381685</v>
      </c>
      <c r="J144" s="1085">
        <f t="shared" si="39"/>
        <v>17077.6785381685</v>
      </c>
      <c r="K144" s="1085">
        <f t="shared" si="39"/>
        <v>57505.9671474161</v>
      </c>
      <c r="L144" s="1085">
        <f t="shared" si="39"/>
        <v>72398.6375992135</v>
      </c>
      <c r="M144" s="1085">
        <f t="shared" si="39"/>
        <v>2648.84048075015</v>
      </c>
      <c r="N144" s="1085"/>
      <c r="R144" s="26"/>
      <c r="S144" s="26"/>
      <c r="T144" s="26"/>
      <c r="U144" s="26"/>
      <c r="V144" s="26"/>
      <c r="W144" s="26"/>
      <c r="X144" s="26"/>
      <c r="Y144" s="26"/>
      <c r="Z144" s="26"/>
      <c r="AA144" s="26"/>
      <c r="AB144" s="26"/>
    </row>
    <row r="145" ht="14.1" customHeight="1" spans="1:28">
      <c r="A145" s="26"/>
      <c r="B145" s="1117" t="s">
        <v>322</v>
      </c>
      <c r="C145" s="59" t="s">
        <v>349</v>
      </c>
      <c r="D145" s="1120">
        <f>SUM(E145:XN145)</f>
        <v>770851.527663738</v>
      </c>
      <c r="E145" s="1085">
        <f t="shared" ref="E145:M145" si="40">E142-E144</f>
        <v>37987.8893199314</v>
      </c>
      <c r="F145" s="1085">
        <f t="shared" si="40"/>
        <v>61371.8298293167</v>
      </c>
      <c r="G145" s="1085">
        <f t="shared" si="40"/>
        <v>35287.5141825653</v>
      </c>
      <c r="H145" s="1085">
        <f t="shared" si="40"/>
        <v>126539.425312935</v>
      </c>
      <c r="I145" s="1085">
        <f t="shared" si="40"/>
        <v>106169.664164999</v>
      </c>
      <c r="J145" s="1085">
        <f t="shared" si="40"/>
        <v>106169.664164999</v>
      </c>
      <c r="K145" s="1085">
        <f t="shared" si="40"/>
        <v>114310.642012547</v>
      </c>
      <c r="L145" s="1085">
        <f t="shared" si="40"/>
        <v>179312.904751541</v>
      </c>
      <c r="M145" s="1085">
        <f t="shared" si="40"/>
        <v>3701.99392490382</v>
      </c>
      <c r="N145" s="1085"/>
      <c r="R145" s="26"/>
      <c r="S145" s="26"/>
      <c r="T145" s="26"/>
      <c r="U145" s="26"/>
      <c r="V145" s="26"/>
      <c r="W145" s="26"/>
      <c r="X145" s="26"/>
      <c r="Y145" s="26"/>
      <c r="Z145" s="26"/>
      <c r="AA145" s="26"/>
      <c r="AB145" s="26"/>
    </row>
    <row r="146" ht="14.1" customHeight="1" spans="1:28">
      <c r="A146" s="26"/>
      <c r="B146" s="1117"/>
      <c r="C146" s="59" t="s">
        <v>109</v>
      </c>
      <c r="D146" s="1118"/>
      <c r="E146" s="1085">
        <f>E145/$D145</f>
        <v>0.0492804229564976</v>
      </c>
      <c r="F146" s="1085">
        <f>F145/$D145</f>
        <v>0.0796156297637752</v>
      </c>
      <c r="G146" s="1085">
        <f>G145/$D145</f>
        <v>0.045777316274527</v>
      </c>
      <c r="H146" s="1085">
        <f>H145/$D145</f>
        <v>0.164155379825795</v>
      </c>
      <c r="I146" s="1085">
        <f>I145/$D145</f>
        <v>0.137730367463594</v>
      </c>
      <c r="J146" s="1085">
        <f>J145/$D145</f>
        <v>0.137730367463594</v>
      </c>
      <c r="K146" s="1085">
        <f>K145/$D145</f>
        <v>0.148291386746024</v>
      </c>
      <c r="L146" s="1085">
        <f>L145/$D145</f>
        <v>0.232616656147772</v>
      </c>
      <c r="M146" s="1085">
        <f>M145/$D145</f>
        <v>0.00480247335842177</v>
      </c>
      <c r="N146" s="1085"/>
      <c r="R146" s="26"/>
      <c r="S146" s="26"/>
      <c r="T146" s="26"/>
      <c r="U146" s="26"/>
      <c r="V146" s="26"/>
      <c r="W146" s="26"/>
      <c r="X146" s="26"/>
      <c r="Y146" s="26"/>
      <c r="Z146" s="26"/>
      <c r="AA146" s="26"/>
      <c r="AB146" s="26"/>
    </row>
    <row r="147" ht="14.1" customHeight="1" spans="1:28">
      <c r="A147" s="26"/>
      <c r="B147" s="1122" t="s">
        <v>373</v>
      </c>
      <c r="C147" s="1123" t="s">
        <v>353</v>
      </c>
      <c r="D147" s="1124">
        <f>D136/D145*12</f>
        <v>4.25072126156622</v>
      </c>
      <c r="E147" s="378"/>
      <c r="F147" s="38"/>
      <c r="G147" s="38"/>
      <c r="H147" s="38"/>
      <c r="I147" s="378"/>
      <c r="J147" s="38"/>
      <c r="K147" s="378"/>
      <c r="L147" s="1105"/>
      <c r="M147" s="1139"/>
      <c r="N147" s="200"/>
      <c r="R147" s="26"/>
      <c r="S147" s="26"/>
      <c r="T147" s="26"/>
      <c r="U147" s="26"/>
      <c r="V147" s="26"/>
      <c r="W147" s="26"/>
      <c r="X147" s="26"/>
      <c r="Y147" s="26"/>
      <c r="Z147" s="26"/>
      <c r="AA147" s="26"/>
      <c r="AB147" s="26"/>
    </row>
    <row r="148" ht="14.1" customHeight="1" spans="1:28">
      <c r="A148" s="26"/>
      <c r="B148" s="1125" t="s">
        <v>374</v>
      </c>
      <c r="C148" s="1126" t="s">
        <v>320</v>
      </c>
      <c r="D148" s="1127">
        <f>D136/D140</f>
        <v>346514.090777193</v>
      </c>
      <c r="E148" s="1110"/>
      <c r="F148" s="1128"/>
      <c r="G148" s="1128"/>
      <c r="H148" s="1111"/>
      <c r="I148" s="1110"/>
      <c r="J148" s="1111"/>
      <c r="K148" s="1110"/>
      <c r="L148" s="1108"/>
      <c r="M148" s="1140"/>
      <c r="N148" s="1128"/>
      <c r="R148" s="26"/>
      <c r="S148" s="26"/>
      <c r="T148" s="26"/>
      <c r="U148" s="26"/>
      <c r="V148" s="26"/>
      <c r="W148" s="26"/>
      <c r="X148" s="26"/>
      <c r="Y148" s="26"/>
      <c r="Z148" s="26"/>
      <c r="AA148" s="26"/>
      <c r="AB148" s="26"/>
    </row>
    <row r="149" ht="14.1" customHeight="1" spans="1:28">
      <c r="A149" s="26"/>
      <c r="B149" s="1038"/>
      <c r="C149" s="1033"/>
      <c r="D149" s="1129"/>
      <c r="E149" s="60"/>
      <c r="F149" s="60"/>
      <c r="G149" s="26"/>
      <c r="I149" s="26"/>
      <c r="K149" s="1033"/>
      <c r="L149" s="1141"/>
      <c r="M149" s="60"/>
      <c r="N149" s="26"/>
      <c r="R149" s="26"/>
      <c r="S149" s="26"/>
      <c r="T149" s="26"/>
      <c r="U149" s="26"/>
      <c r="V149" s="26"/>
      <c r="W149" s="26"/>
      <c r="X149" s="26"/>
      <c r="Y149" s="26"/>
      <c r="Z149" s="26"/>
      <c r="AA149" s="26"/>
      <c r="AB149" s="26"/>
    </row>
    <row r="150" ht="14.1" customHeight="1" spans="1:28">
      <c r="A150" s="127"/>
      <c r="B150" s="1038"/>
      <c r="C150" s="1033"/>
      <c r="D150" s="1147"/>
      <c r="E150" s="26"/>
      <c r="F150" s="26"/>
      <c r="G150" s="26"/>
      <c r="H150" s="26"/>
      <c r="I150" s="26"/>
      <c r="J150" s="1038"/>
      <c r="K150" s="1033"/>
      <c r="L150" s="1147"/>
      <c r="M150" s="26"/>
      <c r="N150" s="26"/>
      <c r="R150" s="26"/>
      <c r="S150" s="26"/>
      <c r="T150" s="26"/>
      <c r="U150" s="26"/>
      <c r="V150" s="26"/>
      <c r="W150" s="26"/>
      <c r="X150" s="26"/>
      <c r="Y150" s="26"/>
      <c r="Z150" s="26"/>
      <c r="AA150" s="26"/>
      <c r="AB150" s="26"/>
    </row>
    <row r="151" ht="15.75" spans="1:28">
      <c r="A151" s="127"/>
      <c r="B151" s="842">
        <v>2.3</v>
      </c>
      <c r="C151" s="1130" t="s">
        <v>377</v>
      </c>
      <c r="D151" s="1148"/>
      <c r="E151" s="1148"/>
      <c r="F151" s="1148"/>
      <c r="G151" s="1148"/>
      <c r="H151" s="1148"/>
      <c r="I151" s="1148"/>
      <c r="J151" s="26"/>
      <c r="K151" s="26"/>
      <c r="M151" s="26"/>
      <c r="N151" s="26"/>
      <c r="R151" s="26"/>
      <c r="S151" s="26"/>
      <c r="T151" s="26"/>
      <c r="U151" s="26"/>
      <c r="V151" s="26"/>
      <c r="W151" s="26"/>
      <c r="X151" s="26"/>
      <c r="Y151" s="26"/>
      <c r="Z151" s="26"/>
      <c r="AA151" s="26"/>
      <c r="AB151" s="26"/>
    </row>
    <row r="152" spans="1:28">
      <c r="A152" s="127"/>
      <c r="B152" s="1038"/>
      <c r="C152" s="1033"/>
      <c r="D152" s="1147"/>
      <c r="E152" s="26"/>
      <c r="F152" s="26"/>
      <c r="G152" s="26"/>
      <c r="H152" s="26"/>
      <c r="I152" s="26"/>
      <c r="J152" s="26"/>
      <c r="K152" s="26"/>
      <c r="M152" s="26"/>
      <c r="N152" s="26"/>
      <c r="R152" s="26"/>
      <c r="S152" s="26"/>
      <c r="T152" s="26"/>
      <c r="U152" s="26"/>
      <c r="V152" s="26"/>
      <c r="W152" s="26"/>
      <c r="X152" s="26"/>
      <c r="Y152" s="26"/>
      <c r="Z152" s="26"/>
      <c r="AA152" s="26"/>
      <c r="AB152" s="26"/>
    </row>
    <row r="153" ht="12" spans="1:28">
      <c r="A153" s="127"/>
      <c r="B153" s="1038"/>
      <c r="C153" s="1033"/>
      <c r="D153" s="1147"/>
      <c r="E153" s="26"/>
      <c r="F153" s="26"/>
      <c r="G153" s="26"/>
      <c r="H153" s="26"/>
      <c r="I153" s="26"/>
      <c r="J153" s="26"/>
      <c r="K153" s="26"/>
      <c r="M153" s="26"/>
      <c r="N153" s="26"/>
      <c r="R153" s="26"/>
      <c r="S153" s="26"/>
      <c r="T153" s="26"/>
      <c r="U153" s="26"/>
      <c r="V153" s="26"/>
      <c r="W153" s="26"/>
      <c r="X153" s="26"/>
      <c r="Y153" s="26"/>
      <c r="Z153" s="26"/>
      <c r="AA153" s="26"/>
      <c r="AB153" s="26"/>
    </row>
    <row r="154" ht="15" customHeight="1" spans="2:28">
      <c r="B154" s="1006"/>
      <c r="C154" s="1007"/>
      <c r="D154" s="1008"/>
      <c r="E154" s="1149"/>
      <c r="F154" s="1150"/>
      <c r="G154" s="1150"/>
      <c r="H154" s="1150"/>
      <c r="I154" s="1150"/>
      <c r="J154" s="1150"/>
      <c r="K154" s="1150"/>
      <c r="L154" s="1150"/>
      <c r="M154" s="1150"/>
      <c r="N154" s="1150"/>
      <c r="R154" s="26"/>
      <c r="S154" s="26"/>
      <c r="T154" s="26"/>
      <c r="U154" s="26"/>
      <c r="V154" s="26"/>
      <c r="W154" s="26"/>
      <c r="X154" s="26"/>
      <c r="Y154" s="26"/>
      <c r="Z154" s="26"/>
      <c r="AA154" s="26"/>
      <c r="AB154" s="26"/>
    </row>
    <row r="155" ht="12" spans="2:28">
      <c r="B155" s="1058" t="s">
        <v>363</v>
      </c>
      <c r="C155" s="1013"/>
      <c r="D155" s="1014" t="str">
        <f>$D$64</f>
        <v>TOTAL BRAND 01</v>
      </c>
      <c r="E155" s="1015" t="s">
        <v>293</v>
      </c>
      <c r="F155" s="1015" t="s">
        <v>294</v>
      </c>
      <c r="G155" s="1015" t="s">
        <v>295</v>
      </c>
      <c r="H155" s="1015" t="s">
        <v>296</v>
      </c>
      <c r="I155" s="1015" t="s">
        <v>297</v>
      </c>
      <c r="J155" s="1015" t="s">
        <v>298</v>
      </c>
      <c r="K155" s="1015" t="s">
        <v>299</v>
      </c>
      <c r="L155" s="1015" t="s">
        <v>300</v>
      </c>
      <c r="M155" s="1015" t="s">
        <v>301</v>
      </c>
      <c r="N155" s="1015"/>
      <c r="R155" s="26"/>
      <c r="S155" s="26"/>
      <c r="T155" s="26"/>
      <c r="U155" s="26"/>
      <c r="V155" s="26"/>
      <c r="W155" s="26"/>
      <c r="X155" s="26"/>
      <c r="Y155" s="26"/>
      <c r="Z155" s="26"/>
      <c r="AA155" s="26"/>
      <c r="AB155" s="26"/>
    </row>
    <row r="156" ht="12" spans="2:28">
      <c r="B156" s="1021" t="s">
        <v>311</v>
      </c>
      <c r="C156" s="1018" t="s">
        <v>349</v>
      </c>
      <c r="D156" s="1020">
        <f>$E$12</f>
        <v>273056.248179254</v>
      </c>
      <c r="E156" s="38"/>
      <c r="F156" s="38"/>
      <c r="G156" s="38"/>
      <c r="H156" s="38"/>
      <c r="I156" s="378"/>
      <c r="J156" s="378"/>
      <c r="K156" s="378"/>
      <c r="L156" s="378"/>
      <c r="M156" s="378"/>
      <c r="N156" s="378"/>
      <c r="R156" s="26"/>
      <c r="S156" s="26"/>
      <c r="T156" s="26"/>
      <c r="U156" s="26"/>
      <c r="V156" s="26"/>
      <c r="W156" s="26"/>
      <c r="X156" s="26"/>
      <c r="Y156" s="26"/>
      <c r="Z156" s="26"/>
      <c r="AA156" s="26"/>
      <c r="AB156" s="26"/>
    </row>
    <row r="157" spans="2:28">
      <c r="B157" s="1021" t="s">
        <v>364</v>
      </c>
      <c r="C157" s="1018" t="s">
        <v>349</v>
      </c>
      <c r="D157" s="1024"/>
      <c r="E157" s="1085">
        <v>4.49</v>
      </c>
      <c r="F157" s="1085">
        <v>6.99</v>
      </c>
      <c r="G157" s="1085">
        <v>5.49</v>
      </c>
      <c r="H157" s="1085">
        <v>6.99</v>
      </c>
      <c r="I157" s="1085">
        <v>5.99</v>
      </c>
      <c r="J157" s="1085">
        <v>5.99</v>
      </c>
      <c r="K157" s="1085">
        <v>2.45</v>
      </c>
      <c r="L157" s="1085">
        <v>2.99</v>
      </c>
      <c r="M157" s="1085">
        <v>1.99</v>
      </c>
      <c r="N157" s="1085"/>
      <c r="R157" s="26"/>
      <c r="S157" s="26"/>
      <c r="T157" s="26"/>
      <c r="U157" s="26"/>
      <c r="V157" s="26"/>
      <c r="W157" s="26"/>
      <c r="X157" s="26"/>
      <c r="Y157" s="26"/>
      <c r="Z157" s="26"/>
      <c r="AA157" s="26"/>
      <c r="AB157" s="26"/>
    </row>
    <row r="158" spans="2:28">
      <c r="B158" s="1151" t="s">
        <v>365</v>
      </c>
      <c r="C158" s="1018" t="s">
        <v>349</v>
      </c>
      <c r="D158" s="1024"/>
      <c r="E158" s="1131">
        <v>0.82</v>
      </c>
      <c r="F158" s="1131">
        <v>0.86</v>
      </c>
      <c r="G158" s="1131">
        <v>0.83</v>
      </c>
      <c r="H158" s="1131">
        <v>0.84</v>
      </c>
      <c r="I158" s="1131">
        <v>0.83</v>
      </c>
      <c r="J158" s="1131">
        <v>0.83</v>
      </c>
      <c r="K158" s="1131">
        <v>0.82</v>
      </c>
      <c r="L158" s="1131">
        <v>0.86</v>
      </c>
      <c r="M158" s="1131">
        <v>0.83</v>
      </c>
      <c r="N158" s="1131"/>
      <c r="R158" s="26"/>
      <c r="S158" s="26"/>
      <c r="T158" s="26"/>
      <c r="U158" s="26"/>
      <c r="V158" s="26"/>
      <c r="W158" s="26"/>
      <c r="X158" s="26"/>
      <c r="Y158" s="26"/>
      <c r="Z158" s="26"/>
      <c r="AA158" s="26"/>
      <c r="AB158" s="26"/>
    </row>
    <row r="159" spans="2:28">
      <c r="B159" s="1021" t="s">
        <v>366</v>
      </c>
      <c r="C159" s="1018" t="s">
        <v>349</v>
      </c>
      <c r="D159" s="1024"/>
      <c r="E159" s="1085">
        <f t="shared" ref="E159:M159" si="41">E157-E158</f>
        <v>3.67</v>
      </c>
      <c r="F159" s="1085">
        <f t="shared" si="41"/>
        <v>6.13</v>
      </c>
      <c r="G159" s="1085">
        <f t="shared" si="41"/>
        <v>4.66</v>
      </c>
      <c r="H159" s="1085">
        <f t="shared" si="41"/>
        <v>6.15</v>
      </c>
      <c r="I159" s="1085">
        <f t="shared" si="41"/>
        <v>5.16</v>
      </c>
      <c r="J159" s="1085">
        <f t="shared" si="41"/>
        <v>5.16</v>
      </c>
      <c r="K159" s="1085">
        <f t="shared" si="41"/>
        <v>1.63</v>
      </c>
      <c r="L159" s="1085">
        <f t="shared" si="41"/>
        <v>2.13</v>
      </c>
      <c r="M159" s="1085">
        <f t="shared" si="41"/>
        <v>1.16</v>
      </c>
      <c r="N159" s="1085"/>
      <c r="R159" s="26"/>
      <c r="S159" s="26"/>
      <c r="T159" s="26"/>
      <c r="U159" s="26"/>
      <c r="V159" s="26"/>
      <c r="W159" s="26"/>
      <c r="X159" s="26"/>
      <c r="Y159" s="26"/>
      <c r="Z159" s="26"/>
      <c r="AA159" s="26"/>
      <c r="AB159" s="26"/>
    </row>
    <row r="160" spans="2:28">
      <c r="B160" s="1021" t="s">
        <v>367</v>
      </c>
      <c r="C160" s="1018" t="s">
        <v>109</v>
      </c>
      <c r="D160" s="1086">
        <f>(D162-D164)/D162</f>
        <v>0.788009075090769</v>
      </c>
      <c r="E160" s="1087">
        <f t="shared" ref="E160:M160" si="42">E159/E157</f>
        <v>0.817371937639198</v>
      </c>
      <c r="F160" s="1087">
        <f t="shared" si="42"/>
        <v>0.876967095851216</v>
      </c>
      <c r="G160" s="1087">
        <f t="shared" si="42"/>
        <v>0.848816029143898</v>
      </c>
      <c r="H160" s="1087">
        <f t="shared" si="42"/>
        <v>0.879828326180258</v>
      </c>
      <c r="I160" s="1087">
        <f t="shared" si="42"/>
        <v>0.861435726210351</v>
      </c>
      <c r="J160" s="1087">
        <f t="shared" si="42"/>
        <v>0.861435726210351</v>
      </c>
      <c r="K160" s="1087">
        <f t="shared" si="42"/>
        <v>0.66530612244898</v>
      </c>
      <c r="L160" s="1087">
        <f t="shared" si="42"/>
        <v>0.712374581939799</v>
      </c>
      <c r="M160" s="1087">
        <f t="shared" si="42"/>
        <v>0.582914572864322</v>
      </c>
      <c r="N160" s="1087"/>
      <c r="R160" s="26"/>
      <c r="S160" s="26"/>
      <c r="T160" s="26"/>
      <c r="U160" s="26"/>
      <c r="V160" s="26"/>
      <c r="W160" s="26"/>
      <c r="X160" s="26"/>
      <c r="Y160" s="26"/>
      <c r="Z160" s="26"/>
      <c r="AA160" s="26"/>
      <c r="AB160" s="26"/>
    </row>
    <row r="161" spans="2:28">
      <c r="B161" s="1021" t="s">
        <v>368</v>
      </c>
      <c r="C161" s="1018" t="s">
        <v>369</v>
      </c>
      <c r="D161" s="1024"/>
      <c r="E161" s="1088">
        <v>10350.9235204173</v>
      </c>
      <c r="F161" s="1088">
        <v>10011.717753559</v>
      </c>
      <c r="G161" s="1088">
        <v>7572.4279361728</v>
      </c>
      <c r="H161" s="1088">
        <v>20575.5163110464</v>
      </c>
      <c r="I161" s="1088">
        <v>20575.5163110464</v>
      </c>
      <c r="J161" s="1088">
        <v>20575.5163110464</v>
      </c>
      <c r="K161" s="1088">
        <v>70129.2282285562</v>
      </c>
      <c r="L161" s="1088">
        <v>84184.4623246669</v>
      </c>
      <c r="M161" s="1088">
        <v>3191.37407319295</v>
      </c>
      <c r="N161" s="1088"/>
      <c r="R161" s="26"/>
      <c r="S161" s="26"/>
      <c r="T161" s="26"/>
      <c r="U161" s="26"/>
      <c r="V161" s="26"/>
      <c r="W161" s="26"/>
      <c r="X161" s="26"/>
      <c r="Y161" s="26"/>
      <c r="Z161" s="26"/>
      <c r="AA161" s="26"/>
      <c r="AB161" s="26"/>
    </row>
    <row r="162" spans="2:28">
      <c r="B162" s="1021" t="s">
        <v>320</v>
      </c>
      <c r="C162" s="1018" t="s">
        <v>349</v>
      </c>
      <c r="D162" s="1020">
        <f>SUM(E162:XN162)</f>
        <v>978226.713410561</v>
      </c>
      <c r="E162" s="475">
        <f t="shared" ref="E162:M162" si="43">E157*E161</f>
        <v>46475.6466066735</v>
      </c>
      <c r="F162" s="475">
        <f t="shared" si="43"/>
        <v>69981.9070973775</v>
      </c>
      <c r="G162" s="475">
        <f t="shared" si="43"/>
        <v>41572.6293695887</v>
      </c>
      <c r="H162" s="475">
        <f t="shared" si="43"/>
        <v>143822.859014214</v>
      </c>
      <c r="I162" s="475">
        <f t="shared" si="43"/>
        <v>123247.342703168</v>
      </c>
      <c r="J162" s="475">
        <f t="shared" si="43"/>
        <v>123247.342703168</v>
      </c>
      <c r="K162" s="475">
        <f t="shared" si="43"/>
        <v>171816.609159963</v>
      </c>
      <c r="L162" s="475">
        <f t="shared" si="43"/>
        <v>251711.542350754</v>
      </c>
      <c r="M162" s="475">
        <f t="shared" si="43"/>
        <v>6350.83440565397</v>
      </c>
      <c r="N162" s="475"/>
      <c r="R162" s="26"/>
      <c r="S162" s="26"/>
      <c r="T162" s="26"/>
      <c r="U162" s="26"/>
      <c r="V162" s="26"/>
      <c r="W162" s="26"/>
      <c r="X162" s="26"/>
      <c r="Y162" s="26"/>
      <c r="Z162" s="26"/>
      <c r="AA162" s="26"/>
      <c r="AB162" s="26"/>
    </row>
    <row r="163" spans="2:28">
      <c r="B163" s="1021" t="s">
        <v>370</v>
      </c>
      <c r="C163" s="1018" t="s">
        <v>109</v>
      </c>
      <c r="D163" s="1089"/>
      <c r="E163" s="1087">
        <f>E162/$D162</f>
        <v>0.0475100975771122</v>
      </c>
      <c r="F163" s="1087">
        <f>F162/$D162</f>
        <v>0.0715395584050117</v>
      </c>
      <c r="G163" s="1087">
        <f>G162/$D162</f>
        <v>0.0424979494013682</v>
      </c>
      <c r="H163" s="1087">
        <f>H162/$D162</f>
        <v>0.147024055919287</v>
      </c>
      <c r="I163" s="1087">
        <f>I162/$D162</f>
        <v>0.125990571524539</v>
      </c>
      <c r="J163" s="1087">
        <f>J162/$D162</f>
        <v>0.125990571524539</v>
      </c>
      <c r="K163" s="1087">
        <f>K162/$D162</f>
        <v>0.175640888563479</v>
      </c>
      <c r="L163" s="1087">
        <f>L162/$D162</f>
        <v>0.257314116349541</v>
      </c>
      <c r="M163" s="1087">
        <f>M162/$D162</f>
        <v>0.00649219073512311</v>
      </c>
      <c r="N163" s="1087"/>
      <c r="R163" s="26"/>
      <c r="S163" s="26"/>
      <c r="T163" s="26"/>
      <c r="U163" s="26"/>
      <c r="V163" s="26"/>
      <c r="W163" s="26"/>
      <c r="X163" s="26"/>
      <c r="Y163" s="26"/>
      <c r="Z163" s="26"/>
      <c r="AA163" s="26"/>
      <c r="AB163" s="26"/>
    </row>
    <row r="164" spans="2:28">
      <c r="B164" s="1021" t="s">
        <v>371</v>
      </c>
      <c r="C164" s="1018" t="s">
        <v>349</v>
      </c>
      <c r="D164" s="1020">
        <f>SUM(E164:XN164)</f>
        <v>207375.185746822</v>
      </c>
      <c r="E164" s="475">
        <f t="shared" ref="E164:M164" si="44">E158*E161</f>
        <v>8487.75728674215</v>
      </c>
      <c r="F164" s="475">
        <f t="shared" si="44"/>
        <v>8610.07726806075</v>
      </c>
      <c r="G164" s="475">
        <f t="shared" si="44"/>
        <v>6285.11518702342</v>
      </c>
      <c r="H164" s="475">
        <f t="shared" si="44"/>
        <v>17283.433701279</v>
      </c>
      <c r="I164" s="475">
        <f t="shared" si="44"/>
        <v>17077.6785381685</v>
      </c>
      <c r="J164" s="475">
        <f t="shared" si="44"/>
        <v>17077.6785381685</v>
      </c>
      <c r="K164" s="475">
        <f t="shared" si="44"/>
        <v>57505.9671474161</v>
      </c>
      <c r="L164" s="475">
        <f t="shared" si="44"/>
        <v>72398.6375992135</v>
      </c>
      <c r="M164" s="475">
        <f t="shared" si="44"/>
        <v>2648.84048075015</v>
      </c>
      <c r="N164" s="475"/>
      <c r="R164" s="26"/>
      <c r="S164" s="26"/>
      <c r="T164" s="26"/>
      <c r="U164" s="26"/>
      <c r="V164" s="26"/>
      <c r="W164" s="26"/>
      <c r="X164" s="26"/>
      <c r="Y164" s="26"/>
      <c r="Z164" s="26"/>
      <c r="AA164" s="26"/>
      <c r="AB164" s="26"/>
    </row>
    <row r="165" spans="2:28">
      <c r="B165" s="1021" t="s">
        <v>322</v>
      </c>
      <c r="C165" s="1018" t="s">
        <v>349</v>
      </c>
      <c r="D165" s="1020">
        <f>SUM(E165:XN165)</f>
        <v>770851.527663738</v>
      </c>
      <c r="E165" s="475">
        <f t="shared" ref="E165:M165" si="45">E162-E164</f>
        <v>37987.8893199314</v>
      </c>
      <c r="F165" s="475">
        <f t="shared" si="45"/>
        <v>61371.8298293167</v>
      </c>
      <c r="G165" s="475">
        <f t="shared" si="45"/>
        <v>35287.5141825653</v>
      </c>
      <c r="H165" s="475">
        <f t="shared" si="45"/>
        <v>126539.425312935</v>
      </c>
      <c r="I165" s="475">
        <f t="shared" si="45"/>
        <v>106169.664164999</v>
      </c>
      <c r="J165" s="475">
        <f t="shared" si="45"/>
        <v>106169.664164999</v>
      </c>
      <c r="K165" s="475">
        <f t="shared" si="45"/>
        <v>114310.642012547</v>
      </c>
      <c r="L165" s="475">
        <f t="shared" si="45"/>
        <v>179312.904751541</v>
      </c>
      <c r="M165" s="475">
        <f t="shared" si="45"/>
        <v>3701.99392490382</v>
      </c>
      <c r="N165" s="475"/>
      <c r="R165" s="26"/>
      <c r="S165" s="26"/>
      <c r="T165" s="26"/>
      <c r="U165" s="26"/>
      <c r="V165" s="26"/>
      <c r="W165" s="26"/>
      <c r="X165" s="26"/>
      <c r="Y165" s="26"/>
      <c r="Z165" s="26"/>
      <c r="AA165" s="26"/>
      <c r="AB165" s="26"/>
    </row>
    <row r="166" ht="12" spans="2:28">
      <c r="B166" s="1090"/>
      <c r="C166" s="1091" t="s">
        <v>109</v>
      </c>
      <c r="D166" s="1092"/>
      <c r="E166" s="1093">
        <f>E165/$D165</f>
        <v>0.0492804229564976</v>
      </c>
      <c r="F166" s="1093">
        <f>F165/$D165</f>
        <v>0.0796156297637752</v>
      </c>
      <c r="G166" s="1093">
        <f>G165/$D165</f>
        <v>0.045777316274527</v>
      </c>
      <c r="H166" s="1093">
        <f>H165/$D165</f>
        <v>0.164155379825795</v>
      </c>
      <c r="I166" s="1093">
        <f>I165/$D165</f>
        <v>0.137730367463594</v>
      </c>
      <c r="J166" s="1093">
        <f>J165/$D165</f>
        <v>0.137730367463594</v>
      </c>
      <c r="K166" s="1093">
        <f>K165/$D165</f>
        <v>0.148291386746024</v>
      </c>
      <c r="L166" s="1093">
        <f>L165/$D165</f>
        <v>0.232616656147772</v>
      </c>
      <c r="M166" s="1093">
        <f>M165/$D165</f>
        <v>0.00480247335842177</v>
      </c>
      <c r="N166" s="1093"/>
      <c r="R166" s="26"/>
      <c r="S166" s="26"/>
      <c r="T166" s="26"/>
      <c r="U166" s="26"/>
      <c r="V166" s="26"/>
      <c r="W166" s="26"/>
      <c r="X166" s="26"/>
      <c r="Y166" s="26"/>
      <c r="Z166" s="26"/>
      <c r="AA166" s="26"/>
      <c r="AB166" s="26"/>
    </row>
    <row r="167" ht="12" spans="2:28">
      <c r="B167" s="26"/>
      <c r="C167" s="26"/>
      <c r="E167" s="26"/>
      <c r="F167" s="26"/>
      <c r="G167" s="26"/>
      <c r="H167" s="26"/>
      <c r="I167" s="26"/>
      <c r="L167" s="379"/>
      <c r="M167" s="1005"/>
      <c r="R167" s="26"/>
      <c r="S167" s="26"/>
      <c r="T167" s="26"/>
      <c r="U167" s="26"/>
      <c r="V167" s="26"/>
      <c r="W167" s="26"/>
      <c r="X167" s="26"/>
      <c r="Y167" s="26"/>
      <c r="Z167" s="26"/>
      <c r="AA167" s="26"/>
      <c r="AB167" s="26"/>
    </row>
    <row r="168" spans="1:28">
      <c r="A168" s="26"/>
      <c r="B168" s="1132" t="s">
        <v>311</v>
      </c>
      <c r="C168" s="1115" t="s">
        <v>349</v>
      </c>
      <c r="D168" s="1133">
        <f>$E$12</f>
        <v>273056.248179254</v>
      </c>
      <c r="E168" s="1098"/>
      <c r="F168" s="1098"/>
      <c r="G168" s="1098"/>
      <c r="H168" s="1098"/>
      <c r="I168" s="1136"/>
      <c r="J168" s="1136"/>
      <c r="K168" s="1136"/>
      <c r="L168" s="1136"/>
      <c r="M168" s="1136"/>
      <c r="N168" s="1136"/>
      <c r="R168" s="26"/>
      <c r="S168" s="26"/>
      <c r="T168" s="26"/>
      <c r="U168" s="26"/>
      <c r="V168" s="26"/>
      <c r="W168" s="26"/>
      <c r="X168" s="26"/>
      <c r="Y168" s="26"/>
      <c r="Z168" s="26"/>
      <c r="AA168" s="26"/>
      <c r="AB168" s="26"/>
    </row>
    <row r="169" spans="1:28">
      <c r="A169" s="26"/>
      <c r="B169" s="1117" t="s">
        <v>364</v>
      </c>
      <c r="C169" s="59" t="s">
        <v>349</v>
      </c>
      <c r="D169" s="1118"/>
      <c r="E169" s="1085">
        <f t="shared" ref="E169:M169" si="46">E157</f>
        <v>4.49</v>
      </c>
      <c r="F169" s="1085">
        <f t="shared" si="46"/>
        <v>6.99</v>
      </c>
      <c r="G169" s="1085">
        <f t="shared" si="46"/>
        <v>5.49</v>
      </c>
      <c r="H169" s="1085">
        <f t="shared" si="46"/>
        <v>6.99</v>
      </c>
      <c r="I169" s="1085">
        <f t="shared" si="46"/>
        <v>5.99</v>
      </c>
      <c r="J169" s="1085">
        <f t="shared" si="46"/>
        <v>5.99</v>
      </c>
      <c r="K169" s="1085">
        <f t="shared" si="46"/>
        <v>2.45</v>
      </c>
      <c r="L169" s="1085">
        <f t="shared" si="46"/>
        <v>2.99</v>
      </c>
      <c r="M169" s="1085">
        <f t="shared" si="46"/>
        <v>1.99</v>
      </c>
      <c r="N169" s="1085"/>
      <c r="R169" s="26"/>
      <c r="S169" s="26"/>
      <c r="T169" s="26"/>
      <c r="U169" s="26"/>
      <c r="V169" s="26"/>
      <c r="W169" s="26"/>
      <c r="X169" s="26"/>
      <c r="Y169" s="26"/>
      <c r="Z169" s="26"/>
      <c r="AA169" s="26"/>
      <c r="AB169" s="26"/>
    </row>
    <row r="170" spans="1:28">
      <c r="A170" s="1152" t="s">
        <v>372</v>
      </c>
      <c r="B170" s="1153" t="s">
        <v>365</v>
      </c>
      <c r="C170" s="59" t="s">
        <v>349</v>
      </c>
      <c r="D170" s="1118"/>
      <c r="E170" s="1135">
        <f t="shared" ref="E170:M170" si="47">E158</f>
        <v>0.82</v>
      </c>
      <c r="F170" s="1135">
        <f t="shared" si="47"/>
        <v>0.86</v>
      </c>
      <c r="G170" s="1135">
        <f t="shared" si="47"/>
        <v>0.83</v>
      </c>
      <c r="H170" s="1135">
        <f t="shared" si="47"/>
        <v>0.84</v>
      </c>
      <c r="I170" s="1135">
        <f t="shared" si="47"/>
        <v>0.83</v>
      </c>
      <c r="J170" s="1135">
        <f t="shared" si="47"/>
        <v>0.83</v>
      </c>
      <c r="K170" s="1135">
        <f t="shared" si="47"/>
        <v>0.82</v>
      </c>
      <c r="L170" s="1135">
        <f t="shared" si="47"/>
        <v>0.86</v>
      </c>
      <c r="M170" s="1135">
        <f t="shared" si="47"/>
        <v>0.83</v>
      </c>
      <c r="N170" s="1142"/>
      <c r="O170" s="1143"/>
      <c r="P170" s="1143"/>
      <c r="R170" s="26"/>
      <c r="S170" s="26"/>
      <c r="T170" s="26"/>
      <c r="U170" s="26"/>
      <c r="V170" s="26"/>
      <c r="W170" s="26"/>
      <c r="X170" s="26"/>
      <c r="Y170" s="26"/>
      <c r="Z170" s="26"/>
      <c r="AA170" s="26"/>
      <c r="AB170" s="26"/>
    </row>
    <row r="171" spans="1:28">
      <c r="A171" s="26"/>
      <c r="B171" s="1117" t="s">
        <v>366</v>
      </c>
      <c r="C171" s="59" t="s">
        <v>349</v>
      </c>
      <c r="D171" s="1118"/>
      <c r="E171" s="1085">
        <f t="shared" ref="E171:M171" si="48">E169-E170</f>
        <v>3.67</v>
      </c>
      <c r="F171" s="1085">
        <f t="shared" si="48"/>
        <v>6.13</v>
      </c>
      <c r="G171" s="1085">
        <f t="shared" si="48"/>
        <v>4.66</v>
      </c>
      <c r="H171" s="1085">
        <f t="shared" si="48"/>
        <v>6.15</v>
      </c>
      <c r="I171" s="1085">
        <f t="shared" si="48"/>
        <v>5.16</v>
      </c>
      <c r="J171" s="1085">
        <f t="shared" si="48"/>
        <v>5.16</v>
      </c>
      <c r="K171" s="1085">
        <f t="shared" si="48"/>
        <v>1.63</v>
      </c>
      <c r="L171" s="1085">
        <f t="shared" si="48"/>
        <v>2.13</v>
      </c>
      <c r="M171" s="1085">
        <f t="shared" si="48"/>
        <v>1.16</v>
      </c>
      <c r="N171" s="1085"/>
      <c r="R171" s="26"/>
      <c r="S171" s="26"/>
      <c r="T171" s="26"/>
      <c r="U171" s="26"/>
      <c r="V171" s="26"/>
      <c r="W171" s="26"/>
      <c r="X171" s="26"/>
      <c r="Y171" s="26"/>
      <c r="Z171" s="26"/>
      <c r="AA171" s="26"/>
      <c r="AB171" s="26"/>
    </row>
    <row r="172" spans="1:28">
      <c r="A172" s="26"/>
      <c r="B172" s="1117" t="s">
        <v>367</v>
      </c>
      <c r="C172" s="59" t="s">
        <v>109</v>
      </c>
      <c r="D172" s="1119">
        <f>(D174-D176)/D174</f>
        <v>0.788009075090769</v>
      </c>
      <c r="E172" s="1087">
        <f t="shared" ref="E172:M172" si="49">E171/E169</f>
        <v>0.817371937639198</v>
      </c>
      <c r="F172" s="1087">
        <f t="shared" si="49"/>
        <v>0.876967095851216</v>
      </c>
      <c r="G172" s="1087">
        <f t="shared" si="49"/>
        <v>0.848816029143898</v>
      </c>
      <c r="H172" s="1087">
        <f t="shared" si="49"/>
        <v>0.879828326180258</v>
      </c>
      <c r="I172" s="1087">
        <f t="shared" si="49"/>
        <v>0.861435726210351</v>
      </c>
      <c r="J172" s="1087">
        <f t="shared" si="49"/>
        <v>0.861435726210351</v>
      </c>
      <c r="K172" s="1087">
        <f t="shared" si="49"/>
        <v>0.66530612244898</v>
      </c>
      <c r="L172" s="1087">
        <f t="shared" si="49"/>
        <v>0.712374581939799</v>
      </c>
      <c r="M172" s="1087">
        <f t="shared" si="49"/>
        <v>0.582914572864322</v>
      </c>
      <c r="N172" s="1087"/>
      <c r="R172" s="26"/>
      <c r="S172" s="26"/>
      <c r="T172" s="26"/>
      <c r="U172" s="26"/>
      <c r="V172" s="26"/>
      <c r="W172" s="26"/>
      <c r="X172" s="26"/>
      <c r="Y172" s="26"/>
      <c r="Z172" s="26"/>
      <c r="AA172" s="26"/>
      <c r="AB172" s="26"/>
    </row>
    <row r="173" spans="1:28">
      <c r="A173" s="26"/>
      <c r="B173" s="1117" t="s">
        <v>368</v>
      </c>
      <c r="C173" s="59" t="s">
        <v>369</v>
      </c>
      <c r="D173" s="1118"/>
      <c r="E173" s="1088">
        <f>161:161</f>
        <v>10350.9235204173</v>
      </c>
      <c r="F173" s="1088">
        <f>161:161</f>
        <v>10011.717753559</v>
      </c>
      <c r="G173" s="1088">
        <f>161:161</f>
        <v>7572.4279361728</v>
      </c>
      <c r="H173" s="1088">
        <f>161:161</f>
        <v>20575.5163110464</v>
      </c>
      <c r="I173" s="1088">
        <f>161:161</f>
        <v>20575.5163110464</v>
      </c>
      <c r="J173" s="1088">
        <f>161:161</f>
        <v>20575.5163110464</v>
      </c>
      <c r="K173" s="1088">
        <f>161:161</f>
        <v>70129.2282285562</v>
      </c>
      <c r="L173" s="1088">
        <f>161:161</f>
        <v>84184.4623246669</v>
      </c>
      <c r="M173" s="1088">
        <f>161:161</f>
        <v>3191.37407319295</v>
      </c>
      <c r="N173" s="1088"/>
      <c r="R173" s="26"/>
      <c r="S173" s="26"/>
      <c r="T173" s="26"/>
      <c r="U173" s="26"/>
      <c r="V173" s="26"/>
      <c r="W173" s="26"/>
      <c r="X173" s="26"/>
      <c r="Y173" s="26"/>
      <c r="Z173" s="26"/>
      <c r="AA173" s="26"/>
      <c r="AB173" s="26"/>
    </row>
    <row r="174" spans="1:28">
      <c r="A174" s="26"/>
      <c r="B174" s="1117" t="s">
        <v>320</v>
      </c>
      <c r="C174" s="59" t="s">
        <v>349</v>
      </c>
      <c r="D174" s="1120">
        <f>SUM(E174:XN174)</f>
        <v>978226.713410561</v>
      </c>
      <c r="E174" s="475">
        <f t="shared" ref="E174:M174" si="50">E169*E173</f>
        <v>46475.6466066735</v>
      </c>
      <c r="F174" s="475">
        <f t="shared" si="50"/>
        <v>69981.9070973775</v>
      </c>
      <c r="G174" s="475">
        <f t="shared" si="50"/>
        <v>41572.6293695887</v>
      </c>
      <c r="H174" s="475">
        <f t="shared" si="50"/>
        <v>143822.859014214</v>
      </c>
      <c r="I174" s="475">
        <f t="shared" si="50"/>
        <v>123247.342703168</v>
      </c>
      <c r="J174" s="475">
        <f t="shared" si="50"/>
        <v>123247.342703168</v>
      </c>
      <c r="K174" s="475">
        <f t="shared" si="50"/>
        <v>171816.609159963</v>
      </c>
      <c r="L174" s="475">
        <f t="shared" si="50"/>
        <v>251711.542350754</v>
      </c>
      <c r="M174" s="475">
        <f t="shared" si="50"/>
        <v>6350.83440565397</v>
      </c>
      <c r="N174" s="475"/>
      <c r="R174" s="26"/>
      <c r="S174" s="26"/>
      <c r="T174" s="26"/>
      <c r="U174" s="26"/>
      <c r="V174" s="26"/>
      <c r="W174" s="26"/>
      <c r="X174" s="26"/>
      <c r="Y174" s="26"/>
      <c r="Z174" s="26"/>
      <c r="AA174" s="26"/>
      <c r="AB174" s="26"/>
    </row>
    <row r="175" spans="1:28">
      <c r="A175" s="26"/>
      <c r="B175" s="1117" t="s">
        <v>370</v>
      </c>
      <c r="C175" s="59" t="s">
        <v>109</v>
      </c>
      <c r="D175" s="1121"/>
      <c r="E175" s="1087">
        <f>E174/$D174</f>
        <v>0.0475100975771122</v>
      </c>
      <c r="F175" s="1087">
        <f>F174/$D174</f>
        <v>0.0715395584050117</v>
      </c>
      <c r="G175" s="1087">
        <f>G174/$D174</f>
        <v>0.0424979494013682</v>
      </c>
      <c r="H175" s="1087">
        <f>H174/$D174</f>
        <v>0.147024055919287</v>
      </c>
      <c r="I175" s="1087">
        <f>I174/$D174</f>
        <v>0.125990571524539</v>
      </c>
      <c r="J175" s="1087">
        <f>J174/$D174</f>
        <v>0.125990571524539</v>
      </c>
      <c r="K175" s="1087">
        <f>K174/$D174</f>
        <v>0.175640888563479</v>
      </c>
      <c r="L175" s="1087">
        <f>L174/$D174</f>
        <v>0.257314116349541</v>
      </c>
      <c r="M175" s="1087">
        <f>M174/$D174</f>
        <v>0.00649219073512311</v>
      </c>
      <c r="N175" s="1087"/>
      <c r="R175" s="26"/>
      <c r="S175" s="26"/>
      <c r="T175" s="26"/>
      <c r="U175" s="26"/>
      <c r="V175" s="26"/>
      <c r="W175" s="26"/>
      <c r="X175" s="26"/>
      <c r="Y175" s="26"/>
      <c r="Z175" s="26"/>
      <c r="AA175" s="26"/>
      <c r="AB175" s="26"/>
    </row>
    <row r="176" spans="1:28">
      <c r="A176" s="26"/>
      <c r="B176" s="1117" t="s">
        <v>371</v>
      </c>
      <c r="C176" s="59" t="s">
        <v>349</v>
      </c>
      <c r="D176" s="1120">
        <f>SUM(E176:XN176)</f>
        <v>207375.185746822</v>
      </c>
      <c r="E176" s="475">
        <f t="shared" ref="E176:M176" si="51">E170*E173</f>
        <v>8487.75728674215</v>
      </c>
      <c r="F176" s="475">
        <f t="shared" si="51"/>
        <v>8610.07726806075</v>
      </c>
      <c r="G176" s="475">
        <f t="shared" si="51"/>
        <v>6285.11518702342</v>
      </c>
      <c r="H176" s="475">
        <f t="shared" si="51"/>
        <v>17283.433701279</v>
      </c>
      <c r="I176" s="475">
        <f t="shared" si="51"/>
        <v>17077.6785381685</v>
      </c>
      <c r="J176" s="475">
        <f t="shared" si="51"/>
        <v>17077.6785381685</v>
      </c>
      <c r="K176" s="475">
        <f t="shared" si="51"/>
        <v>57505.9671474161</v>
      </c>
      <c r="L176" s="475">
        <f t="shared" si="51"/>
        <v>72398.6375992135</v>
      </c>
      <c r="M176" s="475">
        <f t="shared" si="51"/>
        <v>2648.84048075015</v>
      </c>
      <c r="N176" s="475"/>
      <c r="R176" s="26"/>
      <c r="S176" s="26"/>
      <c r="T176" s="26"/>
      <c r="U176" s="26"/>
      <c r="V176" s="26"/>
      <c r="W176" s="26"/>
      <c r="X176" s="26"/>
      <c r="Y176" s="26"/>
      <c r="Z176" s="26"/>
      <c r="AA176" s="26"/>
      <c r="AB176" s="26"/>
    </row>
    <row r="177" spans="1:28">
      <c r="A177" s="26"/>
      <c r="B177" s="1117" t="s">
        <v>322</v>
      </c>
      <c r="C177" s="59" t="s">
        <v>349</v>
      </c>
      <c r="D177" s="1120">
        <f>SUM(E177:XN177)</f>
        <v>770851.527663738</v>
      </c>
      <c r="E177" s="475">
        <f t="shared" ref="E177:M177" si="52">E174-E176</f>
        <v>37987.8893199314</v>
      </c>
      <c r="F177" s="475">
        <f t="shared" si="52"/>
        <v>61371.8298293167</v>
      </c>
      <c r="G177" s="475">
        <f t="shared" si="52"/>
        <v>35287.5141825653</v>
      </c>
      <c r="H177" s="475">
        <f t="shared" si="52"/>
        <v>126539.425312935</v>
      </c>
      <c r="I177" s="475">
        <f t="shared" si="52"/>
        <v>106169.664164999</v>
      </c>
      <c r="J177" s="475">
        <f t="shared" si="52"/>
        <v>106169.664164999</v>
      </c>
      <c r="K177" s="475">
        <f t="shared" si="52"/>
        <v>114310.642012547</v>
      </c>
      <c r="L177" s="475">
        <f t="shared" si="52"/>
        <v>179312.904751541</v>
      </c>
      <c r="M177" s="475">
        <f t="shared" si="52"/>
        <v>3701.99392490382</v>
      </c>
      <c r="N177" s="475"/>
      <c r="R177" s="26"/>
      <c r="S177" s="26"/>
      <c r="T177" s="26"/>
      <c r="U177" s="26"/>
      <c r="V177" s="26"/>
      <c r="W177" s="26"/>
      <c r="X177" s="26"/>
      <c r="Y177" s="26"/>
      <c r="Z177" s="26"/>
      <c r="AA177" s="26"/>
      <c r="AB177" s="26"/>
    </row>
    <row r="178" spans="1:28">
      <c r="A178" s="26"/>
      <c r="B178" s="1117"/>
      <c r="C178" s="59" t="s">
        <v>109</v>
      </c>
      <c r="D178" s="1118"/>
      <c r="E178" s="1087">
        <f>E177/$D177</f>
        <v>0.0492804229564976</v>
      </c>
      <c r="F178" s="1087">
        <f>F177/$D177</f>
        <v>0.0796156297637752</v>
      </c>
      <c r="G178" s="1087">
        <f>G177/$D177</f>
        <v>0.045777316274527</v>
      </c>
      <c r="H178" s="1087">
        <f>H177/$D177</f>
        <v>0.164155379825795</v>
      </c>
      <c r="I178" s="1087">
        <f>I177/$D177</f>
        <v>0.137730367463594</v>
      </c>
      <c r="J178" s="1087">
        <f>J177/$D177</f>
        <v>0.137730367463594</v>
      </c>
      <c r="K178" s="1087">
        <f>K177/$D177</f>
        <v>0.148291386746024</v>
      </c>
      <c r="L178" s="1087">
        <f>L177/$D177</f>
        <v>0.232616656147772</v>
      </c>
      <c r="M178" s="1087">
        <f>M177/$D177</f>
        <v>0.00480247335842177</v>
      </c>
      <c r="N178" s="1087"/>
      <c r="R178" s="26"/>
      <c r="S178" s="26"/>
      <c r="T178" s="26"/>
      <c r="U178" s="26"/>
      <c r="V178" s="26"/>
      <c r="W178" s="26"/>
      <c r="X178" s="26"/>
      <c r="Y178" s="26"/>
      <c r="Z178" s="26"/>
      <c r="AA178" s="26"/>
      <c r="AB178" s="26"/>
    </row>
    <row r="179" spans="1:28">
      <c r="A179" s="26"/>
      <c r="B179" s="1122" t="s">
        <v>373</v>
      </c>
      <c r="C179" s="1123" t="s">
        <v>353</v>
      </c>
      <c r="D179" s="1124">
        <f>D168/D177*12</f>
        <v>4.25072126156622</v>
      </c>
      <c r="E179" s="378"/>
      <c r="F179" s="38"/>
      <c r="G179" s="38"/>
      <c r="H179" s="38"/>
      <c r="I179" s="378"/>
      <c r="J179" s="38"/>
      <c r="K179" s="378"/>
      <c r="L179" s="378"/>
      <c r="M179" s="1070"/>
      <c r="N179" s="378"/>
      <c r="R179" s="26"/>
      <c r="S179" s="26"/>
      <c r="T179" s="26"/>
      <c r="U179" s="26"/>
      <c r="V179" s="26"/>
      <c r="W179" s="26"/>
      <c r="X179" s="26"/>
      <c r="Y179" s="26"/>
      <c r="Z179" s="26"/>
      <c r="AA179" s="26"/>
      <c r="AB179" s="26"/>
    </row>
    <row r="180" ht="12" spans="1:28">
      <c r="A180" s="26"/>
      <c r="B180" s="1125" t="s">
        <v>374</v>
      </c>
      <c r="C180" s="1126" t="s">
        <v>355</v>
      </c>
      <c r="D180" s="1154">
        <f>D168/D172</f>
        <v>346514.090777193</v>
      </c>
      <c r="E180" s="1110"/>
      <c r="F180" s="1111"/>
      <c r="G180" s="1111"/>
      <c r="H180" s="1111"/>
      <c r="I180" s="1110"/>
      <c r="J180" s="1111"/>
      <c r="K180" s="1110"/>
      <c r="L180" s="1110"/>
      <c r="M180" s="1137"/>
      <c r="N180" s="1110"/>
      <c r="R180" s="26"/>
      <c r="S180" s="26"/>
      <c r="T180" s="26"/>
      <c r="U180" s="26"/>
      <c r="V180" s="26"/>
      <c r="W180" s="26"/>
      <c r="X180" s="26"/>
      <c r="Y180" s="26"/>
      <c r="Z180" s="26"/>
      <c r="AA180" s="26"/>
      <c r="AB180" s="26"/>
    </row>
    <row r="181" ht="12" spans="1:28">
      <c r="A181" s="26"/>
      <c r="B181" s="26"/>
      <c r="C181" s="26"/>
      <c r="D181" s="26"/>
      <c r="E181" s="1005"/>
      <c r="F181" s="26"/>
      <c r="G181" s="26"/>
      <c r="H181" s="26"/>
      <c r="J181" s="26"/>
      <c r="L181" s="379"/>
      <c r="M181" s="1005"/>
      <c r="R181" s="26"/>
      <c r="S181" s="26"/>
      <c r="T181" s="26"/>
      <c r="U181" s="26"/>
      <c r="V181" s="26"/>
      <c r="W181" s="26"/>
      <c r="X181" s="26"/>
      <c r="Y181" s="26"/>
      <c r="Z181" s="26"/>
      <c r="AA181" s="26"/>
      <c r="AB181" s="26"/>
    </row>
    <row r="182" spans="1:28">
      <c r="A182" s="26"/>
      <c r="B182" s="1132" t="s">
        <v>311</v>
      </c>
      <c r="C182" s="1115" t="s">
        <v>349</v>
      </c>
      <c r="D182" s="1133">
        <f>$E$12</f>
        <v>273056.248179254</v>
      </c>
      <c r="E182" s="1098"/>
      <c r="F182" s="1098"/>
      <c r="G182" s="1098"/>
      <c r="H182" s="1098"/>
      <c r="I182" s="1136"/>
      <c r="J182" s="1136"/>
      <c r="K182" s="1136"/>
      <c r="L182" s="1136"/>
      <c r="M182" s="1136"/>
      <c r="N182" s="1136"/>
      <c r="R182" s="26"/>
      <c r="S182" s="26"/>
      <c r="T182" s="26"/>
      <c r="U182" s="26"/>
      <c r="V182" s="26"/>
      <c r="W182" s="26"/>
      <c r="X182" s="26"/>
      <c r="Y182" s="26"/>
      <c r="Z182" s="26"/>
      <c r="AA182" s="26"/>
      <c r="AB182" s="26"/>
    </row>
    <row r="183" spans="1:28">
      <c r="A183" s="26"/>
      <c r="B183" s="1117" t="s">
        <v>364</v>
      </c>
      <c r="C183" s="59" t="s">
        <v>349</v>
      </c>
      <c r="D183" s="1118"/>
      <c r="E183" s="1085">
        <f t="shared" ref="E183:M183" si="53">E169</f>
        <v>4.49</v>
      </c>
      <c r="F183" s="1085">
        <f t="shared" si="53"/>
        <v>6.99</v>
      </c>
      <c r="G183" s="1085">
        <f t="shared" si="53"/>
        <v>5.49</v>
      </c>
      <c r="H183" s="1085">
        <f t="shared" si="53"/>
        <v>6.99</v>
      </c>
      <c r="I183" s="1085">
        <f t="shared" si="53"/>
        <v>5.99</v>
      </c>
      <c r="J183" s="1085">
        <f t="shared" si="53"/>
        <v>5.99</v>
      </c>
      <c r="K183" s="1085">
        <f t="shared" si="53"/>
        <v>2.45</v>
      </c>
      <c r="L183" s="1085">
        <f t="shared" si="53"/>
        <v>2.99</v>
      </c>
      <c r="M183" s="1085">
        <f t="shared" si="53"/>
        <v>1.99</v>
      </c>
      <c r="N183" s="1085"/>
      <c r="R183" s="26"/>
      <c r="S183" s="26"/>
      <c r="T183" s="26"/>
      <c r="U183" s="26"/>
      <c r="V183" s="26"/>
      <c r="W183" s="26"/>
      <c r="X183" s="26"/>
      <c r="Y183" s="26"/>
      <c r="Z183" s="26"/>
      <c r="AA183" s="26"/>
      <c r="AB183" s="26"/>
    </row>
    <row r="184" spans="1:28">
      <c r="A184" s="1152" t="s">
        <v>375</v>
      </c>
      <c r="B184" s="1153" t="s">
        <v>365</v>
      </c>
      <c r="C184" s="59" t="s">
        <v>349</v>
      </c>
      <c r="D184" s="1118"/>
      <c r="E184" s="1135">
        <f t="shared" ref="E184:M184" si="54">E170</f>
        <v>0.82</v>
      </c>
      <c r="F184" s="1135">
        <f t="shared" si="54"/>
        <v>0.86</v>
      </c>
      <c r="G184" s="1135">
        <f t="shared" si="54"/>
        <v>0.83</v>
      </c>
      <c r="H184" s="1135">
        <f t="shared" si="54"/>
        <v>0.84</v>
      </c>
      <c r="I184" s="1135">
        <f t="shared" si="54"/>
        <v>0.83</v>
      </c>
      <c r="J184" s="1135">
        <f t="shared" si="54"/>
        <v>0.83</v>
      </c>
      <c r="K184" s="1135">
        <f t="shared" si="54"/>
        <v>0.82</v>
      </c>
      <c r="L184" s="1135">
        <f t="shared" si="54"/>
        <v>0.86</v>
      </c>
      <c r="M184" s="1135">
        <f t="shared" si="54"/>
        <v>0.83</v>
      </c>
      <c r="N184" s="1142"/>
      <c r="O184" s="1143"/>
      <c r="P184" s="1143"/>
      <c r="R184" s="26"/>
      <c r="S184" s="26"/>
      <c r="T184" s="26"/>
      <c r="U184" s="26"/>
      <c r="V184" s="26"/>
      <c r="W184" s="26"/>
      <c r="X184" s="26"/>
      <c r="Y184" s="26"/>
      <c r="Z184" s="26"/>
      <c r="AA184" s="26"/>
      <c r="AB184" s="26"/>
    </row>
    <row r="185" spans="1:28">
      <c r="A185" s="26"/>
      <c r="B185" s="1117" t="s">
        <v>366</v>
      </c>
      <c r="C185" s="59" t="s">
        <v>349</v>
      </c>
      <c r="D185" s="1118"/>
      <c r="E185" s="1085">
        <f t="shared" ref="E185:M185" si="55">E183-E184</f>
        <v>3.67</v>
      </c>
      <c r="F185" s="1085">
        <f t="shared" si="55"/>
        <v>6.13</v>
      </c>
      <c r="G185" s="1085">
        <f t="shared" si="55"/>
        <v>4.66</v>
      </c>
      <c r="H185" s="1085">
        <f t="shared" si="55"/>
        <v>6.15</v>
      </c>
      <c r="I185" s="1085">
        <f t="shared" si="55"/>
        <v>5.16</v>
      </c>
      <c r="J185" s="1085">
        <f t="shared" si="55"/>
        <v>5.16</v>
      </c>
      <c r="K185" s="1085">
        <f t="shared" si="55"/>
        <v>1.63</v>
      </c>
      <c r="L185" s="1085">
        <f t="shared" si="55"/>
        <v>2.13</v>
      </c>
      <c r="M185" s="1085">
        <f t="shared" si="55"/>
        <v>1.16</v>
      </c>
      <c r="N185" s="1085"/>
      <c r="R185" s="26"/>
      <c r="S185" s="26"/>
      <c r="T185" s="26"/>
      <c r="U185" s="26"/>
      <c r="V185" s="26"/>
      <c r="W185" s="26"/>
      <c r="X185" s="26"/>
      <c r="Y185" s="26"/>
      <c r="Z185" s="26"/>
      <c r="AA185" s="26"/>
      <c r="AB185" s="26"/>
    </row>
    <row r="186" spans="1:28">
      <c r="A186" s="26"/>
      <c r="B186" s="1117" t="s">
        <v>367</v>
      </c>
      <c r="C186" s="59" t="s">
        <v>109</v>
      </c>
      <c r="D186" s="1119">
        <f>(D188-D190)/D188</f>
        <v>0.788009075090769</v>
      </c>
      <c r="E186" s="1087">
        <f t="shared" ref="E186:M186" si="56">E185/E183</f>
        <v>0.817371937639198</v>
      </c>
      <c r="F186" s="1087">
        <f t="shared" si="56"/>
        <v>0.876967095851216</v>
      </c>
      <c r="G186" s="1087">
        <f t="shared" si="56"/>
        <v>0.848816029143898</v>
      </c>
      <c r="H186" s="1087">
        <f t="shared" si="56"/>
        <v>0.879828326180258</v>
      </c>
      <c r="I186" s="1087">
        <f t="shared" si="56"/>
        <v>0.861435726210351</v>
      </c>
      <c r="J186" s="1087">
        <f t="shared" si="56"/>
        <v>0.861435726210351</v>
      </c>
      <c r="K186" s="1087">
        <f t="shared" si="56"/>
        <v>0.66530612244898</v>
      </c>
      <c r="L186" s="1087">
        <f t="shared" si="56"/>
        <v>0.712374581939799</v>
      </c>
      <c r="M186" s="1087">
        <f t="shared" si="56"/>
        <v>0.582914572864322</v>
      </c>
      <c r="N186" s="1087"/>
      <c r="R186" s="26"/>
      <c r="S186" s="26"/>
      <c r="T186" s="26"/>
      <c r="U186" s="26"/>
      <c r="V186" s="26"/>
      <c r="W186" s="26"/>
      <c r="X186" s="26"/>
      <c r="Y186" s="26"/>
      <c r="Z186" s="26"/>
      <c r="AA186" s="26"/>
      <c r="AB186" s="26"/>
    </row>
    <row r="187" spans="1:28">
      <c r="A187" s="1030"/>
      <c r="B187" s="1117" t="s">
        <v>368</v>
      </c>
      <c r="C187" s="59" t="s">
        <v>369</v>
      </c>
      <c r="D187" s="1118"/>
      <c r="E187" s="1088">
        <f t="shared" ref="E187:M187" si="57">E161</f>
        <v>10350.9235204173</v>
      </c>
      <c r="F187" s="1088">
        <f t="shared" si="57"/>
        <v>10011.717753559</v>
      </c>
      <c r="G187" s="1088">
        <f t="shared" si="57"/>
        <v>7572.4279361728</v>
      </c>
      <c r="H187" s="1088">
        <f t="shared" si="57"/>
        <v>20575.5163110464</v>
      </c>
      <c r="I187" s="1088">
        <f t="shared" si="57"/>
        <v>20575.5163110464</v>
      </c>
      <c r="J187" s="1088">
        <f t="shared" si="57"/>
        <v>20575.5163110464</v>
      </c>
      <c r="K187" s="1088">
        <f t="shared" si="57"/>
        <v>70129.2282285562</v>
      </c>
      <c r="L187" s="1088">
        <f t="shared" si="57"/>
        <v>84184.4623246669</v>
      </c>
      <c r="M187" s="1088">
        <f t="shared" si="57"/>
        <v>3191.37407319295</v>
      </c>
      <c r="N187" s="1088"/>
      <c r="R187" s="26"/>
      <c r="S187" s="26"/>
      <c r="T187" s="26"/>
      <c r="U187" s="26"/>
      <c r="V187" s="26"/>
      <c r="W187" s="26"/>
      <c r="X187" s="26"/>
      <c r="Y187" s="26"/>
      <c r="Z187" s="26"/>
      <c r="AA187" s="26"/>
      <c r="AB187" s="26"/>
    </row>
    <row r="188" spans="1:28">
      <c r="A188" s="1030"/>
      <c r="B188" s="1117" t="s">
        <v>320</v>
      </c>
      <c r="C188" s="59" t="s">
        <v>349</v>
      </c>
      <c r="D188" s="1120">
        <f>SUM(E188:XN188)</f>
        <v>978226.713410561</v>
      </c>
      <c r="E188" s="475">
        <f t="shared" ref="E188:M188" si="58">E183*E187</f>
        <v>46475.6466066735</v>
      </c>
      <c r="F188" s="475">
        <f t="shared" si="58"/>
        <v>69981.9070973775</v>
      </c>
      <c r="G188" s="475">
        <f t="shared" si="58"/>
        <v>41572.6293695887</v>
      </c>
      <c r="H188" s="475">
        <f t="shared" si="58"/>
        <v>143822.859014214</v>
      </c>
      <c r="I188" s="475">
        <f t="shared" si="58"/>
        <v>123247.342703168</v>
      </c>
      <c r="J188" s="475">
        <f t="shared" si="58"/>
        <v>123247.342703168</v>
      </c>
      <c r="K188" s="475">
        <f t="shared" si="58"/>
        <v>171816.609159963</v>
      </c>
      <c r="L188" s="475">
        <f t="shared" si="58"/>
        <v>251711.542350754</v>
      </c>
      <c r="M188" s="475">
        <f t="shared" si="58"/>
        <v>6350.83440565397</v>
      </c>
      <c r="N188" s="475"/>
      <c r="R188" s="26"/>
      <c r="S188" s="26"/>
      <c r="T188" s="26"/>
      <c r="U188" s="26"/>
      <c r="V188" s="26"/>
      <c r="W188" s="26"/>
      <c r="X188" s="26"/>
      <c r="Y188" s="26"/>
      <c r="Z188" s="26"/>
      <c r="AA188" s="26"/>
      <c r="AB188" s="26"/>
    </row>
    <row r="189" spans="1:28">
      <c r="A189" s="26"/>
      <c r="B189" s="1117" t="s">
        <v>370</v>
      </c>
      <c r="C189" s="59" t="s">
        <v>109</v>
      </c>
      <c r="D189" s="1121"/>
      <c r="E189" s="1087">
        <f>E188/$D188</f>
        <v>0.0475100975771122</v>
      </c>
      <c r="F189" s="1087">
        <f>F188/$D188</f>
        <v>0.0715395584050117</v>
      </c>
      <c r="G189" s="1087">
        <f>G188/$D188</f>
        <v>0.0424979494013682</v>
      </c>
      <c r="H189" s="1087">
        <f>H188/$D188</f>
        <v>0.147024055919287</v>
      </c>
      <c r="I189" s="1087">
        <f>I188/$D188</f>
        <v>0.125990571524539</v>
      </c>
      <c r="J189" s="1087">
        <f>J188/$D188</f>
        <v>0.125990571524539</v>
      </c>
      <c r="K189" s="1087">
        <f>K188/$D188</f>
        <v>0.175640888563479</v>
      </c>
      <c r="L189" s="1087">
        <f>L188/$D188</f>
        <v>0.257314116349541</v>
      </c>
      <c r="M189" s="1087">
        <f>M188/$D188</f>
        <v>0.00649219073512311</v>
      </c>
      <c r="N189" s="1087"/>
      <c r="R189" s="26"/>
      <c r="S189" s="26"/>
      <c r="T189" s="26"/>
      <c r="U189" s="26"/>
      <c r="V189" s="26"/>
      <c r="W189" s="26"/>
      <c r="X189" s="26"/>
      <c r="Y189" s="26"/>
      <c r="Z189" s="26"/>
      <c r="AA189" s="26"/>
      <c r="AB189" s="26"/>
    </row>
    <row r="190" spans="1:28">
      <c r="A190" s="26"/>
      <c r="B190" s="1117" t="s">
        <v>371</v>
      </c>
      <c r="C190" s="59" t="s">
        <v>349</v>
      </c>
      <c r="D190" s="1120">
        <f>SUM(E190:XN190)</f>
        <v>207375.185746822</v>
      </c>
      <c r="E190" s="475">
        <f t="shared" ref="E190:M190" si="59">E184*E187</f>
        <v>8487.75728674215</v>
      </c>
      <c r="F190" s="475">
        <f t="shared" si="59"/>
        <v>8610.07726806075</v>
      </c>
      <c r="G190" s="475">
        <f t="shared" si="59"/>
        <v>6285.11518702342</v>
      </c>
      <c r="H190" s="475">
        <f t="shared" si="59"/>
        <v>17283.433701279</v>
      </c>
      <c r="I190" s="475">
        <f t="shared" si="59"/>
        <v>17077.6785381685</v>
      </c>
      <c r="J190" s="475">
        <f t="shared" si="59"/>
        <v>17077.6785381685</v>
      </c>
      <c r="K190" s="475">
        <f t="shared" si="59"/>
        <v>57505.9671474161</v>
      </c>
      <c r="L190" s="475">
        <f t="shared" si="59"/>
        <v>72398.6375992135</v>
      </c>
      <c r="M190" s="475">
        <f t="shared" si="59"/>
        <v>2648.84048075015</v>
      </c>
      <c r="N190" s="475"/>
      <c r="R190" s="26"/>
      <c r="S190" s="26"/>
      <c r="T190" s="26"/>
      <c r="U190" s="26"/>
      <c r="V190" s="26"/>
      <c r="W190" s="26"/>
      <c r="X190" s="26"/>
      <c r="Y190" s="26"/>
      <c r="Z190" s="26"/>
      <c r="AA190" s="26"/>
      <c r="AB190" s="26"/>
    </row>
    <row r="191" spans="1:28">
      <c r="A191" s="26"/>
      <c r="B191" s="1117" t="s">
        <v>322</v>
      </c>
      <c r="C191" s="59" t="s">
        <v>349</v>
      </c>
      <c r="D191" s="1120">
        <f>SUM(E191:XN191)</f>
        <v>770851.527663738</v>
      </c>
      <c r="E191" s="475">
        <f t="shared" ref="E191:M191" si="60">E188-E190</f>
        <v>37987.8893199314</v>
      </c>
      <c r="F191" s="475">
        <f t="shared" si="60"/>
        <v>61371.8298293167</v>
      </c>
      <c r="G191" s="475">
        <f t="shared" si="60"/>
        <v>35287.5141825653</v>
      </c>
      <c r="H191" s="475">
        <f t="shared" si="60"/>
        <v>126539.425312935</v>
      </c>
      <c r="I191" s="475">
        <f t="shared" si="60"/>
        <v>106169.664164999</v>
      </c>
      <c r="J191" s="475">
        <f t="shared" si="60"/>
        <v>106169.664164999</v>
      </c>
      <c r="K191" s="475">
        <f t="shared" si="60"/>
        <v>114310.642012547</v>
      </c>
      <c r="L191" s="475">
        <f t="shared" si="60"/>
        <v>179312.904751541</v>
      </c>
      <c r="M191" s="475">
        <f t="shared" si="60"/>
        <v>3701.99392490382</v>
      </c>
      <c r="N191" s="475"/>
      <c r="R191" s="26"/>
      <c r="S191" s="26"/>
      <c r="T191" s="26"/>
      <c r="U191" s="26"/>
      <c r="V191" s="26"/>
      <c r="W191" s="26"/>
      <c r="X191" s="26"/>
      <c r="Y191" s="26"/>
      <c r="Z191" s="26"/>
      <c r="AA191" s="26"/>
      <c r="AB191" s="26"/>
    </row>
    <row r="192" spans="1:28">
      <c r="A192" s="26"/>
      <c r="B192" s="1117"/>
      <c r="C192" s="59" t="s">
        <v>109</v>
      </c>
      <c r="D192" s="1118"/>
      <c r="E192" s="1087">
        <f>E191/$D191</f>
        <v>0.0492804229564976</v>
      </c>
      <c r="F192" s="1087">
        <f>F191/$D191</f>
        <v>0.0796156297637752</v>
      </c>
      <c r="G192" s="1087">
        <f>G191/$D191</f>
        <v>0.045777316274527</v>
      </c>
      <c r="H192" s="1087">
        <f>H191/$D191</f>
        <v>0.164155379825795</v>
      </c>
      <c r="I192" s="1087">
        <f>I191/$D191</f>
        <v>0.137730367463594</v>
      </c>
      <c r="J192" s="1087">
        <f>J191/$D191</f>
        <v>0.137730367463594</v>
      </c>
      <c r="K192" s="1087">
        <f>K191/$D191</f>
        <v>0.148291386746024</v>
      </c>
      <c r="L192" s="1087">
        <f>L191/$D191</f>
        <v>0.232616656147772</v>
      </c>
      <c r="M192" s="1087">
        <f>M191/$D191</f>
        <v>0.00480247335842177</v>
      </c>
      <c r="N192" s="1087"/>
      <c r="R192" s="26"/>
      <c r="S192" s="26"/>
      <c r="T192" s="26"/>
      <c r="U192" s="26"/>
      <c r="V192" s="26"/>
      <c r="W192" s="26"/>
      <c r="X192" s="26"/>
      <c r="Y192" s="26"/>
      <c r="Z192" s="26"/>
      <c r="AA192" s="26"/>
      <c r="AB192" s="26"/>
    </row>
    <row r="193" spans="1:28">
      <c r="A193" s="26"/>
      <c r="B193" s="1122" t="s">
        <v>373</v>
      </c>
      <c r="C193" s="1123" t="s">
        <v>353</v>
      </c>
      <c r="D193" s="1155">
        <f>D182/D191*12</f>
        <v>4.25072126156622</v>
      </c>
      <c r="E193" s="378"/>
      <c r="F193" s="38"/>
      <c r="G193" s="38"/>
      <c r="H193" s="38"/>
      <c r="I193" s="378"/>
      <c r="J193" s="38"/>
      <c r="K193" s="38"/>
      <c r="L193" s="38"/>
      <c r="M193" s="1070"/>
      <c r="N193" s="38"/>
      <c r="R193" s="26"/>
      <c r="S193" s="26"/>
      <c r="T193" s="26"/>
      <c r="U193" s="26"/>
      <c r="V193" s="26"/>
      <c r="W193" s="26"/>
      <c r="X193" s="26"/>
      <c r="Y193" s="26"/>
      <c r="Z193" s="26"/>
      <c r="AA193" s="26"/>
      <c r="AB193" s="26"/>
    </row>
    <row r="194" ht="12" spans="1:28">
      <c r="A194" s="26"/>
      <c r="B194" s="1125" t="s">
        <v>374</v>
      </c>
      <c r="C194" s="1126" t="s">
        <v>355</v>
      </c>
      <c r="D194" s="1156">
        <f>D182/D186</f>
        <v>346514.090777193</v>
      </c>
      <c r="E194" s="1110"/>
      <c r="F194" s="1111"/>
      <c r="G194" s="1111"/>
      <c r="H194" s="1111"/>
      <c r="I194" s="1110"/>
      <c r="J194" s="1111"/>
      <c r="K194" s="1111"/>
      <c r="L194" s="1111"/>
      <c r="M194" s="1137"/>
      <c r="N194" s="1111"/>
      <c r="R194" s="26"/>
      <c r="S194" s="26"/>
      <c r="T194" s="26"/>
      <c r="U194" s="26"/>
      <c r="V194" s="26"/>
      <c r="W194" s="26"/>
      <c r="X194" s="26"/>
      <c r="Y194" s="26"/>
      <c r="Z194" s="26"/>
      <c r="AA194" s="26"/>
      <c r="AB194" s="26"/>
    </row>
    <row r="195" spans="1:28">
      <c r="A195" s="26"/>
      <c r="B195" s="1033"/>
      <c r="C195" s="1033"/>
      <c r="D195" s="1005"/>
      <c r="E195" s="26"/>
      <c r="F195" s="26"/>
      <c r="G195" s="26"/>
      <c r="I195" s="26"/>
      <c r="J195" s="26"/>
      <c r="K195" s="26"/>
      <c r="M195" s="26"/>
      <c r="N195" s="26"/>
      <c r="R195" s="26"/>
      <c r="S195" s="26"/>
      <c r="T195" s="26"/>
      <c r="U195" s="26"/>
      <c r="V195" s="26"/>
      <c r="W195" s="26"/>
      <c r="X195" s="26"/>
      <c r="Y195" s="26"/>
      <c r="Z195" s="26"/>
      <c r="AA195" s="26"/>
      <c r="AB195" s="26"/>
    </row>
    <row r="196" spans="2:28">
      <c r="B196" s="26"/>
      <c r="C196" s="26"/>
      <c r="D196" s="26"/>
      <c r="E196" s="26"/>
      <c r="F196" s="26"/>
      <c r="G196" s="26"/>
      <c r="H196" s="26"/>
      <c r="I196" s="26"/>
      <c r="J196" s="26"/>
      <c r="K196" s="26"/>
      <c r="M196" s="26"/>
      <c r="N196" s="26"/>
      <c r="R196" s="26"/>
      <c r="S196" s="26"/>
      <c r="T196" s="26"/>
      <c r="U196" s="26"/>
      <c r="V196" s="26"/>
      <c r="W196" s="26"/>
      <c r="X196" s="26"/>
      <c r="Y196" s="26"/>
      <c r="Z196" s="26"/>
      <c r="AA196" s="26"/>
      <c r="AB196" s="26"/>
    </row>
    <row r="197" spans="2:28">
      <c r="B197" s="26"/>
      <c r="C197" s="26"/>
      <c r="D197" s="26"/>
      <c r="E197" s="26"/>
      <c r="F197" s="26"/>
      <c r="G197" s="26"/>
      <c r="H197" s="26"/>
      <c r="I197" s="26"/>
      <c r="J197" s="26"/>
      <c r="K197" s="26"/>
      <c r="M197" s="26"/>
      <c r="N197" s="26"/>
      <c r="R197" s="26"/>
      <c r="S197" s="26"/>
      <c r="T197" s="26"/>
      <c r="U197" s="26"/>
      <c r="V197" s="26"/>
      <c r="W197" s="26"/>
      <c r="X197" s="26"/>
      <c r="Y197" s="26"/>
      <c r="Z197" s="26"/>
      <c r="AA197" s="26"/>
      <c r="AB197" s="26"/>
    </row>
    <row r="198" spans="2:28">
      <c r="B198" s="26"/>
      <c r="C198" s="26"/>
      <c r="D198" s="26"/>
      <c r="E198" s="26"/>
      <c r="F198" s="26"/>
      <c r="G198" s="26"/>
      <c r="H198" s="26"/>
      <c r="I198" s="26"/>
      <c r="J198" s="26"/>
      <c r="K198" s="26"/>
      <c r="M198" s="26"/>
      <c r="N198" s="26"/>
      <c r="R198" s="26"/>
      <c r="S198" s="26"/>
      <c r="T198" s="26"/>
      <c r="U198" s="26"/>
      <c r="V198" s="26"/>
      <c r="W198" s="26"/>
      <c r="X198" s="26"/>
      <c r="Y198" s="26"/>
      <c r="Z198" s="26"/>
      <c r="AA198" s="26"/>
      <c r="AB198" s="26"/>
    </row>
    <row r="199" ht="15.75" spans="1:28">
      <c r="A199" s="842">
        <v>3</v>
      </c>
      <c r="B199" s="678" t="s">
        <v>378</v>
      </c>
      <c r="C199" s="678"/>
      <c r="D199" s="842"/>
      <c r="E199" s="26"/>
      <c r="F199" s="26"/>
      <c r="G199" s="26"/>
      <c r="H199" s="26"/>
      <c r="I199" s="26"/>
      <c r="J199" s="26"/>
      <c r="K199" s="26"/>
      <c r="M199" s="26"/>
      <c r="N199" s="26"/>
      <c r="R199" s="26"/>
      <c r="S199" s="26"/>
      <c r="T199" s="26"/>
      <c r="U199" s="26"/>
      <c r="V199" s="26"/>
      <c r="W199" s="26"/>
      <c r="X199" s="26"/>
      <c r="Y199" s="26"/>
      <c r="Z199" s="26"/>
      <c r="AA199" s="26"/>
      <c r="AB199" s="26"/>
    </row>
    <row r="200" ht="12" spans="2:28">
      <c r="B200" s="26"/>
      <c r="C200" s="26"/>
      <c r="D200" s="40"/>
      <c r="E200" s="40"/>
      <c r="F200" s="40"/>
      <c r="G200" s="40"/>
      <c r="H200" s="40"/>
      <c r="I200" s="26"/>
      <c r="W200" s="26"/>
      <c r="X200" s="26"/>
      <c r="Y200" s="26"/>
      <c r="Z200" s="26"/>
      <c r="AA200" s="26"/>
      <c r="AB200" s="26"/>
    </row>
    <row r="201" spans="2:28">
      <c r="B201" s="1006"/>
      <c r="C201" s="1007"/>
      <c r="D201" s="1008"/>
      <c r="E201" s="1009" t="s">
        <v>103</v>
      </c>
      <c r="F201" s="1010"/>
      <c r="G201" s="1010"/>
      <c r="H201" s="1010"/>
      <c r="I201" s="1010"/>
      <c r="J201" s="1010"/>
      <c r="K201" s="1010"/>
      <c r="L201" s="1010"/>
      <c r="M201" s="1010"/>
      <c r="N201" s="1010"/>
      <c r="O201" s="1070"/>
      <c r="P201" s="1070"/>
      <c r="W201" s="26"/>
      <c r="X201" s="26"/>
      <c r="Y201" s="26"/>
      <c r="Z201" s="26"/>
      <c r="AA201" s="26"/>
      <c r="AB201" s="26"/>
    </row>
    <row r="202" ht="12" spans="2:28">
      <c r="B202" s="1058" t="s">
        <v>363</v>
      </c>
      <c r="C202" s="1013"/>
      <c r="D202" s="1014" t="str">
        <f>$D$64</f>
        <v>TOTAL BRAND 01</v>
      </c>
      <c r="E202" s="1015" t="s">
        <v>293</v>
      </c>
      <c r="F202" s="1015" t="s">
        <v>294</v>
      </c>
      <c r="G202" s="1015" t="s">
        <v>295</v>
      </c>
      <c r="H202" s="1015" t="s">
        <v>296</v>
      </c>
      <c r="I202" s="1066" t="s">
        <v>297</v>
      </c>
      <c r="J202" s="1067" t="s">
        <v>298</v>
      </c>
      <c r="K202" s="1067" t="s">
        <v>299</v>
      </c>
      <c r="L202" s="1067" t="s">
        <v>300</v>
      </c>
      <c r="M202" s="1067" t="s">
        <v>301</v>
      </c>
      <c r="N202" s="1067"/>
      <c r="O202" s="378"/>
      <c r="P202" s="378"/>
      <c r="W202" s="26"/>
      <c r="X202" s="26"/>
      <c r="Y202" s="26"/>
      <c r="Z202" s="26"/>
      <c r="AA202" s="26"/>
      <c r="AB202" s="26"/>
    </row>
    <row r="203" s="1001" customFormat="1" ht="12.75" spans="2:28">
      <c r="B203" s="1157"/>
      <c r="C203" s="1158"/>
      <c r="D203" s="1159"/>
      <c r="E203" s="1015" t="s">
        <v>221</v>
      </c>
      <c r="F203" s="1015" t="s">
        <v>221</v>
      </c>
      <c r="G203" s="1015" t="s">
        <v>221</v>
      </c>
      <c r="H203" s="1015" t="s">
        <v>221</v>
      </c>
      <c r="I203" s="1015" t="s">
        <v>221</v>
      </c>
      <c r="J203" s="1015" t="s">
        <v>221</v>
      </c>
      <c r="K203" s="1015" t="s">
        <v>241</v>
      </c>
      <c r="L203" s="1015" t="s">
        <v>241</v>
      </c>
      <c r="M203" s="1015" t="s">
        <v>221</v>
      </c>
      <c r="N203" s="1015"/>
      <c r="O203" s="1187"/>
      <c r="P203" s="1187"/>
      <c r="Q203" s="40"/>
      <c r="W203" s="40"/>
      <c r="X203" s="40"/>
      <c r="Y203" s="40"/>
      <c r="Z203" s="40"/>
      <c r="AA203" s="40"/>
      <c r="AB203" s="40"/>
    </row>
    <row r="204" ht="12" spans="2:28">
      <c r="B204" s="1021" t="s">
        <v>311</v>
      </c>
      <c r="C204" s="1018" t="s">
        <v>349</v>
      </c>
      <c r="D204" s="1020">
        <f>$E$12</f>
        <v>273056.248179254</v>
      </c>
      <c r="E204" s="38"/>
      <c r="F204" s="38"/>
      <c r="G204" s="38"/>
      <c r="H204" s="38"/>
      <c r="I204" s="378"/>
      <c r="J204" s="378"/>
      <c r="K204" s="378"/>
      <c r="L204" s="378"/>
      <c r="M204" s="378"/>
      <c r="N204" s="378"/>
      <c r="W204" s="26"/>
      <c r="X204" s="26"/>
      <c r="Y204" s="26"/>
      <c r="Z204" s="26"/>
      <c r="AA204" s="26"/>
      <c r="AB204" s="26"/>
    </row>
    <row r="205" spans="2:28">
      <c r="B205" s="1021" t="s">
        <v>364</v>
      </c>
      <c r="C205" s="1018" t="s">
        <v>349</v>
      </c>
      <c r="D205" s="1024"/>
      <c r="E205" s="1085">
        <v>4.49</v>
      </c>
      <c r="F205" s="1085">
        <v>6.99</v>
      </c>
      <c r="G205" s="1085">
        <v>5.49</v>
      </c>
      <c r="H205" s="1085">
        <v>6.99</v>
      </c>
      <c r="I205" s="1085">
        <v>5.99</v>
      </c>
      <c r="J205" s="1085">
        <v>5.99</v>
      </c>
      <c r="K205" s="1085">
        <v>2.45</v>
      </c>
      <c r="L205" s="1085">
        <v>2.99</v>
      </c>
      <c r="M205" s="1085">
        <v>1.99</v>
      </c>
      <c r="N205" s="1085"/>
      <c r="W205" s="26"/>
      <c r="X205" s="26"/>
      <c r="Y205" s="26"/>
      <c r="Z205" s="26"/>
      <c r="AA205" s="26"/>
      <c r="AB205" s="26"/>
    </row>
    <row r="206" spans="2:28">
      <c r="B206" s="1021" t="s">
        <v>365</v>
      </c>
      <c r="C206" s="1018" t="s">
        <v>349</v>
      </c>
      <c r="D206" s="1024"/>
      <c r="E206" s="1085">
        <v>0.82</v>
      </c>
      <c r="F206" s="1085">
        <v>0.86</v>
      </c>
      <c r="G206" s="1085">
        <v>0.83</v>
      </c>
      <c r="H206" s="1085">
        <v>0.84</v>
      </c>
      <c r="I206" s="1085">
        <v>0.83</v>
      </c>
      <c r="J206" s="1085">
        <v>0.83</v>
      </c>
      <c r="K206" s="1085">
        <v>0.82</v>
      </c>
      <c r="L206" s="1085">
        <v>0.86</v>
      </c>
      <c r="M206" s="1085">
        <v>0.83</v>
      </c>
      <c r="N206" s="1085"/>
      <c r="W206" s="26"/>
      <c r="X206" s="26"/>
      <c r="Y206" s="26"/>
      <c r="Z206" s="26"/>
      <c r="AA206" s="26"/>
      <c r="AB206" s="26"/>
    </row>
    <row r="207" spans="2:28">
      <c r="B207" s="1021" t="s">
        <v>366</v>
      </c>
      <c r="C207" s="1018" t="s">
        <v>349</v>
      </c>
      <c r="D207" s="1024"/>
      <c r="E207" s="1085">
        <f t="shared" ref="E207:M207" si="61">E205-E206</f>
        <v>3.67</v>
      </c>
      <c r="F207" s="1085">
        <f t="shared" si="61"/>
        <v>6.13</v>
      </c>
      <c r="G207" s="1085">
        <f t="shared" si="61"/>
        <v>4.66</v>
      </c>
      <c r="H207" s="1085">
        <f t="shared" si="61"/>
        <v>6.15</v>
      </c>
      <c r="I207" s="1085">
        <f t="shared" si="61"/>
        <v>5.16</v>
      </c>
      <c r="J207" s="1085">
        <f t="shared" si="61"/>
        <v>5.16</v>
      </c>
      <c r="K207" s="1085">
        <f t="shared" si="61"/>
        <v>1.63</v>
      </c>
      <c r="L207" s="1085">
        <f t="shared" si="61"/>
        <v>2.13</v>
      </c>
      <c r="M207" s="1085">
        <f t="shared" si="61"/>
        <v>1.16</v>
      </c>
      <c r="N207" s="1085"/>
      <c r="W207" s="26"/>
      <c r="X207" s="26"/>
      <c r="Y207" s="26"/>
      <c r="Z207" s="26"/>
      <c r="AA207" s="26"/>
      <c r="AB207" s="26"/>
    </row>
    <row r="208" spans="2:28">
      <c r="B208" s="1021" t="s">
        <v>367</v>
      </c>
      <c r="C208" s="1018" t="s">
        <v>109</v>
      </c>
      <c r="D208" s="1086">
        <f>(D210-D212)/D210</f>
        <v>0.788009075090769</v>
      </c>
      <c r="E208" s="1087">
        <f t="shared" ref="E208:M208" si="62">E207/E205</f>
        <v>0.817371937639198</v>
      </c>
      <c r="F208" s="1087">
        <f t="shared" si="62"/>
        <v>0.876967095851216</v>
      </c>
      <c r="G208" s="1087">
        <f t="shared" si="62"/>
        <v>0.848816029143898</v>
      </c>
      <c r="H208" s="1087">
        <f t="shared" si="62"/>
        <v>0.879828326180258</v>
      </c>
      <c r="I208" s="1087">
        <f t="shared" si="62"/>
        <v>0.861435726210351</v>
      </c>
      <c r="J208" s="1087">
        <f t="shared" si="62"/>
        <v>0.861435726210351</v>
      </c>
      <c r="K208" s="1087">
        <f t="shared" si="62"/>
        <v>0.66530612244898</v>
      </c>
      <c r="L208" s="1087">
        <f t="shared" si="62"/>
        <v>0.712374581939799</v>
      </c>
      <c r="M208" s="1087">
        <f t="shared" si="62"/>
        <v>0.582914572864322</v>
      </c>
      <c r="N208" s="1087"/>
      <c r="W208" s="26"/>
      <c r="X208" s="26"/>
      <c r="Y208" s="26"/>
      <c r="Z208" s="26"/>
      <c r="AA208" s="26"/>
      <c r="AB208" s="26"/>
    </row>
    <row r="209" spans="2:28">
      <c r="B209" s="1021" t="s">
        <v>368</v>
      </c>
      <c r="C209" s="1018" t="s">
        <v>369</v>
      </c>
      <c r="D209" s="1160">
        <f>SUM(E209:XL209)</f>
        <v>247166.682769704</v>
      </c>
      <c r="E209" s="1088">
        <v>10350.9235204173</v>
      </c>
      <c r="F209" s="1088">
        <v>10011.717753559</v>
      </c>
      <c r="G209" s="1088">
        <v>7572.4279361728</v>
      </c>
      <c r="H209" s="1088">
        <v>20575.5163110464</v>
      </c>
      <c r="I209" s="1088">
        <v>20575.5163110464</v>
      </c>
      <c r="J209" s="1088">
        <v>20575.5163110464</v>
      </c>
      <c r="K209" s="1088">
        <v>70129.2282285562</v>
      </c>
      <c r="L209" s="1088">
        <v>84184.4623246669</v>
      </c>
      <c r="M209" s="1088">
        <v>3191.37407319295</v>
      </c>
      <c r="N209" s="1088"/>
      <c r="W209" s="26"/>
      <c r="X209" s="26"/>
      <c r="Y209" s="26"/>
      <c r="Z209" s="26"/>
      <c r="AA209" s="26"/>
      <c r="AB209" s="26"/>
    </row>
    <row r="210" spans="2:28">
      <c r="B210" s="1021" t="s">
        <v>320</v>
      </c>
      <c r="C210" s="1018" t="s">
        <v>349</v>
      </c>
      <c r="D210" s="1020">
        <f>SUM(E210:XN210)</f>
        <v>978226.713410561</v>
      </c>
      <c r="E210" s="475">
        <f t="shared" ref="E210:M210" si="63">E205*E209</f>
        <v>46475.6466066735</v>
      </c>
      <c r="F210" s="475">
        <f t="shared" si="63"/>
        <v>69981.9070973775</v>
      </c>
      <c r="G210" s="475">
        <f t="shared" si="63"/>
        <v>41572.6293695887</v>
      </c>
      <c r="H210" s="475">
        <f t="shared" si="63"/>
        <v>143822.859014214</v>
      </c>
      <c r="I210" s="475">
        <f t="shared" si="63"/>
        <v>123247.342703168</v>
      </c>
      <c r="J210" s="475">
        <f t="shared" si="63"/>
        <v>123247.342703168</v>
      </c>
      <c r="K210" s="475">
        <f t="shared" si="63"/>
        <v>171816.609159963</v>
      </c>
      <c r="L210" s="475">
        <f t="shared" si="63"/>
        <v>251711.542350754</v>
      </c>
      <c r="M210" s="475">
        <f t="shared" si="63"/>
        <v>6350.83440565397</v>
      </c>
      <c r="N210" s="475"/>
      <c r="W210" s="26"/>
      <c r="X210" s="26"/>
      <c r="Y210" s="26"/>
      <c r="Z210" s="26"/>
      <c r="AA210" s="26"/>
      <c r="AB210" s="26"/>
    </row>
    <row r="211" spans="2:28">
      <c r="B211" s="1021" t="s">
        <v>370</v>
      </c>
      <c r="C211" s="1018" t="s">
        <v>109</v>
      </c>
      <c r="D211" s="1089"/>
      <c r="E211" s="1087">
        <f>E210/$D210</f>
        <v>0.0475100975771122</v>
      </c>
      <c r="F211" s="1087">
        <f>F210/$D210</f>
        <v>0.0715395584050117</v>
      </c>
      <c r="G211" s="1087">
        <f>G210/$D210</f>
        <v>0.0424979494013682</v>
      </c>
      <c r="H211" s="1087">
        <f>H210/$D210</f>
        <v>0.147024055919287</v>
      </c>
      <c r="I211" s="1087">
        <f>I210/$D210</f>
        <v>0.125990571524539</v>
      </c>
      <c r="J211" s="1087">
        <f>J210/$D210</f>
        <v>0.125990571524539</v>
      </c>
      <c r="K211" s="1087">
        <f>K210/$D210</f>
        <v>0.175640888563479</v>
      </c>
      <c r="L211" s="1087">
        <f>L210/$D210</f>
        <v>0.257314116349541</v>
      </c>
      <c r="M211" s="1087">
        <f>M210/$D210</f>
        <v>0.00649219073512311</v>
      </c>
      <c r="N211" s="1087"/>
      <c r="W211" s="26"/>
      <c r="X211" s="26"/>
      <c r="Y211" s="26"/>
      <c r="Z211" s="26"/>
      <c r="AA211" s="26"/>
      <c r="AB211" s="26"/>
    </row>
    <row r="212" spans="2:28">
      <c r="B212" s="1021" t="s">
        <v>371</v>
      </c>
      <c r="C212" s="1018" t="s">
        <v>349</v>
      </c>
      <c r="D212" s="1020">
        <f>SUM(E212:XN212)</f>
        <v>207375.185746822</v>
      </c>
      <c r="E212" s="475">
        <f t="shared" ref="E212:M212" si="64">E206*E209</f>
        <v>8487.75728674215</v>
      </c>
      <c r="F212" s="475">
        <f t="shared" si="64"/>
        <v>8610.07726806075</v>
      </c>
      <c r="G212" s="475">
        <f t="shared" si="64"/>
        <v>6285.11518702342</v>
      </c>
      <c r="H212" s="475">
        <f t="shared" si="64"/>
        <v>17283.433701279</v>
      </c>
      <c r="I212" s="475">
        <f t="shared" si="64"/>
        <v>17077.6785381685</v>
      </c>
      <c r="J212" s="475">
        <f t="shared" si="64"/>
        <v>17077.6785381685</v>
      </c>
      <c r="K212" s="475">
        <f t="shared" si="64"/>
        <v>57505.9671474161</v>
      </c>
      <c r="L212" s="475">
        <f t="shared" si="64"/>
        <v>72398.6375992135</v>
      </c>
      <c r="M212" s="475">
        <f t="shared" si="64"/>
        <v>2648.84048075015</v>
      </c>
      <c r="N212" s="475"/>
      <c r="W212" s="26"/>
      <c r="X212" s="26"/>
      <c r="Y212" s="26"/>
      <c r="Z212" s="26"/>
      <c r="AA212" s="26"/>
      <c r="AB212" s="26"/>
    </row>
    <row r="213" spans="2:28">
      <c r="B213" s="1021" t="s">
        <v>322</v>
      </c>
      <c r="C213" s="1018" t="s">
        <v>349</v>
      </c>
      <c r="D213" s="1020">
        <f>SUM(E213:XN213)</f>
        <v>770851.527663738</v>
      </c>
      <c r="E213" s="475">
        <f t="shared" ref="E213:M213" si="65">E210-E212</f>
        <v>37987.8893199314</v>
      </c>
      <c r="F213" s="475">
        <f t="shared" si="65"/>
        <v>61371.8298293167</v>
      </c>
      <c r="G213" s="475">
        <f t="shared" si="65"/>
        <v>35287.5141825653</v>
      </c>
      <c r="H213" s="475">
        <f t="shared" si="65"/>
        <v>126539.425312935</v>
      </c>
      <c r="I213" s="475">
        <f t="shared" si="65"/>
        <v>106169.664164999</v>
      </c>
      <c r="J213" s="475">
        <f t="shared" si="65"/>
        <v>106169.664164999</v>
      </c>
      <c r="K213" s="475">
        <f t="shared" si="65"/>
        <v>114310.642012547</v>
      </c>
      <c r="L213" s="475">
        <f t="shared" si="65"/>
        <v>179312.904751541</v>
      </c>
      <c r="M213" s="475">
        <f t="shared" si="65"/>
        <v>3701.99392490382</v>
      </c>
      <c r="N213" s="475"/>
      <c r="W213" s="26"/>
      <c r="X213" s="26"/>
      <c r="Y213" s="26"/>
      <c r="Z213" s="26"/>
      <c r="AA213" s="26"/>
      <c r="AB213" s="26"/>
    </row>
    <row r="214" spans="2:28">
      <c r="B214" s="1021"/>
      <c r="C214" s="1018" t="s">
        <v>109</v>
      </c>
      <c r="D214" s="1024"/>
      <c r="E214" s="1087">
        <f>E213/$D213</f>
        <v>0.0492804229564976</v>
      </c>
      <c r="F214" s="1087">
        <f>F213/$D213</f>
        <v>0.0796156297637752</v>
      </c>
      <c r="G214" s="1087">
        <f>G213/$D213</f>
        <v>0.045777316274527</v>
      </c>
      <c r="H214" s="1087">
        <f>H213/$D213</f>
        <v>0.164155379825795</v>
      </c>
      <c r="I214" s="1087">
        <f>I213/$D213</f>
        <v>0.137730367463594</v>
      </c>
      <c r="J214" s="1087">
        <f>J213/$D213</f>
        <v>0.137730367463594</v>
      </c>
      <c r="K214" s="1087">
        <f>K213/$D213</f>
        <v>0.148291386746024</v>
      </c>
      <c r="L214" s="1087">
        <f>L213/$D213</f>
        <v>0.232616656147772</v>
      </c>
      <c r="M214" s="1087">
        <f>M213/$D213</f>
        <v>0.00480247335842177</v>
      </c>
      <c r="N214" s="1087"/>
      <c r="R214" s="26"/>
      <c r="S214" s="26"/>
      <c r="T214" s="26"/>
      <c r="U214" s="26"/>
      <c r="V214" s="26"/>
      <c r="W214" s="26"/>
      <c r="X214" s="26"/>
      <c r="Y214" s="26"/>
      <c r="Z214" s="26"/>
      <c r="AA214" s="26"/>
      <c r="AB214" s="26"/>
    </row>
    <row r="215" ht="12" spans="2:28">
      <c r="B215" s="1090" t="s">
        <v>330</v>
      </c>
      <c r="C215" s="1091" t="s">
        <v>349</v>
      </c>
      <c r="D215" s="1161">
        <f>D213-D204</f>
        <v>497795.279484484</v>
      </c>
      <c r="E215" s="1162"/>
      <c r="F215" s="1162"/>
      <c r="G215" s="1162"/>
      <c r="H215" s="1162"/>
      <c r="I215" s="1162"/>
      <c r="J215" s="681"/>
      <c r="K215" s="682"/>
      <c r="L215" s="682"/>
      <c r="M215" s="1188"/>
      <c r="N215" s="682"/>
      <c r="R215" s="26"/>
      <c r="S215" s="26"/>
      <c r="T215" s="26"/>
      <c r="U215" s="26"/>
      <c r="V215" s="26"/>
      <c r="W215" s="26"/>
      <c r="X215" s="26"/>
      <c r="Y215" s="26"/>
      <c r="Z215" s="26"/>
      <c r="AA215" s="26"/>
      <c r="AB215" s="26"/>
    </row>
    <row r="216" ht="12" spans="2:28">
      <c r="B216" s="26"/>
      <c r="C216" s="40"/>
      <c r="E216" s="26"/>
      <c r="F216" s="26"/>
      <c r="G216" s="26"/>
      <c r="H216" s="26"/>
      <c r="I216" s="26"/>
      <c r="J216" s="26"/>
      <c r="L216" s="379"/>
      <c r="M216" s="1005"/>
      <c r="R216" s="26"/>
      <c r="S216" s="26"/>
      <c r="T216" s="26"/>
      <c r="U216" s="26"/>
      <c r="V216" s="26"/>
      <c r="W216" s="26"/>
      <c r="X216" s="26"/>
      <c r="Y216" s="26"/>
      <c r="Z216" s="26"/>
      <c r="AA216" s="26"/>
      <c r="AB216" s="26"/>
    </row>
    <row r="217" spans="2:28">
      <c r="B217" s="1132" t="s">
        <v>379</v>
      </c>
      <c r="C217" s="1116" t="s">
        <v>154</v>
      </c>
      <c r="D217" s="1163"/>
      <c r="E217" s="1164">
        <v>3</v>
      </c>
      <c r="F217" s="1164">
        <v>3</v>
      </c>
      <c r="G217" s="1164">
        <v>2.5</v>
      </c>
      <c r="H217" s="1164">
        <v>2.5</v>
      </c>
      <c r="I217" s="1164">
        <v>2.5</v>
      </c>
      <c r="J217" s="1164">
        <v>2.5</v>
      </c>
      <c r="K217" s="1164">
        <v>1</v>
      </c>
      <c r="L217" s="1164">
        <v>1</v>
      </c>
      <c r="M217" s="1164">
        <v>1</v>
      </c>
      <c r="N217" s="1164">
        <v>1</v>
      </c>
      <c r="O217" s="1189"/>
      <c r="P217" s="1190"/>
      <c r="Q217" s="1198"/>
      <c r="R217" s="26"/>
      <c r="S217" s="26"/>
      <c r="T217" s="26"/>
      <c r="U217" s="26"/>
      <c r="V217" s="26"/>
      <c r="W217" s="26"/>
      <c r="X217" s="26"/>
      <c r="Y217" s="26"/>
      <c r="Z217" s="26"/>
      <c r="AA217" s="26"/>
      <c r="AB217" s="26"/>
    </row>
    <row r="218" spans="2:28">
      <c r="B218" s="1117"/>
      <c r="C218" s="41" t="s">
        <v>155</v>
      </c>
      <c r="D218" s="1165"/>
      <c r="E218" s="1166">
        <v>4</v>
      </c>
      <c r="F218" s="1166">
        <v>4</v>
      </c>
      <c r="G218" s="1166">
        <v>3.5</v>
      </c>
      <c r="H218" s="1166">
        <v>3.5</v>
      </c>
      <c r="I218" s="1166">
        <v>3.5</v>
      </c>
      <c r="J218" s="1166">
        <v>3.5</v>
      </c>
      <c r="K218" s="1166">
        <v>1.25</v>
      </c>
      <c r="L218" s="1166">
        <v>1.28</v>
      </c>
      <c r="M218" s="1166">
        <v>1.28</v>
      </c>
      <c r="N218" s="1166">
        <v>1.28</v>
      </c>
      <c r="O218" s="1189"/>
      <c r="P218" s="1190"/>
      <c r="Q218" s="1198"/>
      <c r="R218" s="26"/>
      <c r="S218" s="26"/>
      <c r="T218" s="26"/>
      <c r="U218" s="26"/>
      <c r="V218" s="26"/>
      <c r="W218" s="26"/>
      <c r="X218" s="26"/>
      <c r="Y218" s="26"/>
      <c r="Z218" s="26"/>
      <c r="AA218" s="26"/>
      <c r="AB218" s="26"/>
    </row>
    <row r="219" spans="2:28">
      <c r="B219" s="1117"/>
      <c r="C219" s="906" t="s">
        <v>156</v>
      </c>
      <c r="D219" s="1165"/>
      <c r="E219" s="1167">
        <v>5</v>
      </c>
      <c r="F219" s="1167">
        <v>5</v>
      </c>
      <c r="G219" s="1167">
        <v>4</v>
      </c>
      <c r="H219" s="1167">
        <v>4</v>
      </c>
      <c r="I219" s="1167">
        <v>4</v>
      </c>
      <c r="J219" s="1167">
        <v>4</v>
      </c>
      <c r="K219" s="1167">
        <v>1.3</v>
      </c>
      <c r="L219" s="1167">
        <v>1.35</v>
      </c>
      <c r="M219" s="1167">
        <v>1.35</v>
      </c>
      <c r="N219" s="1167">
        <v>1.35</v>
      </c>
      <c r="O219" s="1189"/>
      <c r="P219" s="1190"/>
      <c r="Q219" s="1198"/>
      <c r="R219" s="26"/>
      <c r="S219" s="26"/>
      <c r="T219" s="26"/>
      <c r="U219" s="26"/>
      <c r="V219" s="26"/>
      <c r="W219" s="26"/>
      <c r="X219" s="26"/>
      <c r="Y219" s="26"/>
      <c r="Z219" s="26"/>
      <c r="AA219" s="26"/>
      <c r="AB219" s="26"/>
    </row>
    <row r="220" spans="2:28">
      <c r="B220" s="1117"/>
      <c r="C220" s="41" t="s">
        <v>157</v>
      </c>
      <c r="D220" s="1165"/>
      <c r="E220" s="1167">
        <v>6</v>
      </c>
      <c r="F220" s="1167">
        <v>6</v>
      </c>
      <c r="G220" s="1167">
        <v>5</v>
      </c>
      <c r="H220" s="1167">
        <v>5</v>
      </c>
      <c r="I220" s="1167">
        <v>5</v>
      </c>
      <c r="J220" s="1167">
        <v>5</v>
      </c>
      <c r="K220" s="1167">
        <v>1.5</v>
      </c>
      <c r="L220" s="1167">
        <v>1.5</v>
      </c>
      <c r="M220" s="1167">
        <v>1.5</v>
      </c>
      <c r="N220" s="1167">
        <v>1.5</v>
      </c>
      <c r="O220" s="1189"/>
      <c r="P220" s="1190"/>
      <c r="Q220" s="1198"/>
      <c r="R220" s="26"/>
      <c r="S220" s="26"/>
      <c r="T220" s="26"/>
      <c r="U220" s="26"/>
      <c r="V220" s="26"/>
      <c r="W220" s="26"/>
      <c r="X220" s="26"/>
      <c r="Y220" s="26"/>
      <c r="Z220" s="26"/>
      <c r="AA220" s="26"/>
      <c r="AB220" s="26"/>
    </row>
    <row r="221" spans="2:28">
      <c r="B221" s="1117"/>
      <c r="C221" s="41"/>
      <c r="D221" s="1165"/>
      <c r="E221" s="1168"/>
      <c r="F221" s="1168"/>
      <c r="G221" s="1168"/>
      <c r="H221" s="1168"/>
      <c r="I221" s="1191"/>
      <c r="J221" s="1168"/>
      <c r="K221" s="1168"/>
      <c r="L221" s="1168"/>
      <c r="M221" s="1168"/>
      <c r="N221" s="1168"/>
      <c r="O221" s="1189"/>
      <c r="P221" s="1190"/>
      <c r="Q221" s="1198"/>
      <c r="R221" s="26"/>
      <c r="S221" s="26"/>
      <c r="T221" s="26"/>
      <c r="U221" s="26"/>
      <c r="V221" s="26"/>
      <c r="W221" s="26"/>
      <c r="X221" s="26"/>
      <c r="Y221" s="26"/>
      <c r="Z221" s="26"/>
      <c r="AA221" s="26"/>
      <c r="AB221" s="26"/>
    </row>
    <row r="222" spans="2:28">
      <c r="B222" s="1117" t="s">
        <v>380</v>
      </c>
      <c r="C222" s="41" t="s">
        <v>154</v>
      </c>
      <c r="D222" s="1165"/>
      <c r="E222" s="1167">
        <v>0.4</v>
      </c>
      <c r="F222" s="1167">
        <v>0.4</v>
      </c>
      <c r="G222" s="1167">
        <v>0.4</v>
      </c>
      <c r="H222" s="1167">
        <v>0.4</v>
      </c>
      <c r="I222" s="1167">
        <v>0.4</v>
      </c>
      <c r="J222" s="1167">
        <v>0.4</v>
      </c>
      <c r="K222" s="1167">
        <v>0.4</v>
      </c>
      <c r="L222" s="1167">
        <v>0.4</v>
      </c>
      <c r="M222" s="1167">
        <v>0.4</v>
      </c>
      <c r="N222" s="1167">
        <v>0.4</v>
      </c>
      <c r="O222" s="1189"/>
      <c r="P222" s="1190"/>
      <c r="Q222" s="1198"/>
      <c r="R222" s="26"/>
      <c r="S222" s="26"/>
      <c r="T222" s="26"/>
      <c r="U222" s="26"/>
      <c r="V222" s="26"/>
      <c r="W222" s="26"/>
      <c r="X222" s="26"/>
      <c r="Y222" s="26"/>
      <c r="Z222" s="26"/>
      <c r="AA222" s="26"/>
      <c r="AB222" s="26"/>
    </row>
    <row r="223" spans="2:28">
      <c r="B223" s="1117"/>
      <c r="C223" s="41" t="s">
        <v>155</v>
      </c>
      <c r="D223" s="1165"/>
      <c r="E223" s="1166">
        <v>0.53</v>
      </c>
      <c r="F223" s="1166">
        <v>0.53</v>
      </c>
      <c r="G223" s="1166">
        <v>0.5</v>
      </c>
      <c r="H223" s="1166">
        <v>0.5</v>
      </c>
      <c r="I223" s="1166">
        <v>0.5</v>
      </c>
      <c r="J223" s="1166">
        <v>0.5</v>
      </c>
      <c r="K223" s="1166">
        <v>0.41</v>
      </c>
      <c r="L223" s="1166">
        <v>0.41</v>
      </c>
      <c r="M223" s="1166">
        <v>0.41</v>
      </c>
      <c r="N223" s="1166">
        <v>0.41</v>
      </c>
      <c r="O223" s="1189"/>
      <c r="P223" s="1190"/>
      <c r="Q223" s="1198"/>
      <c r="R223" s="26"/>
      <c r="S223" s="26"/>
      <c r="T223" s="26"/>
      <c r="U223" s="26"/>
      <c r="V223" s="26"/>
      <c r="W223" s="26"/>
      <c r="X223" s="26"/>
      <c r="Y223" s="26"/>
      <c r="Z223" s="26"/>
      <c r="AA223" s="26"/>
      <c r="AB223" s="26"/>
    </row>
    <row r="224" spans="2:28">
      <c r="B224" s="1117"/>
      <c r="C224" s="906" t="s">
        <v>156</v>
      </c>
      <c r="D224" s="1165"/>
      <c r="E224" s="1167">
        <v>0.6</v>
      </c>
      <c r="F224" s="1167">
        <v>0.6</v>
      </c>
      <c r="G224" s="1167">
        <v>0.6</v>
      </c>
      <c r="H224" s="1167">
        <v>0.6</v>
      </c>
      <c r="I224" s="1167">
        <v>0.6</v>
      </c>
      <c r="J224" s="1167">
        <v>0.6</v>
      </c>
      <c r="K224" s="1167">
        <v>0.6</v>
      </c>
      <c r="L224" s="1167">
        <v>0.6</v>
      </c>
      <c r="M224" s="1167">
        <v>0.6</v>
      </c>
      <c r="N224" s="1167">
        <v>0.6</v>
      </c>
      <c r="O224" s="1189"/>
      <c r="P224" s="1190"/>
      <c r="Q224" s="1198"/>
      <c r="R224" s="26"/>
      <c r="S224" s="26"/>
      <c r="T224" s="26"/>
      <c r="U224" s="26"/>
      <c r="V224" s="26"/>
      <c r="W224" s="26"/>
      <c r="X224" s="26"/>
      <c r="Y224" s="26"/>
      <c r="Z224" s="26"/>
      <c r="AA224" s="26"/>
      <c r="AB224" s="26"/>
    </row>
    <row r="225" spans="2:28">
      <c r="B225" s="1117"/>
      <c r="C225" s="41" t="s">
        <v>157</v>
      </c>
      <c r="D225" s="1165"/>
      <c r="E225" s="1167">
        <v>0.9</v>
      </c>
      <c r="F225" s="1167">
        <v>0.9</v>
      </c>
      <c r="G225" s="1167">
        <v>0.9</v>
      </c>
      <c r="H225" s="1167">
        <v>0.9</v>
      </c>
      <c r="I225" s="1167">
        <v>0.9</v>
      </c>
      <c r="J225" s="1167">
        <v>0.9</v>
      </c>
      <c r="K225" s="1167">
        <v>0.9</v>
      </c>
      <c r="L225" s="1167">
        <v>0.9</v>
      </c>
      <c r="M225" s="1167">
        <v>0.9</v>
      </c>
      <c r="N225" s="1167">
        <v>0.9</v>
      </c>
      <c r="O225" s="1189"/>
      <c r="P225" s="1190"/>
      <c r="Q225" s="1198"/>
      <c r="R225" s="26"/>
      <c r="S225" s="26"/>
      <c r="T225" s="26"/>
      <c r="U225" s="26"/>
      <c r="V225" s="26"/>
      <c r="W225" s="26"/>
      <c r="X225" s="26"/>
      <c r="Y225" s="26"/>
      <c r="Z225" s="26"/>
      <c r="AA225" s="26"/>
      <c r="AB225" s="26"/>
    </row>
    <row r="226" spans="2:28">
      <c r="B226" s="1117"/>
      <c r="C226" s="41"/>
      <c r="D226" s="1165"/>
      <c r="E226" s="1169"/>
      <c r="F226" s="1169"/>
      <c r="G226" s="1169"/>
      <c r="H226" s="1169"/>
      <c r="I226" s="1169"/>
      <c r="J226" s="1169"/>
      <c r="K226" s="1169"/>
      <c r="L226" s="1169"/>
      <c r="M226" s="1169"/>
      <c r="N226" s="1169"/>
      <c r="O226" s="1189"/>
      <c r="P226" s="1190"/>
      <c r="Q226" s="1198"/>
      <c r="R226" s="26"/>
      <c r="S226" s="26"/>
      <c r="T226" s="26"/>
      <c r="U226" s="26"/>
      <c r="V226" s="26"/>
      <c r="W226" s="26"/>
      <c r="X226" s="26"/>
      <c r="Y226" s="26"/>
      <c r="Z226" s="26"/>
      <c r="AA226" s="26"/>
      <c r="AB226" s="26"/>
    </row>
    <row r="227" spans="2:28">
      <c r="B227" s="1117"/>
      <c r="C227" s="41" t="s">
        <v>381</v>
      </c>
      <c r="D227" s="1165" t="s">
        <v>382</v>
      </c>
      <c r="E227" s="41"/>
      <c r="F227" s="41"/>
      <c r="G227" s="41"/>
      <c r="H227" s="41"/>
      <c r="I227" s="41"/>
      <c r="J227" s="41"/>
      <c r="K227" s="41"/>
      <c r="L227" s="41"/>
      <c r="M227" s="41"/>
      <c r="N227" s="41"/>
      <c r="O227" s="1192"/>
      <c r="P227" s="1080"/>
      <c r="R227" s="26"/>
      <c r="S227" s="26"/>
      <c r="T227" s="26"/>
      <c r="U227" s="26"/>
      <c r="V227" s="26"/>
      <c r="W227" s="26"/>
      <c r="X227" s="26"/>
      <c r="Y227" s="26"/>
      <c r="Z227" s="26"/>
      <c r="AA227" s="26"/>
      <c r="AB227" s="26"/>
    </row>
    <row r="228" spans="2:28">
      <c r="B228" s="1117" t="s">
        <v>383</v>
      </c>
      <c r="C228" s="170">
        <v>2</v>
      </c>
      <c r="D228" s="1170">
        <v>1.5</v>
      </c>
      <c r="E228" s="41"/>
      <c r="F228" s="41"/>
      <c r="G228" s="41"/>
      <c r="H228" s="41"/>
      <c r="I228" s="41"/>
      <c r="J228" s="41"/>
      <c r="K228" s="41"/>
      <c r="L228" s="41"/>
      <c r="M228" s="41"/>
      <c r="N228" s="41"/>
      <c r="O228" s="1192"/>
      <c r="P228" s="1080"/>
      <c r="R228" s="26"/>
      <c r="S228" s="26"/>
      <c r="T228" s="26"/>
      <c r="U228" s="26"/>
      <c r="V228" s="26"/>
      <c r="W228" s="26"/>
      <c r="X228" s="26"/>
      <c r="Y228" s="26"/>
      <c r="Z228" s="26"/>
      <c r="AA228" s="26"/>
      <c r="AB228" s="26"/>
    </row>
    <row r="229" spans="2:28">
      <c r="B229" s="1117"/>
      <c r="C229" s="41"/>
      <c r="D229" s="1165"/>
      <c r="E229" s="41"/>
      <c r="F229" s="41"/>
      <c r="G229" s="41"/>
      <c r="H229" s="41"/>
      <c r="I229" s="41"/>
      <c r="J229" s="41"/>
      <c r="K229" s="41"/>
      <c r="L229" s="41"/>
      <c r="M229" s="41"/>
      <c r="N229" s="41"/>
      <c r="O229" s="1192"/>
      <c r="P229" s="1080"/>
      <c r="R229" s="26"/>
      <c r="S229" s="26"/>
      <c r="T229" s="26"/>
      <c r="U229" s="26"/>
      <c r="V229" s="26"/>
      <c r="W229" s="26"/>
      <c r="X229" s="26"/>
      <c r="Y229" s="26"/>
      <c r="Z229" s="26"/>
      <c r="AA229" s="26"/>
      <c r="AB229" s="26"/>
    </row>
    <row r="230" spans="2:28">
      <c r="B230" s="1117" t="s">
        <v>154</v>
      </c>
      <c r="C230" s="41"/>
      <c r="D230" s="1171"/>
      <c r="E230" s="1172">
        <f>IF(E203="[retail]",E209,E232/$D$228)</f>
        <v>10350.9235204173</v>
      </c>
      <c r="F230" s="1172">
        <f>IF(F203="[retail]",F209,F232/$D$228)</f>
        <v>10011.717753559</v>
      </c>
      <c r="G230" s="1172">
        <f>IF(G203="[retail]",G209,G232/$D$228)</f>
        <v>7572.4279361728</v>
      </c>
      <c r="H230" s="1172">
        <f>IF(H203="[retail]",H209,H232/$D$228)</f>
        <v>20575.5163110464</v>
      </c>
      <c r="I230" s="1172">
        <f>IF(I203="[retail]",I209,I232/$D$228)</f>
        <v>20575.5163110464</v>
      </c>
      <c r="J230" s="1172">
        <f>IF(J203="[retail]",J209,J232/$D$228)</f>
        <v>20575.5163110464</v>
      </c>
      <c r="K230" s="1172">
        <f>IF(K203="[retail]",K209,K232/$D$228)</f>
        <v>46752.8188190375</v>
      </c>
      <c r="L230" s="1172">
        <f>IF(L203="[retail]",L209,L232/$D$228)</f>
        <v>56122.9748831113</v>
      </c>
      <c r="M230" s="1172">
        <f>IF(M203="[retail]",M209,M232/$D$228)</f>
        <v>3191.37407319295</v>
      </c>
      <c r="N230" s="1172"/>
      <c r="O230" s="1192"/>
      <c r="P230" s="1080"/>
      <c r="R230" s="26"/>
      <c r="S230" s="26"/>
      <c r="T230" s="26"/>
      <c r="U230" s="26"/>
      <c r="V230" s="26"/>
      <c r="W230" s="26"/>
      <c r="X230" s="26"/>
      <c r="Y230" s="26"/>
      <c r="Z230" s="26"/>
      <c r="AA230" s="26"/>
      <c r="AB230" s="26"/>
    </row>
    <row r="231" spans="2:28">
      <c r="B231" s="1117" t="s">
        <v>384</v>
      </c>
      <c r="C231" s="41" t="s">
        <v>369</v>
      </c>
      <c r="D231" s="1173">
        <f>SUM(E231:XN231)</f>
        <v>248962.345975912</v>
      </c>
      <c r="E231" s="1172">
        <f t="shared" ref="E231:M231" si="66">IF(E203="[retail]",E232-1/(E220-E217)*(E219-E217)*E230,E232-(1/3)/(E220-E217)*(E219-E217)*E232)</f>
        <v>13801.2313605564</v>
      </c>
      <c r="F231" s="1172">
        <f t="shared" si="66"/>
        <v>13348.9570047453</v>
      </c>
      <c r="G231" s="1172">
        <f t="shared" si="66"/>
        <v>10601.3991106419</v>
      </c>
      <c r="H231" s="1172">
        <f t="shared" si="66"/>
        <v>28805.722835465</v>
      </c>
      <c r="I231" s="1172">
        <f t="shared" si="66"/>
        <v>28805.722835465</v>
      </c>
      <c r="J231" s="1172">
        <f t="shared" si="66"/>
        <v>28805.722835465</v>
      </c>
      <c r="K231" s="1172">
        <f t="shared" si="66"/>
        <v>56103.3825828449</v>
      </c>
      <c r="L231" s="1172">
        <f t="shared" si="66"/>
        <v>64541.421115578</v>
      </c>
      <c r="M231" s="1172">
        <f t="shared" si="66"/>
        <v>4148.78629515084</v>
      </c>
      <c r="N231" s="1172"/>
      <c r="O231" s="1192"/>
      <c r="P231" s="1080"/>
      <c r="R231" s="26"/>
      <c r="S231" s="26"/>
      <c r="T231" s="26"/>
      <c r="U231" s="26"/>
      <c r="V231" s="26"/>
      <c r="W231" s="26"/>
      <c r="X231" s="26"/>
      <c r="Y231" s="26"/>
      <c r="Z231" s="26"/>
      <c r="AA231" s="26"/>
      <c r="AB231" s="26"/>
    </row>
    <row r="232" spans="2:28">
      <c r="B232" s="1117" t="s">
        <v>157</v>
      </c>
      <c r="C232" s="41"/>
      <c r="D232" s="1165"/>
      <c r="E232" s="1172">
        <f>IF(E203="[retail]",E230*$C$268,E209)</f>
        <v>20701.8470408345</v>
      </c>
      <c r="F232" s="1172">
        <f>IF(F203="[retail]",F230*$C$268,F209)</f>
        <v>20023.435507118</v>
      </c>
      <c r="G232" s="1172">
        <f>IF(G203="[retail]",G230*$C$268,G209)</f>
        <v>15144.8558723456</v>
      </c>
      <c r="H232" s="1172">
        <f>IF(H203="[retail]",H230*$C$268,H209)</f>
        <v>41151.0326220928</v>
      </c>
      <c r="I232" s="1172">
        <f>IF(I203="[retail]",I230*$C$268,I209)</f>
        <v>41151.0326220928</v>
      </c>
      <c r="J232" s="1172">
        <f>IF(J203="[retail]",J230*$C$268,J209)</f>
        <v>41151.0326220928</v>
      </c>
      <c r="K232" s="1172">
        <f>IF(K203="[retail]",K230*$C$268,K209)</f>
        <v>70129.2282285562</v>
      </c>
      <c r="L232" s="1172">
        <f>IF(L203="[retail]",L230*$C$268,L209)</f>
        <v>84184.4623246669</v>
      </c>
      <c r="M232" s="1172">
        <f>IF(M203="[retail]",M230*$C$268,M209)</f>
        <v>6382.7481463859</v>
      </c>
      <c r="N232" s="1172"/>
      <c r="O232" s="1192"/>
      <c r="P232" s="1080"/>
      <c r="R232" s="26"/>
      <c r="S232" s="26"/>
      <c r="T232" s="26"/>
      <c r="U232" s="26"/>
      <c r="V232" s="26"/>
      <c r="W232" s="26"/>
      <c r="X232" s="26"/>
      <c r="Y232" s="26"/>
      <c r="Z232" s="26"/>
      <c r="AA232" s="26"/>
      <c r="AB232" s="26"/>
    </row>
    <row r="233" spans="2:28">
      <c r="B233" s="1117"/>
      <c r="C233" s="1174"/>
      <c r="D233" s="1165"/>
      <c r="E233" s="1175"/>
      <c r="F233" s="264"/>
      <c r="G233" s="1176"/>
      <c r="H233" s="1177"/>
      <c r="I233" s="479"/>
      <c r="J233" s="38"/>
      <c r="K233" s="38"/>
      <c r="L233" s="38"/>
      <c r="M233" s="1193"/>
      <c r="N233" s="264"/>
      <c r="O233" s="1192"/>
      <c r="P233" s="1080"/>
      <c r="R233" s="26"/>
      <c r="S233" s="26"/>
      <c r="T233" s="26"/>
      <c r="U233" s="26"/>
      <c r="V233" s="26"/>
      <c r="W233" s="26"/>
      <c r="X233" s="26"/>
      <c r="Y233" s="26"/>
      <c r="Z233" s="26"/>
      <c r="AA233" s="26"/>
      <c r="AB233" s="26"/>
    </row>
    <row r="234" spans="2:28">
      <c r="B234" s="1117" t="s">
        <v>322</v>
      </c>
      <c r="C234" s="41" t="s">
        <v>385</v>
      </c>
      <c r="D234" s="1178">
        <f>SUM(E234:XN234)</f>
        <v>540113.982071291</v>
      </c>
      <c r="E234" s="1179">
        <f t="shared" ref="E234:M234" si="67">(E219-E224)*E231</f>
        <v>60725.4179864479</v>
      </c>
      <c r="F234" s="1179">
        <f t="shared" si="67"/>
        <v>58735.4108208795</v>
      </c>
      <c r="G234" s="1179">
        <f t="shared" si="67"/>
        <v>36044.7569761825</v>
      </c>
      <c r="H234" s="1179">
        <f t="shared" si="67"/>
        <v>97939.4576405809</v>
      </c>
      <c r="I234" s="1179">
        <f t="shared" si="67"/>
        <v>97939.4576405809</v>
      </c>
      <c r="J234" s="1179">
        <f t="shared" si="67"/>
        <v>97939.4576405809</v>
      </c>
      <c r="K234" s="1179">
        <f t="shared" si="67"/>
        <v>39272.3678079915</v>
      </c>
      <c r="L234" s="1179">
        <f t="shared" si="67"/>
        <v>48406.0658366835</v>
      </c>
      <c r="M234" s="1179">
        <f t="shared" si="67"/>
        <v>3111.58972136313</v>
      </c>
      <c r="N234" s="1179"/>
      <c r="O234" s="1192"/>
      <c r="P234" s="1080"/>
      <c r="R234" s="26"/>
      <c r="S234" s="26"/>
      <c r="T234" s="26"/>
      <c r="U234" s="26"/>
      <c r="V234" s="26"/>
      <c r="W234" s="26"/>
      <c r="X234" s="26"/>
      <c r="Y234" s="26"/>
      <c r="Z234" s="26"/>
      <c r="AA234" s="26"/>
      <c r="AB234" s="26"/>
    </row>
    <row r="235" spans="2:28">
      <c r="B235" s="1117"/>
      <c r="C235" s="41"/>
      <c r="D235" s="1165"/>
      <c r="E235" s="1175"/>
      <c r="F235" s="264"/>
      <c r="G235" s="264"/>
      <c r="H235" s="264"/>
      <c r="I235" s="1194"/>
      <c r="J235" s="41"/>
      <c r="K235" s="41"/>
      <c r="L235" s="41"/>
      <c r="M235" s="1193"/>
      <c r="N235" s="264"/>
      <c r="O235" s="1192"/>
      <c r="P235" s="1080"/>
      <c r="R235" s="26"/>
      <c r="S235" s="26"/>
      <c r="T235" s="26"/>
      <c r="U235" s="26"/>
      <c r="V235" s="26"/>
      <c r="W235" s="26"/>
      <c r="X235" s="26"/>
      <c r="Y235" s="26"/>
      <c r="Z235" s="26"/>
      <c r="AA235" s="26"/>
      <c r="AB235" s="26"/>
    </row>
    <row r="236" ht="12" spans="2:28">
      <c r="B236" s="1180" t="s">
        <v>386</v>
      </c>
      <c r="C236" s="1181" t="s">
        <v>385</v>
      </c>
      <c r="D236" s="1182">
        <f>D234-D204</f>
        <v>267057.733892036</v>
      </c>
      <c r="E236" s="1183"/>
      <c r="F236" s="1184"/>
      <c r="G236" s="1184"/>
      <c r="H236" s="1184"/>
      <c r="I236" s="1195"/>
      <c r="J236" s="1181"/>
      <c r="K236" s="1181"/>
      <c r="L236" s="1181"/>
      <c r="M236" s="1183"/>
      <c r="N236" s="1184"/>
      <c r="O236" s="1192"/>
      <c r="P236" s="1080"/>
      <c r="R236" s="26"/>
      <c r="S236" s="26"/>
      <c r="T236" s="26"/>
      <c r="U236" s="26"/>
      <c r="V236" s="26"/>
      <c r="W236" s="26"/>
      <c r="X236" s="26"/>
      <c r="Y236" s="26"/>
      <c r="Z236" s="26"/>
      <c r="AA236" s="26"/>
      <c r="AB236" s="26"/>
    </row>
    <row r="237" spans="2:28">
      <c r="B237" s="26"/>
      <c r="C237" s="40"/>
      <c r="D237" s="26"/>
      <c r="E237" s="26"/>
      <c r="F237" s="26"/>
      <c r="G237" s="26"/>
      <c r="H237" s="26"/>
      <c r="I237" s="26"/>
      <c r="J237" s="26"/>
      <c r="K237" s="26"/>
      <c r="L237" s="1196"/>
      <c r="M237" s="1197"/>
      <c r="N237" s="1197"/>
      <c r="O237" s="1192"/>
      <c r="P237" s="1080"/>
      <c r="R237" s="26"/>
      <c r="S237" s="26"/>
      <c r="T237" s="26"/>
      <c r="U237" s="26"/>
      <c r="V237" s="26"/>
      <c r="W237" s="26"/>
      <c r="X237" s="26"/>
      <c r="Y237" s="26"/>
      <c r="Z237" s="26"/>
      <c r="AA237" s="26"/>
      <c r="AB237" s="26"/>
    </row>
    <row r="238" spans="2:28">
      <c r="B238" s="26"/>
      <c r="C238" s="26"/>
      <c r="D238" s="26"/>
      <c r="E238" s="26"/>
      <c r="F238" s="26"/>
      <c r="G238" s="26"/>
      <c r="H238" s="26"/>
      <c r="I238" s="26"/>
      <c r="J238" s="26"/>
      <c r="K238" s="26"/>
      <c r="L238" s="1079"/>
      <c r="M238" s="1030"/>
      <c r="N238" s="1030"/>
      <c r="O238" s="1079"/>
      <c r="P238" s="1079"/>
      <c r="R238" s="26"/>
      <c r="S238" s="26"/>
      <c r="T238" s="26"/>
      <c r="U238" s="26"/>
      <c r="V238" s="26"/>
      <c r="W238" s="26"/>
      <c r="X238" s="26"/>
      <c r="Y238" s="26"/>
      <c r="Z238" s="26"/>
      <c r="AA238" s="26"/>
      <c r="AB238" s="26"/>
    </row>
    <row r="239" ht="15.75" spans="1:28">
      <c r="A239" s="677">
        <v>4</v>
      </c>
      <c r="B239" s="678" t="s">
        <v>387</v>
      </c>
      <c r="C239" s="678"/>
      <c r="D239" s="678"/>
      <c r="E239" s="26"/>
      <c r="F239" s="26"/>
      <c r="G239" s="26"/>
      <c r="H239" s="26"/>
      <c r="I239" s="26"/>
      <c r="J239" s="26"/>
      <c r="K239" s="26"/>
      <c r="L239" s="1192"/>
      <c r="M239" s="1197"/>
      <c r="N239" s="1197"/>
      <c r="O239" s="1192"/>
      <c r="P239" s="1192"/>
      <c r="R239" s="26"/>
      <c r="S239" s="26"/>
      <c r="T239" s="26"/>
      <c r="U239" s="26"/>
      <c r="V239" s="26"/>
      <c r="W239" s="26"/>
      <c r="X239" s="26"/>
      <c r="Y239" s="26"/>
      <c r="Z239" s="26"/>
      <c r="AA239" s="26"/>
      <c r="AB239" s="26"/>
    </row>
    <row r="240" ht="12" spans="2:28">
      <c r="B240" s="26"/>
      <c r="C240" s="26"/>
      <c r="D240" s="26"/>
      <c r="E240" s="26"/>
      <c r="F240" s="26"/>
      <c r="G240" s="26"/>
      <c r="H240" s="26"/>
      <c r="I240" s="26"/>
      <c r="J240" s="26"/>
      <c r="K240" s="26"/>
      <c r="L240" s="1079"/>
      <c r="M240" s="1030"/>
      <c r="N240" s="1030"/>
      <c r="O240" s="1079"/>
      <c r="P240" s="1079"/>
      <c r="R240" s="26"/>
      <c r="S240" s="26"/>
      <c r="T240" s="26"/>
      <c r="U240" s="26"/>
      <c r="V240" s="26"/>
      <c r="W240" s="26"/>
      <c r="X240" s="26"/>
      <c r="Y240" s="26"/>
      <c r="Z240" s="26"/>
      <c r="AA240" s="26"/>
      <c r="AB240" s="26"/>
    </row>
    <row r="241" spans="2:28">
      <c r="B241" s="1006"/>
      <c r="C241" s="1007"/>
      <c r="D241" s="1008"/>
      <c r="E241" s="1009" t="s">
        <v>103</v>
      </c>
      <c r="F241" s="1010"/>
      <c r="G241" s="1010"/>
      <c r="H241" s="1010"/>
      <c r="I241" s="1010"/>
      <c r="J241" s="1010"/>
      <c r="K241" s="1010"/>
      <c r="L241" s="1010"/>
      <c r="M241" s="1010"/>
      <c r="N241" s="1010"/>
      <c r="R241" s="26"/>
      <c r="S241" s="26"/>
      <c r="T241" s="26"/>
      <c r="U241" s="26"/>
      <c r="V241" s="26"/>
      <c r="W241" s="26"/>
      <c r="X241" s="26"/>
      <c r="Y241" s="26"/>
      <c r="Z241" s="26"/>
      <c r="AA241" s="26"/>
      <c r="AB241" s="26"/>
    </row>
    <row r="242" ht="12" spans="2:28">
      <c r="B242" s="1058" t="s">
        <v>363</v>
      </c>
      <c r="C242" s="1013"/>
      <c r="D242" s="1014" t="str">
        <f>$D$64</f>
        <v>TOTAL BRAND 01</v>
      </c>
      <c r="E242" s="1015" t="s">
        <v>293</v>
      </c>
      <c r="F242" s="1015" t="s">
        <v>294</v>
      </c>
      <c r="G242" s="1015" t="s">
        <v>295</v>
      </c>
      <c r="H242" s="1015" t="s">
        <v>296</v>
      </c>
      <c r="I242" s="1066" t="s">
        <v>297</v>
      </c>
      <c r="J242" s="1067" t="s">
        <v>298</v>
      </c>
      <c r="K242" s="1067" t="s">
        <v>299</v>
      </c>
      <c r="L242" s="1067" t="s">
        <v>300</v>
      </c>
      <c r="M242" s="1067" t="s">
        <v>301</v>
      </c>
      <c r="N242" s="1067"/>
      <c r="R242" s="26"/>
      <c r="S242" s="26"/>
      <c r="T242" s="26"/>
      <c r="U242" s="26"/>
      <c r="V242" s="26"/>
      <c r="W242" s="26"/>
      <c r="X242" s="26"/>
      <c r="Y242" s="26"/>
      <c r="Z242" s="26"/>
      <c r="AA242" s="26"/>
      <c r="AB242" s="26"/>
    </row>
    <row r="243" ht="12.75" spans="2:28">
      <c r="B243" s="1185"/>
      <c r="C243" s="1023"/>
      <c r="D243" s="1186"/>
      <c r="E243" s="1015" t="s">
        <v>221</v>
      </c>
      <c r="F243" s="1015" t="s">
        <v>221</v>
      </c>
      <c r="G243" s="1015" t="s">
        <v>221</v>
      </c>
      <c r="H243" s="1015" t="s">
        <v>221</v>
      </c>
      <c r="I243" s="1015" t="s">
        <v>221</v>
      </c>
      <c r="J243" s="1015" t="s">
        <v>221</v>
      </c>
      <c r="K243" s="1015" t="s">
        <v>241</v>
      </c>
      <c r="L243" s="1015" t="s">
        <v>241</v>
      </c>
      <c r="M243" s="1015" t="s">
        <v>221</v>
      </c>
      <c r="N243" s="1015"/>
      <c r="R243" s="26"/>
      <c r="S243" s="26"/>
      <c r="T243" s="26"/>
      <c r="U243" s="26"/>
      <c r="V243" s="26"/>
      <c r="W243" s="26"/>
      <c r="X243" s="26"/>
      <c r="Y243" s="26"/>
      <c r="Z243" s="26"/>
      <c r="AA243" s="26"/>
      <c r="AB243" s="26"/>
    </row>
    <row r="244" ht="12" spans="2:28">
      <c r="B244" s="1021" t="s">
        <v>311</v>
      </c>
      <c r="C244" s="1018" t="s">
        <v>349</v>
      </c>
      <c r="D244" s="1020">
        <f>$E$12</f>
        <v>273056.248179254</v>
      </c>
      <c r="E244" s="38"/>
      <c r="F244" s="38"/>
      <c r="G244" s="38"/>
      <c r="H244" s="38"/>
      <c r="I244" s="378"/>
      <c r="J244" s="378"/>
      <c r="K244" s="378"/>
      <c r="L244" s="378"/>
      <c r="M244" s="378"/>
      <c r="N244" s="378"/>
      <c r="R244" s="26"/>
      <c r="S244" s="26"/>
      <c r="T244" s="26"/>
      <c r="U244" s="26"/>
      <c r="V244" s="26"/>
      <c r="W244" s="26"/>
      <c r="X244" s="26"/>
      <c r="Y244" s="26"/>
      <c r="Z244" s="26"/>
      <c r="AA244" s="26"/>
      <c r="AB244" s="26"/>
    </row>
    <row r="245" spans="2:28">
      <c r="B245" s="1021" t="s">
        <v>364</v>
      </c>
      <c r="C245" s="1018" t="s">
        <v>349</v>
      </c>
      <c r="D245" s="1024"/>
      <c r="E245" s="1085">
        <v>4.49</v>
      </c>
      <c r="F245" s="1085">
        <v>6.99</v>
      </c>
      <c r="G245" s="1085">
        <v>5.49</v>
      </c>
      <c r="H245" s="1085">
        <v>6.99</v>
      </c>
      <c r="I245" s="1085">
        <v>5.99</v>
      </c>
      <c r="J245" s="1085">
        <v>5.99</v>
      </c>
      <c r="K245" s="1085">
        <v>2.45</v>
      </c>
      <c r="L245" s="1085">
        <v>2.99</v>
      </c>
      <c r="M245" s="1085">
        <v>1.99</v>
      </c>
      <c r="N245" s="1085"/>
      <c r="R245" s="26"/>
      <c r="S245" s="26"/>
      <c r="T245" s="26"/>
      <c r="U245" s="26"/>
      <c r="V245" s="26"/>
      <c r="W245" s="26"/>
      <c r="X245" s="26"/>
      <c r="Y245" s="26"/>
      <c r="Z245" s="26"/>
      <c r="AA245" s="26"/>
      <c r="AB245" s="26"/>
    </row>
    <row r="246" spans="2:28">
      <c r="B246" s="1021" t="s">
        <v>365</v>
      </c>
      <c r="C246" s="1018" t="s">
        <v>349</v>
      </c>
      <c r="D246" s="1024"/>
      <c r="E246" s="1085">
        <v>0.82</v>
      </c>
      <c r="F246" s="1085">
        <v>0.86</v>
      </c>
      <c r="G246" s="1085">
        <v>0.83</v>
      </c>
      <c r="H246" s="1085">
        <v>0.84</v>
      </c>
      <c r="I246" s="1085">
        <v>0.83</v>
      </c>
      <c r="J246" s="1085">
        <v>0.83</v>
      </c>
      <c r="K246" s="1085">
        <v>0.82</v>
      </c>
      <c r="L246" s="1085">
        <v>0.86</v>
      </c>
      <c r="M246" s="1085">
        <v>0.83</v>
      </c>
      <c r="N246" s="1085"/>
      <c r="R246" s="26"/>
      <c r="S246" s="26"/>
      <c r="T246" s="26"/>
      <c r="U246" s="26"/>
      <c r="V246" s="26"/>
      <c r="W246" s="26"/>
      <c r="X246" s="26"/>
      <c r="Y246" s="26"/>
      <c r="Z246" s="26"/>
      <c r="AA246" s="26"/>
      <c r="AB246" s="26"/>
    </row>
    <row r="247" spans="2:28">
      <c r="B247" s="1021" t="s">
        <v>366</v>
      </c>
      <c r="C247" s="1018" t="s">
        <v>349</v>
      </c>
      <c r="D247" s="1024"/>
      <c r="E247" s="1085">
        <f t="shared" ref="E247:M247" si="68">E245-E246</f>
        <v>3.67</v>
      </c>
      <c r="F247" s="1085">
        <f t="shared" si="68"/>
        <v>6.13</v>
      </c>
      <c r="G247" s="1085">
        <f t="shared" si="68"/>
        <v>4.66</v>
      </c>
      <c r="H247" s="1085">
        <f t="shared" si="68"/>
        <v>6.15</v>
      </c>
      <c r="I247" s="1085">
        <f t="shared" si="68"/>
        <v>5.16</v>
      </c>
      <c r="J247" s="1085">
        <f t="shared" si="68"/>
        <v>5.16</v>
      </c>
      <c r="K247" s="1085">
        <f t="shared" si="68"/>
        <v>1.63</v>
      </c>
      <c r="L247" s="1085">
        <f t="shared" si="68"/>
        <v>2.13</v>
      </c>
      <c r="M247" s="1085">
        <f t="shared" si="68"/>
        <v>1.16</v>
      </c>
      <c r="N247" s="1085"/>
      <c r="R247" s="26"/>
      <c r="S247" s="26"/>
      <c r="T247" s="26"/>
      <c r="U247" s="26"/>
      <c r="V247" s="26"/>
      <c r="W247" s="26"/>
      <c r="X247" s="26"/>
      <c r="Y247" s="26"/>
      <c r="Z247" s="26"/>
      <c r="AA247" s="26"/>
      <c r="AB247" s="26"/>
    </row>
    <row r="248" spans="2:28">
      <c r="B248" s="1021" t="s">
        <v>367</v>
      </c>
      <c r="C248" s="1018" t="s">
        <v>109</v>
      </c>
      <c r="D248" s="1086">
        <f>(D250-D252)/D250</f>
        <v>0.788009075090769</v>
      </c>
      <c r="E248" s="1087">
        <f t="shared" ref="E248:M248" si="69">E247/E245</f>
        <v>0.817371937639198</v>
      </c>
      <c r="F248" s="1087">
        <f t="shared" si="69"/>
        <v>0.876967095851216</v>
      </c>
      <c r="G248" s="1087">
        <f t="shared" si="69"/>
        <v>0.848816029143898</v>
      </c>
      <c r="H248" s="1087">
        <f t="shared" si="69"/>
        <v>0.879828326180258</v>
      </c>
      <c r="I248" s="1087">
        <f t="shared" si="69"/>
        <v>0.861435726210351</v>
      </c>
      <c r="J248" s="1087">
        <f t="shared" si="69"/>
        <v>0.861435726210351</v>
      </c>
      <c r="K248" s="1087">
        <f t="shared" si="69"/>
        <v>0.66530612244898</v>
      </c>
      <c r="L248" s="1087">
        <f t="shared" si="69"/>
        <v>0.712374581939799</v>
      </c>
      <c r="M248" s="1087">
        <f t="shared" si="69"/>
        <v>0.582914572864322</v>
      </c>
      <c r="N248" s="1087"/>
      <c r="R248" s="26"/>
      <c r="S248" s="26"/>
      <c r="T248" s="26"/>
      <c r="U248" s="26"/>
      <c r="V248" s="26"/>
      <c r="W248" s="26"/>
      <c r="X248" s="26"/>
      <c r="Y248" s="26"/>
      <c r="Z248" s="26"/>
      <c r="AA248" s="26"/>
      <c r="AB248" s="26"/>
    </row>
    <row r="249" spans="2:28">
      <c r="B249" s="1021" t="s">
        <v>368</v>
      </c>
      <c r="C249" s="1018" t="s">
        <v>369</v>
      </c>
      <c r="D249" s="1024"/>
      <c r="E249" s="1088">
        <v>10350.9235204173</v>
      </c>
      <c r="F249" s="1088">
        <v>10011.717753559</v>
      </c>
      <c r="G249" s="1088">
        <v>7572.4279361728</v>
      </c>
      <c r="H249" s="1088">
        <v>20575.5163110464</v>
      </c>
      <c r="I249" s="1088">
        <v>20575.5163110464</v>
      </c>
      <c r="J249" s="1088">
        <v>20575.5163110464</v>
      </c>
      <c r="K249" s="1088">
        <v>70129.2282285562</v>
      </c>
      <c r="L249" s="1088">
        <v>84184.4623246669</v>
      </c>
      <c r="M249" s="1088">
        <v>3191.37407319295</v>
      </c>
      <c r="N249" s="1088"/>
      <c r="R249" s="26"/>
      <c r="S249" s="26"/>
      <c r="T249" s="26"/>
      <c r="U249" s="26"/>
      <c r="V249" s="26"/>
      <c r="W249" s="26"/>
      <c r="X249" s="26"/>
      <c r="Y249" s="26"/>
      <c r="Z249" s="26"/>
      <c r="AA249" s="26"/>
      <c r="AB249" s="26"/>
    </row>
    <row r="250" spans="2:28">
      <c r="B250" s="1021" t="s">
        <v>320</v>
      </c>
      <c r="C250" s="1018" t="s">
        <v>349</v>
      </c>
      <c r="D250" s="1020">
        <f>SUM(E250:XN250)</f>
        <v>978226.713410561</v>
      </c>
      <c r="E250" s="475">
        <f t="shared" ref="E250:M250" si="70">E245*E249</f>
        <v>46475.6466066735</v>
      </c>
      <c r="F250" s="475">
        <f t="shared" si="70"/>
        <v>69981.9070973775</v>
      </c>
      <c r="G250" s="475">
        <f t="shared" si="70"/>
        <v>41572.6293695887</v>
      </c>
      <c r="H250" s="475">
        <f t="shared" si="70"/>
        <v>143822.859014214</v>
      </c>
      <c r="I250" s="475">
        <f t="shared" si="70"/>
        <v>123247.342703168</v>
      </c>
      <c r="J250" s="475">
        <f t="shared" si="70"/>
        <v>123247.342703168</v>
      </c>
      <c r="K250" s="475">
        <f t="shared" si="70"/>
        <v>171816.609159963</v>
      </c>
      <c r="L250" s="475">
        <f t="shared" si="70"/>
        <v>251711.542350754</v>
      </c>
      <c r="M250" s="475">
        <f t="shared" si="70"/>
        <v>6350.83440565397</v>
      </c>
      <c r="N250" s="475"/>
      <c r="R250" s="26"/>
      <c r="S250" s="26"/>
      <c r="T250" s="26"/>
      <c r="U250" s="26"/>
      <c r="V250" s="26"/>
      <c r="W250" s="26"/>
      <c r="X250" s="26"/>
      <c r="Y250" s="26"/>
      <c r="Z250" s="26"/>
      <c r="AA250" s="26"/>
      <c r="AB250" s="26"/>
    </row>
    <row r="251" spans="2:28">
      <c r="B251" s="1021" t="s">
        <v>370</v>
      </c>
      <c r="C251" s="1018" t="s">
        <v>109</v>
      </c>
      <c r="D251" s="1089"/>
      <c r="E251" s="1087">
        <f>E250/$D250</f>
        <v>0.0475100975771122</v>
      </c>
      <c r="F251" s="1087">
        <f>F250/$D250</f>
        <v>0.0715395584050117</v>
      </c>
      <c r="G251" s="1087">
        <f>G250/$D250</f>
        <v>0.0424979494013682</v>
      </c>
      <c r="H251" s="1087">
        <f>H250/$D250</f>
        <v>0.147024055919287</v>
      </c>
      <c r="I251" s="1087">
        <f>I250/$D250</f>
        <v>0.125990571524539</v>
      </c>
      <c r="J251" s="1087">
        <f>J250/$D250</f>
        <v>0.125990571524539</v>
      </c>
      <c r="K251" s="1087">
        <f>K250/$D250</f>
        <v>0.175640888563479</v>
      </c>
      <c r="L251" s="1087">
        <f>L250/$D250</f>
        <v>0.257314116349541</v>
      </c>
      <c r="M251" s="1087">
        <f>M250/$D250</f>
        <v>0.00649219073512311</v>
      </c>
      <c r="N251" s="1087"/>
      <c r="R251" s="26"/>
      <c r="S251" s="26"/>
      <c r="T251" s="26"/>
      <c r="U251" s="26"/>
      <c r="V251" s="26"/>
      <c r="W251" s="26"/>
      <c r="X251" s="26"/>
      <c r="Y251" s="26"/>
      <c r="Z251" s="26"/>
      <c r="AA251" s="26"/>
      <c r="AB251" s="26"/>
    </row>
    <row r="252" spans="2:28">
      <c r="B252" s="1021" t="s">
        <v>371</v>
      </c>
      <c r="C252" s="1018" t="s">
        <v>349</v>
      </c>
      <c r="D252" s="1020">
        <f>SUM(E252:XN252)</f>
        <v>207375.185746822</v>
      </c>
      <c r="E252" s="475">
        <f t="shared" ref="E252:M252" si="71">E246*E249</f>
        <v>8487.75728674215</v>
      </c>
      <c r="F252" s="475">
        <f t="shared" si="71"/>
        <v>8610.07726806075</v>
      </c>
      <c r="G252" s="475">
        <f t="shared" si="71"/>
        <v>6285.11518702342</v>
      </c>
      <c r="H252" s="475">
        <f t="shared" si="71"/>
        <v>17283.433701279</v>
      </c>
      <c r="I252" s="475">
        <f t="shared" si="71"/>
        <v>17077.6785381685</v>
      </c>
      <c r="J252" s="475">
        <f t="shared" si="71"/>
        <v>17077.6785381685</v>
      </c>
      <c r="K252" s="475">
        <f t="shared" si="71"/>
        <v>57505.9671474161</v>
      </c>
      <c r="L252" s="475">
        <f t="shared" si="71"/>
        <v>72398.6375992135</v>
      </c>
      <c r="M252" s="475">
        <f t="shared" si="71"/>
        <v>2648.84048075015</v>
      </c>
      <c r="N252" s="475"/>
      <c r="R252" s="26"/>
      <c r="S252" s="26"/>
      <c r="T252" s="26"/>
      <c r="U252" s="26"/>
      <c r="V252" s="26"/>
      <c r="W252" s="26"/>
      <c r="X252" s="26"/>
      <c r="Y252" s="26"/>
      <c r="Z252" s="26"/>
      <c r="AA252" s="26"/>
      <c r="AB252" s="26"/>
    </row>
    <row r="253" spans="2:28">
      <c r="B253" s="1021" t="s">
        <v>322</v>
      </c>
      <c r="C253" s="1018" t="s">
        <v>349</v>
      </c>
      <c r="D253" s="1020">
        <f>SUM(E253:XN253)</f>
        <v>770851.527663738</v>
      </c>
      <c r="E253" s="475">
        <f t="shared" ref="E253:M253" si="72">E250-E252</f>
        <v>37987.8893199314</v>
      </c>
      <c r="F253" s="475">
        <f t="shared" si="72"/>
        <v>61371.8298293167</v>
      </c>
      <c r="G253" s="475">
        <f t="shared" si="72"/>
        <v>35287.5141825653</v>
      </c>
      <c r="H253" s="475">
        <f t="shared" si="72"/>
        <v>126539.425312935</v>
      </c>
      <c r="I253" s="475">
        <f t="shared" si="72"/>
        <v>106169.664164999</v>
      </c>
      <c r="J253" s="475">
        <f t="shared" si="72"/>
        <v>106169.664164999</v>
      </c>
      <c r="K253" s="475">
        <f t="shared" si="72"/>
        <v>114310.642012547</v>
      </c>
      <c r="L253" s="475">
        <f t="shared" si="72"/>
        <v>179312.904751541</v>
      </c>
      <c r="M253" s="475">
        <f t="shared" si="72"/>
        <v>3701.99392490382</v>
      </c>
      <c r="N253" s="475"/>
      <c r="R253" s="26"/>
      <c r="S253" s="26"/>
      <c r="T253" s="26"/>
      <c r="U253" s="26"/>
      <c r="V253" s="26"/>
      <c r="W253" s="26"/>
      <c r="X253" s="26"/>
      <c r="Y253" s="26"/>
      <c r="Z253" s="26"/>
      <c r="AA253" s="26"/>
      <c r="AB253" s="26"/>
    </row>
    <row r="254" spans="2:28">
      <c r="B254" s="1021"/>
      <c r="C254" s="1018" t="s">
        <v>109</v>
      </c>
      <c r="D254" s="1024"/>
      <c r="E254" s="1087">
        <f>E253/$D253</f>
        <v>0.0492804229564976</v>
      </c>
      <c r="F254" s="1087">
        <f>F253/$D253</f>
        <v>0.0796156297637752</v>
      </c>
      <c r="G254" s="1087">
        <f>G253/$D253</f>
        <v>0.045777316274527</v>
      </c>
      <c r="H254" s="1087">
        <f>H253/$D253</f>
        <v>0.164155379825795</v>
      </c>
      <c r="I254" s="1087">
        <f>I253/$D253</f>
        <v>0.137730367463594</v>
      </c>
      <c r="J254" s="1087">
        <f>J253/$D253</f>
        <v>0.137730367463594</v>
      </c>
      <c r="K254" s="1087">
        <f>K253/$D253</f>
        <v>0.148291386746024</v>
      </c>
      <c r="L254" s="1087">
        <f>L253/$D253</f>
        <v>0.232616656147772</v>
      </c>
      <c r="M254" s="1087">
        <f>M253/$D253</f>
        <v>0.00480247335842177</v>
      </c>
      <c r="N254" s="1087"/>
      <c r="R254" s="26"/>
      <c r="S254" s="26"/>
      <c r="T254" s="26"/>
      <c r="U254" s="26"/>
      <c r="V254" s="26"/>
      <c r="W254" s="26"/>
      <c r="X254" s="26"/>
      <c r="Y254" s="26"/>
      <c r="Z254" s="26"/>
      <c r="AA254" s="26"/>
      <c r="AB254" s="26"/>
    </row>
    <row r="255" ht="12" spans="2:28">
      <c r="B255" s="1090" t="s">
        <v>330</v>
      </c>
      <c r="C255" s="1091" t="s">
        <v>349</v>
      </c>
      <c r="D255" s="1161">
        <f>D253-D244</f>
        <v>497795.279484484</v>
      </c>
      <c r="E255" s="1162"/>
      <c r="F255" s="1162"/>
      <c r="G255" s="1162"/>
      <c r="H255" s="1162"/>
      <c r="I255" s="1162"/>
      <c r="J255" s="681"/>
      <c r="K255" s="682"/>
      <c r="L255" s="682"/>
      <c r="M255" s="1188"/>
      <c r="N255" s="682"/>
      <c r="R255" s="26"/>
      <c r="S255" s="26"/>
      <c r="T255" s="26"/>
      <c r="U255" s="26"/>
      <c r="V255" s="26"/>
      <c r="W255" s="26"/>
      <c r="X255" s="26"/>
      <c r="Y255" s="26"/>
      <c r="Z255" s="26"/>
      <c r="AA255" s="26"/>
      <c r="AB255" s="26"/>
    </row>
    <row r="256" ht="12" spans="2:28">
      <c r="B256" s="26"/>
      <c r="C256" s="26"/>
      <c r="E256" s="26"/>
      <c r="F256" s="26"/>
      <c r="G256" s="26"/>
      <c r="H256" s="26"/>
      <c r="I256" s="26"/>
      <c r="J256" s="26"/>
      <c r="L256" s="379"/>
      <c r="R256" s="26"/>
      <c r="S256" s="26"/>
      <c r="T256" s="26"/>
      <c r="U256" s="26"/>
      <c r="V256" s="26"/>
      <c r="W256" s="26"/>
      <c r="X256" s="26"/>
      <c r="Y256" s="26"/>
      <c r="Z256" s="26"/>
      <c r="AA256" s="26"/>
      <c r="AB256" s="26"/>
    </row>
    <row r="257" spans="2:28">
      <c r="B257" s="1132" t="s">
        <v>379</v>
      </c>
      <c r="C257" s="1116" t="s">
        <v>154</v>
      </c>
      <c r="D257" s="1199"/>
      <c r="E257" s="1164">
        <v>3</v>
      </c>
      <c r="F257" s="1164">
        <v>3</v>
      </c>
      <c r="G257" s="1164">
        <v>2.5</v>
      </c>
      <c r="H257" s="1164">
        <v>2.5</v>
      </c>
      <c r="I257" s="1164">
        <v>2.5</v>
      </c>
      <c r="J257" s="1210">
        <v>2.5</v>
      </c>
      <c r="K257" s="1210">
        <v>1</v>
      </c>
      <c r="L257" s="1210">
        <v>1</v>
      </c>
      <c r="M257" s="1210">
        <v>1</v>
      </c>
      <c r="N257" s="1211">
        <v>1</v>
      </c>
      <c r="O257" s="1143"/>
      <c r="P257" s="1143"/>
      <c r="R257" s="26"/>
      <c r="S257" s="26"/>
      <c r="T257" s="26"/>
      <c r="U257" s="26"/>
      <c r="V257" s="26"/>
      <c r="W257" s="26"/>
      <c r="X257" s="26"/>
      <c r="Y257" s="26"/>
      <c r="Z257" s="26"/>
      <c r="AA257" s="26"/>
      <c r="AB257" s="26"/>
    </row>
    <row r="258" spans="2:28">
      <c r="B258" s="1117"/>
      <c r="C258" s="41" t="s">
        <v>155</v>
      </c>
      <c r="D258" s="1200"/>
      <c r="E258" s="1166">
        <v>4</v>
      </c>
      <c r="F258" s="1166">
        <v>4</v>
      </c>
      <c r="G258" s="1166">
        <v>3.5</v>
      </c>
      <c r="H258" s="1166">
        <v>3.5</v>
      </c>
      <c r="I258" s="1166">
        <v>3.5</v>
      </c>
      <c r="J258" s="1166">
        <v>3.5</v>
      </c>
      <c r="K258" s="1166">
        <v>1.25</v>
      </c>
      <c r="L258" s="1166">
        <v>1.28</v>
      </c>
      <c r="M258" s="1166">
        <v>1.28</v>
      </c>
      <c r="N258" s="1212">
        <v>1.28</v>
      </c>
      <c r="O258" s="1143"/>
      <c r="P258" s="1143"/>
      <c r="R258" s="26"/>
      <c r="S258" s="26"/>
      <c r="T258" s="26"/>
      <c r="U258" s="26"/>
      <c r="V258" s="26"/>
      <c r="W258" s="26"/>
      <c r="X258" s="26"/>
      <c r="Y258" s="26"/>
      <c r="Z258" s="26"/>
      <c r="AA258" s="26"/>
      <c r="AB258" s="26"/>
    </row>
    <row r="259" spans="2:28">
      <c r="B259" s="1117"/>
      <c r="C259" s="906" t="s">
        <v>156</v>
      </c>
      <c r="D259" s="1200"/>
      <c r="E259" s="1167">
        <v>5</v>
      </c>
      <c r="F259" s="1167">
        <v>5</v>
      </c>
      <c r="G259" s="1167">
        <v>4</v>
      </c>
      <c r="H259" s="1167">
        <v>4</v>
      </c>
      <c r="I259" s="1167">
        <v>4</v>
      </c>
      <c r="J259" s="1213">
        <v>4</v>
      </c>
      <c r="K259" s="1213">
        <v>1.3</v>
      </c>
      <c r="L259" s="1213">
        <v>1.35</v>
      </c>
      <c r="M259" s="1213">
        <v>1.35</v>
      </c>
      <c r="N259" s="1214">
        <v>1.35</v>
      </c>
      <c r="O259" s="1143"/>
      <c r="P259" s="1143"/>
      <c r="R259" s="26"/>
      <c r="S259" s="26"/>
      <c r="T259" s="26"/>
      <c r="U259" s="26"/>
      <c r="V259" s="26"/>
      <c r="W259" s="26"/>
      <c r="X259" s="26"/>
      <c r="Y259" s="26"/>
      <c r="Z259" s="26"/>
      <c r="AA259" s="26"/>
      <c r="AB259" s="26"/>
    </row>
    <row r="260" spans="2:28">
      <c r="B260" s="1117"/>
      <c r="C260" s="41" t="s">
        <v>157</v>
      </c>
      <c r="D260" s="1200"/>
      <c r="E260" s="1167">
        <v>6</v>
      </c>
      <c r="F260" s="1167">
        <v>6</v>
      </c>
      <c r="G260" s="1167">
        <v>5</v>
      </c>
      <c r="H260" s="1167">
        <v>5</v>
      </c>
      <c r="I260" s="1167">
        <v>5</v>
      </c>
      <c r="J260" s="1213">
        <v>5</v>
      </c>
      <c r="K260" s="1213">
        <v>1.5</v>
      </c>
      <c r="L260" s="1213">
        <v>1.5</v>
      </c>
      <c r="M260" s="1213">
        <v>1.5</v>
      </c>
      <c r="N260" s="1214">
        <v>1.5</v>
      </c>
      <c r="O260" s="1143"/>
      <c r="P260" s="1143"/>
      <c r="R260" s="26"/>
      <c r="S260" s="26"/>
      <c r="T260" s="26"/>
      <c r="U260" s="26"/>
      <c r="V260" s="26"/>
      <c r="W260" s="26"/>
      <c r="X260" s="26"/>
      <c r="Y260" s="26"/>
      <c r="Z260" s="26"/>
      <c r="AA260" s="26"/>
      <c r="AB260" s="26"/>
    </row>
    <row r="261" spans="2:28">
      <c r="B261" s="1117"/>
      <c r="C261" s="41"/>
      <c r="D261" s="1200"/>
      <c r="E261" s="1168"/>
      <c r="F261" s="1168"/>
      <c r="G261" s="1168"/>
      <c r="H261" s="1168"/>
      <c r="I261" s="1191"/>
      <c r="J261" s="1168"/>
      <c r="K261" s="1168"/>
      <c r="L261" s="1168"/>
      <c r="M261" s="1168"/>
      <c r="N261" s="1215"/>
      <c r="O261" s="1143"/>
      <c r="P261" s="1143"/>
      <c r="R261" s="26"/>
      <c r="S261" s="26"/>
      <c r="T261" s="26"/>
      <c r="U261" s="26"/>
      <c r="V261" s="26"/>
      <c r="W261" s="26"/>
      <c r="X261" s="26"/>
      <c r="Y261" s="26"/>
      <c r="Z261" s="26"/>
      <c r="AA261" s="26"/>
      <c r="AB261" s="26"/>
    </row>
    <row r="262" spans="2:28">
      <c r="B262" s="1117" t="s">
        <v>380</v>
      </c>
      <c r="C262" s="41" t="s">
        <v>154</v>
      </c>
      <c r="D262" s="1200"/>
      <c r="E262" s="1167">
        <v>0.4</v>
      </c>
      <c r="F262" s="1167">
        <v>0.4</v>
      </c>
      <c r="G262" s="1167">
        <v>0.4</v>
      </c>
      <c r="H262" s="1167">
        <v>0.4</v>
      </c>
      <c r="I262" s="1167">
        <v>0.4</v>
      </c>
      <c r="J262" s="1213">
        <v>0.4</v>
      </c>
      <c r="K262" s="1213">
        <v>0.4</v>
      </c>
      <c r="L262" s="1213">
        <v>0.4</v>
      </c>
      <c r="M262" s="1213">
        <v>0.4</v>
      </c>
      <c r="N262" s="1214">
        <v>0.4</v>
      </c>
      <c r="O262" s="1143"/>
      <c r="P262" s="1143"/>
      <c r="R262" s="26"/>
      <c r="S262" s="26"/>
      <c r="T262" s="26"/>
      <c r="U262" s="26"/>
      <c r="V262" s="26"/>
      <c r="W262" s="26"/>
      <c r="X262" s="26"/>
      <c r="Y262" s="26"/>
      <c r="Z262" s="26"/>
      <c r="AA262" s="26"/>
      <c r="AB262" s="26"/>
    </row>
    <row r="263" spans="2:28">
      <c r="B263" s="1117"/>
      <c r="C263" s="41" t="s">
        <v>155</v>
      </c>
      <c r="D263" s="1200"/>
      <c r="E263" s="1166">
        <v>0.53</v>
      </c>
      <c r="F263" s="1166">
        <v>0.53</v>
      </c>
      <c r="G263" s="1166">
        <v>0.5</v>
      </c>
      <c r="H263" s="1166">
        <v>0.5</v>
      </c>
      <c r="I263" s="1166">
        <v>0.5</v>
      </c>
      <c r="J263" s="1166">
        <v>0.5</v>
      </c>
      <c r="K263" s="1166">
        <v>0.41</v>
      </c>
      <c r="L263" s="1166">
        <v>0.41</v>
      </c>
      <c r="M263" s="1166">
        <v>0.41</v>
      </c>
      <c r="N263" s="1212">
        <v>0.41</v>
      </c>
      <c r="O263" s="1143"/>
      <c r="P263" s="1143"/>
      <c r="R263" s="26"/>
      <c r="S263" s="26"/>
      <c r="T263" s="26"/>
      <c r="U263" s="26"/>
      <c r="V263" s="26"/>
      <c r="W263" s="26"/>
      <c r="X263" s="26"/>
      <c r="Y263" s="26"/>
      <c r="Z263" s="26"/>
      <c r="AA263" s="26"/>
      <c r="AB263" s="26"/>
    </row>
    <row r="264" spans="2:28">
      <c r="B264" s="1117"/>
      <c r="C264" s="906" t="s">
        <v>156</v>
      </c>
      <c r="D264" s="1200"/>
      <c r="E264" s="1167">
        <v>0.6</v>
      </c>
      <c r="F264" s="1167">
        <v>0.6</v>
      </c>
      <c r="G264" s="1167">
        <v>0.6</v>
      </c>
      <c r="H264" s="1167">
        <v>0.6</v>
      </c>
      <c r="I264" s="1167">
        <v>0.6</v>
      </c>
      <c r="J264" s="1213">
        <v>0.6</v>
      </c>
      <c r="K264" s="1213">
        <v>0.6</v>
      </c>
      <c r="L264" s="1213">
        <v>0.6</v>
      </c>
      <c r="M264" s="1213">
        <v>0.6</v>
      </c>
      <c r="N264" s="1214">
        <v>0.6</v>
      </c>
      <c r="O264" s="1143"/>
      <c r="P264" s="1143"/>
      <c r="R264" s="26"/>
      <c r="S264" s="26"/>
      <c r="T264" s="26"/>
      <c r="U264" s="26"/>
      <c r="V264" s="26"/>
      <c r="W264" s="26"/>
      <c r="X264" s="26"/>
      <c r="Y264" s="26"/>
      <c r="Z264" s="26"/>
      <c r="AA264" s="26"/>
      <c r="AB264" s="26"/>
    </row>
    <row r="265" spans="2:28">
      <c r="B265" s="1117"/>
      <c r="C265" s="41" t="s">
        <v>157</v>
      </c>
      <c r="D265" s="1200"/>
      <c r="E265" s="1167">
        <v>0.9</v>
      </c>
      <c r="F265" s="1167">
        <v>0.9</v>
      </c>
      <c r="G265" s="1167">
        <v>0.9</v>
      </c>
      <c r="H265" s="1167">
        <v>0.9</v>
      </c>
      <c r="I265" s="1167">
        <v>0.9</v>
      </c>
      <c r="J265" s="1213">
        <v>0.9</v>
      </c>
      <c r="K265" s="1213">
        <v>0.9</v>
      </c>
      <c r="L265" s="1213">
        <v>0.9</v>
      </c>
      <c r="M265" s="1213">
        <v>0.9</v>
      </c>
      <c r="N265" s="1214">
        <v>0.9</v>
      </c>
      <c r="O265" s="1143"/>
      <c r="P265" s="1143"/>
      <c r="R265" s="26"/>
      <c r="S265" s="26"/>
      <c r="T265" s="26"/>
      <c r="U265" s="26"/>
      <c r="V265" s="26"/>
      <c r="W265" s="26"/>
      <c r="X265" s="26"/>
      <c r="Y265" s="26"/>
      <c r="Z265" s="26"/>
      <c r="AA265" s="26"/>
      <c r="AB265" s="26"/>
    </row>
    <row r="266" spans="2:28">
      <c r="B266" s="1117"/>
      <c r="C266" s="41"/>
      <c r="D266" s="1200"/>
      <c r="E266" s="1201" t="b">
        <f>VLOOKUP(E242&amp;"  Name",'Sim-Report'!$B$6:$AZ$8000,CycleInCalculation+2,FALSE)="Special Offer"</f>
        <v>0</v>
      </c>
      <c r="F266" s="1201" t="b">
        <f>VLOOKUP(F242&amp;"  Name",'Sim-Report'!$B$6:$AZ$8000,CycleInCalculation+2,FALSE)="Special Offer"</f>
        <v>0</v>
      </c>
      <c r="G266" s="1201" t="b">
        <f>VLOOKUP(G242&amp;"  Name",'Sim-Report'!$B$6:$AZ$8000,CycleInCalculation+2,FALSE)="Special Offer"</f>
        <v>0</v>
      </c>
      <c r="H266" s="1201" t="b">
        <f>VLOOKUP(H242&amp;"  Name",'Sim-Report'!$B$6:$AZ$8000,CycleInCalculation+2,FALSE)="Special Offer"</f>
        <v>0</v>
      </c>
      <c r="I266" s="1201" t="b">
        <f>VLOOKUP(I242&amp;"  Name",'Sim-Report'!$B$6:$AZ$8000,CycleInCalculation+2,FALSE)="Special Offer"</f>
        <v>0</v>
      </c>
      <c r="J266" s="1201" t="b">
        <f>VLOOKUP(J242&amp;"  Name",'Sim-Report'!$B$6:$AZ$8000,CycleInCalculation+2,FALSE)="Special Offer"</f>
        <v>0</v>
      </c>
      <c r="K266" s="1201" t="b">
        <f>VLOOKUP(K242&amp;"  Name",'Sim-Report'!$B$6:$AZ$8000,CycleInCalculation+2,FALSE)="Special Offer"</f>
        <v>0</v>
      </c>
      <c r="L266" s="1201" t="b">
        <f>VLOOKUP(L242&amp;"  Name",'Sim-Report'!$B$6:$AZ$8000,CycleInCalculation+2,FALSE)="Special Offer"</f>
        <v>0</v>
      </c>
      <c r="M266" s="1201" t="b">
        <f>VLOOKUP(M242&amp;"  Name",'Sim-Report'!$B$6:$AZ$8000,CycleInCalculation+2,FALSE)="Special Offer"</f>
        <v>1</v>
      </c>
      <c r="N266" s="1201"/>
      <c r="O266" s="1201"/>
      <c r="P266" s="1201"/>
      <c r="Q266" s="1201"/>
      <c r="R266" s="1201"/>
      <c r="S266" s="1201"/>
      <c r="T266" s="1201"/>
      <c r="U266" s="1201"/>
      <c r="V266" s="1201"/>
      <c r="W266" s="1201"/>
      <c r="X266" s="1201"/>
      <c r="Y266" s="1201"/>
      <c r="Z266" s="1201"/>
      <c r="AA266" s="26"/>
      <c r="AB266" s="26"/>
    </row>
    <row r="267" spans="2:28">
      <c r="B267" s="1117"/>
      <c r="C267" s="41" t="s">
        <v>381</v>
      </c>
      <c r="D267" s="1165" t="s">
        <v>382</v>
      </c>
      <c r="E267" s="377"/>
      <c r="F267" s="377"/>
      <c r="G267" s="377"/>
      <c r="H267" s="377"/>
      <c r="I267" s="377"/>
      <c r="J267" s="377"/>
      <c r="K267" s="377"/>
      <c r="L267" s="377"/>
      <c r="M267" s="377"/>
      <c r="N267" s="377"/>
      <c r="R267" s="26"/>
      <c r="S267" s="26"/>
      <c r="T267" s="26"/>
      <c r="U267" s="26"/>
      <c r="V267" s="26"/>
      <c r="W267" s="26"/>
      <c r="X267" s="26"/>
      <c r="Y267" s="26"/>
      <c r="Z267" s="26"/>
      <c r="AA267" s="26"/>
      <c r="AB267" s="26"/>
    </row>
    <row r="268" spans="2:28">
      <c r="B268" s="1117" t="s">
        <v>383</v>
      </c>
      <c r="C268" s="170">
        <v>2</v>
      </c>
      <c r="D268" s="1170">
        <v>1.5</v>
      </c>
      <c r="E268" s="41"/>
      <c r="F268" s="41"/>
      <c r="G268" s="41"/>
      <c r="H268" s="41"/>
      <c r="I268" s="41"/>
      <c r="J268" s="41"/>
      <c r="K268" s="41"/>
      <c r="L268" s="41"/>
      <c r="M268" s="377"/>
      <c r="N268" s="377"/>
      <c r="R268" s="26"/>
      <c r="S268" s="26"/>
      <c r="T268" s="26"/>
      <c r="U268" s="26"/>
      <c r="V268" s="26"/>
      <c r="W268" s="26"/>
      <c r="X268" s="26"/>
      <c r="Y268" s="26"/>
      <c r="Z268" s="26"/>
      <c r="AA268" s="26"/>
      <c r="AB268" s="26"/>
    </row>
    <row r="269" spans="2:28">
      <c r="B269" s="1117"/>
      <c r="C269" s="41"/>
      <c r="D269" s="1200"/>
      <c r="E269" s="377"/>
      <c r="F269" s="377"/>
      <c r="G269" s="377"/>
      <c r="H269" s="377"/>
      <c r="I269" s="377"/>
      <c r="J269" s="377"/>
      <c r="K269" s="377"/>
      <c r="L269" s="377"/>
      <c r="M269" s="377"/>
      <c r="N269" s="377"/>
      <c r="R269" s="26"/>
      <c r="S269" s="26"/>
      <c r="T269" s="26"/>
      <c r="U269" s="26"/>
      <c r="V269" s="26"/>
      <c r="W269" s="26"/>
      <c r="X269" s="26"/>
      <c r="Y269" s="26"/>
      <c r="Z269" s="26"/>
      <c r="AA269" s="26"/>
      <c r="AB269" s="26"/>
    </row>
    <row r="270" spans="2:28">
      <c r="B270" s="1117" t="s">
        <v>154</v>
      </c>
      <c r="C270" s="41"/>
      <c r="D270" s="1200"/>
      <c r="E270" s="1172">
        <f>IF(E243="[retail]",E249,E249/$D$268)</f>
        <v>10350.9235204173</v>
      </c>
      <c r="F270" s="1172">
        <f>IF(F243="[retail]",F249,F249/$D$268)</f>
        <v>10011.717753559</v>
      </c>
      <c r="G270" s="1172">
        <f>IF(G243="[retail]",G249,G249/$D$268)</f>
        <v>7572.4279361728</v>
      </c>
      <c r="H270" s="1172">
        <f>IF(H243="[retail]",H249,H249/$D$268)</f>
        <v>20575.5163110464</v>
      </c>
      <c r="I270" s="1172">
        <f>IF(I243="[retail]",I249,I249/$D$268)</f>
        <v>20575.5163110464</v>
      </c>
      <c r="J270" s="1172">
        <f>IF(J243="[retail]",J249,J249/$D$268)</f>
        <v>20575.5163110464</v>
      </c>
      <c r="K270" s="1172">
        <f>IF(K243="[retail]",K249,K249/$D$268)</f>
        <v>46752.8188190375</v>
      </c>
      <c r="L270" s="1172">
        <f>IF(L243="[retail]",L249,L249/$D$268)</f>
        <v>56122.9748831113</v>
      </c>
      <c r="M270" s="1172">
        <f>IF(M243="[retail]",M249,M249/$D$268)</f>
        <v>3191.37407319295</v>
      </c>
      <c r="N270" s="1172"/>
      <c r="R270" s="26"/>
      <c r="S270" s="26"/>
      <c r="T270" s="26"/>
      <c r="U270" s="26"/>
      <c r="V270" s="26"/>
      <c r="W270" s="26"/>
      <c r="X270" s="26"/>
      <c r="Y270" s="26"/>
      <c r="Z270" s="26"/>
      <c r="AA270" s="26"/>
      <c r="AB270" s="26"/>
    </row>
    <row r="271" spans="2:28">
      <c r="B271" s="1117" t="s">
        <v>384</v>
      </c>
      <c r="C271" s="41" t="s">
        <v>369</v>
      </c>
      <c r="D271" s="1173">
        <f>SUM(E271:XN271)</f>
        <v>248962.345975912</v>
      </c>
      <c r="E271" s="1172">
        <f t="shared" ref="E271:M271" si="73">IF(E243="[retail]",E272-1/(E260-E257)*(E259-E257)*E270,E272-(1/3)/(E260-E257)*(E259-E257)*E272)</f>
        <v>13801.2313605564</v>
      </c>
      <c r="F271" s="1172">
        <f t="shared" si="73"/>
        <v>13348.9570047453</v>
      </c>
      <c r="G271" s="1172">
        <f t="shared" si="73"/>
        <v>10601.3991106419</v>
      </c>
      <c r="H271" s="1172">
        <f t="shared" si="73"/>
        <v>28805.722835465</v>
      </c>
      <c r="I271" s="1172">
        <f t="shared" si="73"/>
        <v>28805.722835465</v>
      </c>
      <c r="J271" s="1172">
        <f t="shared" si="73"/>
        <v>28805.722835465</v>
      </c>
      <c r="K271" s="1172">
        <f t="shared" si="73"/>
        <v>56103.3825828449</v>
      </c>
      <c r="L271" s="1172">
        <f t="shared" si="73"/>
        <v>64541.421115578</v>
      </c>
      <c r="M271" s="1172">
        <f t="shared" si="73"/>
        <v>4148.78629515084</v>
      </c>
      <c r="N271" s="1172"/>
      <c r="R271" s="26"/>
      <c r="S271" s="26"/>
      <c r="T271" s="26"/>
      <c r="U271" s="26"/>
      <c r="V271" s="26"/>
      <c r="W271" s="26"/>
      <c r="X271" s="26"/>
      <c r="Y271" s="26"/>
      <c r="Z271" s="26"/>
      <c r="AA271" s="26"/>
      <c r="AB271" s="26"/>
    </row>
    <row r="272" spans="2:28">
      <c r="B272" s="1117" t="s">
        <v>157</v>
      </c>
      <c r="C272" s="41"/>
      <c r="D272" s="1165"/>
      <c r="E272" s="1172">
        <f>IF(E243="[retail]",E249*$C$268,E249)</f>
        <v>20701.8470408345</v>
      </c>
      <c r="F272" s="1172">
        <f>IF(F243="[retail]",F249*$C$268,F249)</f>
        <v>20023.435507118</v>
      </c>
      <c r="G272" s="1172">
        <f>IF(G243="[retail]",G249*$C$268,G249)</f>
        <v>15144.8558723456</v>
      </c>
      <c r="H272" s="1172">
        <f>IF(H243="[retail]",H249*$C$268,H249)</f>
        <v>41151.0326220928</v>
      </c>
      <c r="I272" s="1172">
        <f>IF(I243="[retail]",I249*$C$268,I249)</f>
        <v>41151.0326220928</v>
      </c>
      <c r="J272" s="1172">
        <f>IF(J243="[retail]",J249*$C$268,J249)</f>
        <v>41151.0326220928</v>
      </c>
      <c r="K272" s="1172">
        <f>IF(K243="[retail]",K249*$C$268,K249)</f>
        <v>70129.2282285562</v>
      </c>
      <c r="L272" s="1172">
        <f>IF(L243="[retail]",L249*$C$268,L249)</f>
        <v>84184.4623246669</v>
      </c>
      <c r="M272" s="1172">
        <f>IF(M243="[retail]",M249*$C$268,M249)</f>
        <v>6382.7481463859</v>
      </c>
      <c r="N272" s="1172"/>
      <c r="R272" s="26"/>
      <c r="S272" s="26"/>
      <c r="T272" s="26"/>
      <c r="U272" s="26"/>
      <c r="V272" s="26"/>
      <c r="W272" s="26"/>
      <c r="X272" s="26"/>
      <c r="Y272" s="26"/>
      <c r="Z272" s="26"/>
      <c r="AA272" s="26"/>
      <c r="AB272" s="26"/>
    </row>
    <row r="273" spans="2:28">
      <c r="B273" s="1153" t="s">
        <v>388</v>
      </c>
      <c r="C273" s="41"/>
      <c r="D273" s="1202">
        <v>-0.02</v>
      </c>
      <c r="E273" s="1172"/>
      <c r="F273" s="1172"/>
      <c r="G273" s="1172"/>
      <c r="H273" s="1172"/>
      <c r="I273" s="1172"/>
      <c r="J273" s="1172"/>
      <c r="K273" s="1172"/>
      <c r="L273" s="1172"/>
      <c r="M273" s="1172"/>
      <c r="N273" s="1172"/>
      <c r="R273" s="26"/>
      <c r="S273" s="26"/>
      <c r="T273" s="26"/>
      <c r="U273" s="26"/>
      <c r="V273" s="26"/>
      <c r="W273" s="26"/>
      <c r="X273" s="26"/>
      <c r="Y273" s="26"/>
      <c r="Z273" s="26"/>
      <c r="AA273" s="26"/>
      <c r="AB273" s="26"/>
    </row>
    <row r="274" spans="2:28">
      <c r="B274" s="1153" t="s">
        <v>389</v>
      </c>
      <c r="C274" s="1203"/>
      <c r="D274" s="1204">
        <f>(D271-SUM(E249:XN249))/SUM(E249:XN249)</f>
        <v>0.00726498889771892</v>
      </c>
      <c r="E274" s="1070"/>
      <c r="F274" s="38"/>
      <c r="G274" s="38"/>
      <c r="H274" s="38"/>
      <c r="I274" s="38"/>
      <c r="J274" s="1177"/>
      <c r="K274" s="38"/>
      <c r="L274" s="38"/>
      <c r="M274" s="1070"/>
      <c r="N274" s="38"/>
      <c r="R274" s="26"/>
      <c r="S274" s="26"/>
      <c r="T274" s="26"/>
      <c r="U274" s="26"/>
      <c r="V274" s="26"/>
      <c r="W274" s="26"/>
      <c r="X274" s="26"/>
      <c r="Y274" s="26"/>
      <c r="Z274" s="26"/>
      <c r="AA274" s="26"/>
      <c r="AB274" s="26"/>
    </row>
    <row r="275" spans="2:28">
      <c r="B275" s="1153" t="s">
        <v>390</v>
      </c>
      <c r="C275" s="1203"/>
      <c r="D275" s="1202">
        <v>0.02</v>
      </c>
      <c r="E275" s="1070"/>
      <c r="F275" s="38"/>
      <c r="G275" s="38"/>
      <c r="H275" s="38"/>
      <c r="I275" s="38"/>
      <c r="J275" s="1177"/>
      <c r="K275" s="38"/>
      <c r="L275" s="38"/>
      <c r="M275" s="1070"/>
      <c r="N275" s="38"/>
      <c r="R275" s="26"/>
      <c r="S275" s="26"/>
      <c r="T275" s="26"/>
      <c r="U275" s="26"/>
      <c r="V275" s="26"/>
      <c r="W275" s="26"/>
      <c r="X275" s="26"/>
      <c r="Y275" s="26"/>
      <c r="Z275" s="26"/>
      <c r="AA275" s="26"/>
      <c r="AB275" s="26"/>
    </row>
    <row r="276" spans="2:28">
      <c r="B276" s="1117" t="s">
        <v>322</v>
      </c>
      <c r="C276" s="41" t="s">
        <v>385</v>
      </c>
      <c r="D276" s="1205">
        <f>SUM(E276:XN276)</f>
        <v>540113.982071291</v>
      </c>
      <c r="E276" s="1206">
        <f t="shared" ref="E276:M276" si="74">(E259-E264)*E271</f>
        <v>60725.4179864479</v>
      </c>
      <c r="F276" s="1206">
        <f t="shared" si="74"/>
        <v>58735.4108208795</v>
      </c>
      <c r="G276" s="1206">
        <f t="shared" si="74"/>
        <v>36044.7569761825</v>
      </c>
      <c r="H276" s="1206">
        <f t="shared" si="74"/>
        <v>97939.4576405809</v>
      </c>
      <c r="I276" s="1206">
        <f t="shared" si="74"/>
        <v>97939.4576405809</v>
      </c>
      <c r="J276" s="1206">
        <f t="shared" si="74"/>
        <v>97939.4576405809</v>
      </c>
      <c r="K276" s="1206">
        <f t="shared" si="74"/>
        <v>39272.3678079915</v>
      </c>
      <c r="L276" s="1206">
        <f t="shared" si="74"/>
        <v>48406.0658366835</v>
      </c>
      <c r="M276" s="1206">
        <f t="shared" si="74"/>
        <v>3111.58972136313</v>
      </c>
      <c r="N276" s="161"/>
      <c r="O276" s="1192"/>
      <c r="P276" s="1080"/>
      <c r="R276" s="26"/>
      <c r="S276" s="26"/>
      <c r="T276" s="26"/>
      <c r="U276" s="26"/>
      <c r="V276" s="26"/>
      <c r="W276" s="26"/>
      <c r="X276" s="26"/>
      <c r="Y276" s="26"/>
      <c r="Z276" s="26"/>
      <c r="AA276" s="26"/>
      <c r="AB276" s="26"/>
    </row>
    <row r="277" spans="2:28">
      <c r="B277" s="1117" t="s">
        <v>391</v>
      </c>
      <c r="C277" s="41"/>
      <c r="D277" s="1207"/>
      <c r="E277" s="1175"/>
      <c r="F277" s="264"/>
      <c r="G277" s="264"/>
      <c r="H277" s="264"/>
      <c r="I277" s="1194"/>
      <c r="J277" s="41"/>
      <c r="K277" s="41"/>
      <c r="L277" s="41"/>
      <c r="M277" s="1193"/>
      <c r="N277" s="264"/>
      <c r="O277" s="1192"/>
      <c r="P277" s="1080"/>
      <c r="R277" s="26"/>
      <c r="S277" s="26"/>
      <c r="T277" s="26"/>
      <c r="U277" s="26"/>
      <c r="V277" s="26"/>
      <c r="W277" s="26"/>
      <c r="X277" s="26"/>
      <c r="Y277" s="26"/>
      <c r="Z277" s="26"/>
      <c r="AA277" s="26"/>
      <c r="AB277" s="26"/>
    </row>
    <row r="278" ht="12" spans="2:28">
      <c r="B278" s="1180" t="s">
        <v>386</v>
      </c>
      <c r="C278" s="1181" t="s">
        <v>385</v>
      </c>
      <c r="D278" s="1182">
        <f>D276-D277</f>
        <v>540113.982071291</v>
      </c>
      <c r="E278" s="1183"/>
      <c r="F278" s="1184"/>
      <c r="G278" s="1184"/>
      <c r="H278" s="1184"/>
      <c r="I278" s="1195"/>
      <c r="J278" s="1181"/>
      <c r="K278" s="1181"/>
      <c r="L278" s="1181"/>
      <c r="M278" s="1183"/>
      <c r="N278" s="1184"/>
      <c r="O278" s="1192"/>
      <c r="P278" s="1080"/>
      <c r="R278" s="26"/>
      <c r="S278" s="26"/>
      <c r="T278" s="26"/>
      <c r="U278" s="26"/>
      <c r="V278" s="26"/>
      <c r="W278" s="26"/>
      <c r="X278" s="26"/>
      <c r="Y278" s="26"/>
      <c r="Z278" s="26"/>
      <c r="AA278" s="26"/>
      <c r="AB278" s="26"/>
    </row>
    <row r="279" spans="2:28">
      <c r="B279" s="1208" t="s">
        <v>392</v>
      </c>
      <c r="C279" s="1003"/>
      <c r="D279" s="1005"/>
      <c r="E279" s="1209">
        <f>IF(E242="","",IF(E266,"",IF(E243="[retail]",E271/(SUMIFS($E$271:$XN$271,$E$266:$XN$266,FALSE,$E$243:$XN$243,"[retail]")),E271/SUMIFS($E$271:$XN$271,$E$243:$XN$243,"[wholesale]"))))</f>
        <v>0.111148986324059</v>
      </c>
      <c r="F279" s="1209">
        <f>IF(F242="","",IF(F266,"",IF(F243="[retail]",F271/(SUMIFS($E$271:$XN$271,$E$266:$XN$266,FALSE,$E$243:$XN$243,"[retail]")),F271/SUMIFS($E$271:$XN$271,$E$243:$XN$243,"[wholesale]"))))</f>
        <v>0.107506569580548</v>
      </c>
      <c r="G279" s="1209">
        <f>IF(G242="","",IF(G266,"",IF(G243="[retail]",G271/(SUMIFS($E$271:$XN$271,$E$266:$XN$266,FALSE,$E$243:$XN$243,"[retail]")),G271/SUMIFS($E$271:$XN$271,$E$243:$XN$243,"[wholesale]"))))</f>
        <v>0.085378958875531</v>
      </c>
      <c r="H279" s="1209">
        <f>IF(H242="","",IF(H266,"",IF(H243="[retail]",H271/(SUMIFS($E$271:$XN$271,$E$266:$XN$266,FALSE,$E$243:$XN$243,"[retail]")),H271/SUMIFS($E$271:$XN$271,$E$243:$XN$243,"[wholesale]"))))</f>
        <v>0.231988495073287</v>
      </c>
      <c r="I279" s="1209">
        <f>IF(I242="","",IF(I266,"",IF(I243="[retail]",I271/(SUMIFS($E$271:$XN$271,$E$266:$XN$266,FALSE,$E$243:$XN$243,"[retail]")),I271/SUMIFS($E$271:$XN$271,$E$243:$XN$243,"[wholesale]"))))</f>
        <v>0.231988495073287</v>
      </c>
      <c r="J279" s="1209">
        <f>IF(J242="","",IF(J266,"",IF(J243="[retail]",J271/(SUMIFS($E$271:$XN$271,$E$266:$XN$266,FALSE,$E$243:$XN$243,"[retail]")),J271/SUMIFS($E$271:$XN$271,$E$243:$XN$243,"[wholesale]"))))</f>
        <v>0.231988495073287</v>
      </c>
      <c r="K279" s="1209">
        <f>IF(K242="","",IF(K266,"",IF(K243="[retail]",K271/(SUMIFS($E$271:$XN$271,$E$266:$XN$266,FALSE,$E$243:$XN$243,"[retail]")),K271/SUMIFS($E$271:$XN$271,$E$243:$XN$243,"[wholesale]"))))</f>
        <v>0.465029415797196</v>
      </c>
      <c r="L279" s="1209">
        <f>IF(L242="","",IF(L266,"",IF(L243="[retail]",L271/(SUMIFS($E$271:$XN$271,$E$266:$XN$266,FALSE,$E$243:$XN$243,"[retail]")),L271/SUMIFS($E$271:$XN$271,$E$243:$XN$243,"[wholesale]"))))</f>
        <v>0.534970584202804</v>
      </c>
      <c r="M279" s="1209" t="str">
        <f>IF(M242="","",IF(M266,"",IF(M243="[retail]",M271/(SUMIFS($E$271:$XN$271,$E$266:$XN$266,FALSE,$E$243:$XN$243,"[retail]")),M271/SUMIFS($E$271:$XN$271,$E$243:$XN$243,"[wholesale]"))))</f>
        <v/>
      </c>
      <c r="N279" s="1209"/>
      <c r="O279" s="1209"/>
      <c r="P279" s="1209"/>
      <c r="Q279" s="1209"/>
      <c r="R279" s="1209"/>
      <c r="S279" s="1209"/>
      <c r="T279" s="1209"/>
      <c r="U279" s="1209"/>
      <c r="V279" s="1209"/>
      <c r="W279" s="1209"/>
      <c r="X279" s="1209"/>
      <c r="Y279" s="1209"/>
      <c r="Z279" s="1209"/>
      <c r="AA279" s="26"/>
      <c r="AB279" s="26"/>
    </row>
    <row r="280" spans="2:28">
      <c r="B280" s="1208"/>
      <c r="C280" s="1003"/>
      <c r="D280" s="1005"/>
      <c r="E280" s="26"/>
      <c r="F280" s="26"/>
      <c r="G280" s="26"/>
      <c r="H280" s="26"/>
      <c r="I280" s="1216"/>
      <c r="J280" s="26"/>
      <c r="K280" s="26"/>
      <c r="M280" s="26"/>
      <c r="N280" s="26"/>
      <c r="R280" s="26"/>
      <c r="S280" s="26"/>
      <c r="T280" s="26"/>
      <c r="U280" s="26"/>
      <c r="V280" s="26"/>
      <c r="W280" s="26"/>
      <c r="X280" s="26"/>
      <c r="Y280" s="26"/>
      <c r="Z280" s="26"/>
      <c r="AA280" s="26"/>
      <c r="AB280" s="26"/>
    </row>
    <row r="281" spans="2:28">
      <c r="B281" s="1208"/>
      <c r="C281" s="1003"/>
      <c r="D281" s="1005"/>
      <c r="E281" s="1002"/>
      <c r="F281" s="26"/>
      <c r="G281" s="26"/>
      <c r="H281" s="26"/>
      <c r="I281" s="1216"/>
      <c r="J281" s="26"/>
      <c r="K281" s="26"/>
      <c r="M281" s="26"/>
      <c r="N281" s="26"/>
      <c r="R281" s="26"/>
      <c r="S281" s="26"/>
      <c r="T281" s="26"/>
      <c r="U281" s="26"/>
      <c r="V281" s="26"/>
      <c r="W281" s="26"/>
      <c r="X281" s="26"/>
      <c r="Y281" s="26"/>
      <c r="Z281" s="26"/>
      <c r="AA281" s="26"/>
      <c r="AB281" s="26"/>
    </row>
    <row r="282" spans="2:28">
      <c r="B282" s="1208"/>
      <c r="C282" s="1003"/>
      <c r="D282" s="1005"/>
      <c r="E282" s="26"/>
      <c r="F282" s="26"/>
      <c r="G282" s="26"/>
      <c r="H282" s="26"/>
      <c r="I282" s="1216"/>
      <c r="J282" s="26"/>
      <c r="K282" s="26"/>
      <c r="M282" s="26"/>
      <c r="N282" s="26"/>
      <c r="R282" s="26"/>
      <c r="S282" s="26"/>
      <c r="T282" s="26"/>
      <c r="U282" s="26"/>
      <c r="V282" s="26"/>
      <c r="W282" s="26"/>
      <c r="X282" s="26"/>
      <c r="Y282" s="26"/>
      <c r="Z282" s="26"/>
      <c r="AA282" s="26"/>
      <c r="AB282" s="26"/>
    </row>
    <row r="283" ht="15.75" spans="1:28">
      <c r="A283" s="677">
        <v>5</v>
      </c>
      <c r="B283" s="678" t="s">
        <v>393</v>
      </c>
      <c r="C283" s="678"/>
      <c r="D283" s="678"/>
      <c r="E283" s="26"/>
      <c r="F283" s="26"/>
      <c r="G283" s="26"/>
      <c r="H283" s="26"/>
      <c r="I283" s="26"/>
      <c r="J283" s="26"/>
      <c r="K283" s="26"/>
      <c r="M283" s="26"/>
      <c r="N283" s="26"/>
      <c r="R283" s="26"/>
      <c r="S283" s="26"/>
      <c r="T283" s="26"/>
      <c r="U283" s="26"/>
      <c r="V283" s="26"/>
      <c r="W283" s="26"/>
      <c r="X283" s="26"/>
      <c r="Y283" s="26"/>
      <c r="Z283" s="26"/>
      <c r="AA283" s="26"/>
      <c r="AB283" s="26"/>
    </row>
    <row r="284" spans="2:28">
      <c r="B284" s="26"/>
      <c r="C284" s="26"/>
      <c r="D284" s="26"/>
      <c r="E284" s="26"/>
      <c r="F284" s="26"/>
      <c r="G284" s="26"/>
      <c r="H284" s="26"/>
      <c r="J284" s="26"/>
      <c r="K284" s="26"/>
      <c r="M284" s="26"/>
      <c r="N284" s="26"/>
      <c r="R284" s="26"/>
      <c r="S284" s="26"/>
      <c r="T284" s="26"/>
      <c r="U284" s="26"/>
      <c r="V284" s="26"/>
      <c r="W284" s="26"/>
      <c r="X284" s="26"/>
      <c r="Y284" s="26"/>
      <c r="Z284" s="26"/>
      <c r="AA284" s="26"/>
      <c r="AB284" s="26"/>
    </row>
    <row r="285" spans="2:28">
      <c r="B285" s="26"/>
      <c r="C285" s="26"/>
      <c r="D285" s="26"/>
      <c r="E285" s="26"/>
      <c r="F285" s="26"/>
      <c r="G285" s="26"/>
      <c r="H285" s="26"/>
      <c r="I285" s="77" t="str">
        <f>"Cycle used for MCS:  "&amp;MCSCycleCurrent&amp;"       Total iterations:  "&amp;MCSRun&amp;"       Current Interaction:  "&amp;MCSInt</f>
        <v>Cycle used for MCS:         Total iterations:  100       Current Interaction:  0</v>
      </c>
      <c r="J285" s="26"/>
      <c r="K285" s="26"/>
      <c r="M285" s="26"/>
      <c r="N285" s="26"/>
      <c r="R285" s="26"/>
      <c r="S285" s="26"/>
      <c r="T285" s="26"/>
      <c r="U285" s="26"/>
      <c r="V285" s="26"/>
      <c r="W285" s="26"/>
      <c r="X285" s="26"/>
      <c r="Y285" s="26"/>
      <c r="Z285" s="26"/>
      <c r="AA285" s="26"/>
      <c r="AB285" s="26"/>
    </row>
    <row r="286" spans="2:34">
      <c r="B286" s="26"/>
      <c r="C286" s="26"/>
      <c r="D286" s="26"/>
      <c r="E286" s="26"/>
      <c r="F286" s="26"/>
      <c r="G286" s="26"/>
      <c r="H286" s="26"/>
      <c r="I286" s="26"/>
      <c r="J286" s="26"/>
      <c r="K286" s="26"/>
      <c r="M286" s="26"/>
      <c r="N286" s="26"/>
      <c r="R286" s="26"/>
      <c r="S286" s="26"/>
      <c r="T286" s="26"/>
      <c r="U286" s="26"/>
      <c r="V286" s="26"/>
      <c r="W286" s="26"/>
      <c r="X286" s="26"/>
      <c r="Y286" s="26"/>
      <c r="Z286" s="26"/>
      <c r="AA286" s="26"/>
      <c r="AB286" s="26"/>
      <c r="AC286" s="1222"/>
      <c r="AD286" s="1222"/>
      <c r="AE286" s="1222"/>
      <c r="AF286" s="1222"/>
      <c r="AG286" s="1222"/>
      <c r="AH286" s="1222"/>
    </row>
    <row r="287" s="1002" customFormat="1" ht="15" customHeight="1" spans="1:21">
      <c r="A287" s="379"/>
      <c r="B287" s="26"/>
      <c r="C287" s="26"/>
      <c r="D287" s="26"/>
      <c r="E287" s="26"/>
      <c r="F287" s="26"/>
      <c r="G287" s="26"/>
      <c r="H287" s="26"/>
      <c r="I287" s="1217" t="s">
        <v>394</v>
      </c>
      <c r="J287" s="1217"/>
      <c r="K287" s="1218">
        <f>MCSCycleCurrent</f>
        <v>0</v>
      </c>
      <c r="L287" s="1219"/>
      <c r="M287" s="1219"/>
      <c r="N287" s="1219"/>
      <c r="O287" s="1219"/>
      <c r="P287" s="1219"/>
      <c r="Q287" s="1219"/>
      <c r="R287" s="1219"/>
      <c r="S287" s="1219"/>
      <c r="T287" s="1219"/>
      <c r="U287" s="1219"/>
    </row>
    <row r="288" s="1003" customFormat="1" ht="15" customHeight="1" spans="1:21">
      <c r="A288" s="379"/>
      <c r="B288" s="26"/>
      <c r="C288" s="26"/>
      <c r="D288" s="26"/>
      <c r="E288" s="26"/>
      <c r="F288" s="26"/>
      <c r="G288" s="26"/>
      <c r="H288" s="26"/>
      <c r="I288" s="1217" t="s">
        <v>395</v>
      </c>
      <c r="J288" s="1217"/>
      <c r="K288" s="69"/>
      <c r="L288" s="69"/>
      <c r="M288" s="69"/>
      <c r="N288" s="69"/>
      <c r="O288" s="69"/>
      <c r="P288" s="69"/>
      <c r="Q288" s="69"/>
      <c r="R288" s="69"/>
      <c r="S288" s="69"/>
      <c r="T288" s="69"/>
      <c r="U288" s="69"/>
    </row>
    <row r="289" s="1004" customFormat="1" ht="15" customHeight="1" spans="1:21">
      <c r="A289" s="379"/>
      <c r="B289" s="26"/>
      <c r="C289" s="26"/>
      <c r="D289" s="26"/>
      <c r="E289" s="26"/>
      <c r="F289" s="26"/>
      <c r="G289" s="26"/>
      <c r="H289" s="26"/>
      <c r="I289" s="1217" t="s">
        <v>396</v>
      </c>
      <c r="J289" s="1217"/>
      <c r="K289" s="1220"/>
      <c r="L289" s="1220"/>
      <c r="M289" s="1220"/>
      <c r="N289" s="1220"/>
      <c r="O289" s="1220"/>
      <c r="P289" s="1220"/>
      <c r="Q289" s="1220"/>
      <c r="R289" s="1220"/>
      <c r="S289" s="1220"/>
      <c r="T289" s="1220"/>
      <c r="U289" s="1220"/>
    </row>
    <row r="290" ht="15" customHeight="1" spans="2:34">
      <c r="B290" s="26"/>
      <c r="C290" s="26"/>
      <c r="D290" s="26"/>
      <c r="E290" s="26"/>
      <c r="F290" s="26"/>
      <c r="G290" s="26"/>
      <c r="H290" s="26"/>
      <c r="I290" s="1217" t="s">
        <v>397</v>
      </c>
      <c r="J290" s="1217"/>
      <c r="K290" s="1221"/>
      <c r="L290" s="69"/>
      <c r="M290" s="69"/>
      <c r="N290" s="69"/>
      <c r="O290" s="69"/>
      <c r="P290" s="69"/>
      <c r="Q290" s="69"/>
      <c r="R290" s="69"/>
      <c r="S290" s="69"/>
      <c r="T290" s="69"/>
      <c r="U290" s="69"/>
      <c r="V290" s="26"/>
      <c r="W290" s="26"/>
      <c r="X290" s="26"/>
      <c r="Y290" s="26"/>
      <c r="Z290" s="26"/>
      <c r="AA290" s="26"/>
      <c r="AB290" s="26"/>
      <c r="AC290" s="1222"/>
      <c r="AD290" s="1222"/>
      <c r="AE290" s="1222"/>
      <c r="AF290" s="1222"/>
      <c r="AG290" s="1222"/>
      <c r="AH290" s="1222"/>
    </row>
    <row r="291" spans="2:34">
      <c r="B291" s="26"/>
      <c r="C291" s="26"/>
      <c r="D291" s="26"/>
      <c r="E291" s="26"/>
      <c r="F291" s="26"/>
      <c r="G291" s="26"/>
      <c r="H291" s="26"/>
      <c r="I291" s="26"/>
      <c r="J291" s="26"/>
      <c r="K291" s="69"/>
      <c r="L291" s="69"/>
      <c r="M291" s="69"/>
      <c r="N291" s="69"/>
      <c r="O291" s="69"/>
      <c r="P291" s="69"/>
      <c r="Q291" s="69"/>
      <c r="R291" s="69"/>
      <c r="S291" s="69"/>
      <c r="T291" s="69"/>
      <c r="U291" s="69"/>
      <c r="V291" s="26"/>
      <c r="W291" s="26"/>
      <c r="X291" s="26"/>
      <c r="Y291" s="26"/>
      <c r="Z291" s="26"/>
      <c r="AA291" s="26"/>
      <c r="AB291" s="26"/>
      <c r="AC291" s="1222"/>
      <c r="AD291" s="1222"/>
      <c r="AE291" s="1222"/>
      <c r="AF291" s="1222"/>
      <c r="AG291" s="1222"/>
      <c r="AH291" s="1222"/>
    </row>
    <row r="292" spans="2:34">
      <c r="B292" s="26"/>
      <c r="C292" s="26"/>
      <c r="D292" s="26"/>
      <c r="E292" s="26"/>
      <c r="F292" s="26"/>
      <c r="G292" s="26"/>
      <c r="H292" s="26"/>
      <c r="I292" s="26"/>
      <c r="J292" s="26"/>
      <c r="K292" s="69"/>
      <c r="L292" s="69"/>
      <c r="M292" s="69"/>
      <c r="N292" s="69"/>
      <c r="O292" s="69"/>
      <c r="P292" s="69"/>
      <c r="Q292" s="69"/>
      <c r="R292" s="69"/>
      <c r="S292" s="69"/>
      <c r="T292" s="69"/>
      <c r="U292" s="69"/>
      <c r="V292" s="26"/>
      <c r="W292" s="26"/>
      <c r="X292" s="26"/>
      <c r="Y292" s="26"/>
      <c r="Z292" s="26"/>
      <c r="AA292" s="26"/>
      <c r="AB292" s="26"/>
      <c r="AC292" s="1222"/>
      <c r="AD292" s="1222"/>
      <c r="AE292" s="1222"/>
      <c r="AF292" s="1222"/>
      <c r="AG292" s="1222"/>
      <c r="AH292" s="1222"/>
    </row>
    <row r="293" spans="2:34">
      <c r="B293" s="26"/>
      <c r="C293" s="26"/>
      <c r="D293" s="26"/>
      <c r="E293" s="26"/>
      <c r="F293" s="26"/>
      <c r="G293" s="26"/>
      <c r="H293" s="26"/>
      <c r="I293" s="26"/>
      <c r="J293" s="26"/>
      <c r="K293" s="69"/>
      <c r="L293" s="69"/>
      <c r="M293" s="69"/>
      <c r="N293" s="69"/>
      <c r="O293" s="69"/>
      <c r="P293" s="69"/>
      <c r="Q293" s="69"/>
      <c r="R293" s="69"/>
      <c r="S293" s="69"/>
      <c r="T293" s="69"/>
      <c r="U293" s="69"/>
      <c r="V293" s="26"/>
      <c r="W293" s="26"/>
      <c r="X293" s="26"/>
      <c r="Y293" s="26"/>
      <c r="Z293" s="26"/>
      <c r="AA293" s="26"/>
      <c r="AB293" s="26"/>
      <c r="AC293" s="1222"/>
      <c r="AD293" s="1222"/>
      <c r="AE293" s="1222"/>
      <c r="AF293" s="1222"/>
      <c r="AG293" s="1222"/>
      <c r="AH293" s="1222"/>
    </row>
    <row r="294" spans="2:34">
      <c r="B294" s="26"/>
      <c r="C294" s="26"/>
      <c r="D294" s="26"/>
      <c r="E294" s="26"/>
      <c r="F294" s="26"/>
      <c r="G294" s="26"/>
      <c r="H294" s="26"/>
      <c r="I294" s="26"/>
      <c r="J294" s="26"/>
      <c r="K294" s="69"/>
      <c r="L294" s="69"/>
      <c r="M294" s="69"/>
      <c r="N294" s="69"/>
      <c r="O294" s="69"/>
      <c r="P294" s="69"/>
      <c r="Q294" s="69"/>
      <c r="R294" s="69"/>
      <c r="S294" s="69"/>
      <c r="T294" s="69"/>
      <c r="U294" s="69"/>
      <c r="V294" s="26"/>
      <c r="W294" s="26"/>
      <c r="X294" s="26"/>
      <c r="Y294" s="26"/>
      <c r="Z294" s="26"/>
      <c r="AA294" s="26"/>
      <c r="AB294" s="26"/>
      <c r="AC294" s="1222"/>
      <c r="AD294" s="1222"/>
      <c r="AE294" s="1222"/>
      <c r="AF294" s="1222"/>
      <c r="AG294" s="1222"/>
      <c r="AH294" s="1222"/>
    </row>
    <row r="295" spans="2:34">
      <c r="B295" s="26"/>
      <c r="C295" s="26"/>
      <c r="D295" s="26"/>
      <c r="E295" s="26"/>
      <c r="F295" s="26"/>
      <c r="G295" s="26"/>
      <c r="H295" s="26"/>
      <c r="I295" s="26"/>
      <c r="J295" s="26"/>
      <c r="K295" s="69"/>
      <c r="L295" s="69"/>
      <c r="M295" s="69"/>
      <c r="N295" s="69"/>
      <c r="O295" s="69"/>
      <c r="P295" s="69"/>
      <c r="Q295" s="69"/>
      <c r="R295" s="69"/>
      <c r="S295" s="69"/>
      <c r="T295" s="69"/>
      <c r="U295" s="69"/>
      <c r="V295" s="26"/>
      <c r="W295" s="26"/>
      <c r="X295" s="26"/>
      <c r="Y295" s="26"/>
      <c r="Z295" s="26"/>
      <c r="AA295" s="26"/>
      <c r="AB295" s="26"/>
      <c r="AC295" s="1222"/>
      <c r="AD295" s="1222"/>
      <c r="AE295" s="1222"/>
      <c r="AF295" s="1222"/>
      <c r="AG295" s="1222"/>
      <c r="AH295" s="1222"/>
    </row>
    <row r="296" spans="2:34">
      <c r="B296" s="26"/>
      <c r="C296" s="26"/>
      <c r="D296" s="26"/>
      <c r="E296" s="26"/>
      <c r="F296" s="26"/>
      <c r="G296" s="26"/>
      <c r="H296" s="26"/>
      <c r="I296" s="26"/>
      <c r="J296" s="26"/>
      <c r="K296" s="69"/>
      <c r="L296" s="69"/>
      <c r="M296" s="69"/>
      <c r="N296" s="69"/>
      <c r="O296" s="69"/>
      <c r="P296" s="69"/>
      <c r="Q296" s="69"/>
      <c r="R296" s="69"/>
      <c r="S296" s="69"/>
      <c r="T296" s="69"/>
      <c r="U296" s="69"/>
      <c r="V296" s="26"/>
      <c r="W296" s="26"/>
      <c r="X296" s="26"/>
      <c r="Y296" s="26"/>
      <c r="Z296" s="26"/>
      <c r="AA296" s="26"/>
      <c r="AB296" s="26"/>
      <c r="AC296" s="1222"/>
      <c r="AD296" s="1222"/>
      <c r="AE296" s="1222"/>
      <c r="AF296" s="1222"/>
      <c r="AG296" s="1222"/>
      <c r="AH296" s="1222"/>
    </row>
    <row r="297" spans="2:34">
      <c r="B297" s="26"/>
      <c r="C297" s="26"/>
      <c r="D297" s="26"/>
      <c r="E297" s="26"/>
      <c r="F297" s="26"/>
      <c r="G297" s="26"/>
      <c r="H297" s="26"/>
      <c r="I297" s="26"/>
      <c r="J297" s="26"/>
      <c r="K297" s="69"/>
      <c r="L297" s="69"/>
      <c r="M297" s="69"/>
      <c r="N297" s="69"/>
      <c r="O297" s="69"/>
      <c r="P297" s="69"/>
      <c r="Q297" s="69"/>
      <c r="R297" s="69"/>
      <c r="S297" s="69"/>
      <c r="T297" s="69"/>
      <c r="U297" s="69"/>
      <c r="V297" s="26"/>
      <c r="W297" s="26"/>
      <c r="X297" s="26"/>
      <c r="Y297" s="26"/>
      <c r="Z297" s="26"/>
      <c r="AA297" s="26"/>
      <c r="AB297" s="26"/>
      <c r="AC297" s="1222"/>
      <c r="AD297" s="1222"/>
      <c r="AE297" s="1222"/>
      <c r="AF297" s="1222"/>
      <c r="AG297" s="1222"/>
      <c r="AH297" s="1222"/>
    </row>
    <row r="298" spans="2:34">
      <c r="B298" s="26"/>
      <c r="C298" s="26"/>
      <c r="D298" s="26"/>
      <c r="E298" s="26"/>
      <c r="F298" s="26"/>
      <c r="G298" s="26"/>
      <c r="H298" s="26"/>
      <c r="I298" s="26"/>
      <c r="J298" s="26"/>
      <c r="K298" s="69"/>
      <c r="L298" s="69"/>
      <c r="M298" s="69"/>
      <c r="N298" s="69"/>
      <c r="O298" s="69"/>
      <c r="P298" s="69"/>
      <c r="Q298" s="69"/>
      <c r="R298" s="69"/>
      <c r="S298" s="69"/>
      <c r="T298" s="69"/>
      <c r="U298" s="69"/>
      <c r="V298" s="26"/>
      <c r="W298" s="26"/>
      <c r="X298" s="26"/>
      <c r="Y298" s="26"/>
      <c r="Z298" s="26"/>
      <c r="AA298" s="26"/>
      <c r="AB298" s="26"/>
      <c r="AC298" s="1222"/>
      <c r="AD298" s="1222"/>
      <c r="AE298" s="1222"/>
      <c r="AF298" s="1222"/>
      <c r="AG298" s="1222"/>
      <c r="AH298" s="1222"/>
    </row>
    <row r="299" spans="2:34">
      <c r="B299" s="26"/>
      <c r="C299" s="26"/>
      <c r="D299" s="26"/>
      <c r="E299" s="26"/>
      <c r="F299" s="26"/>
      <c r="G299" s="26"/>
      <c r="H299" s="26"/>
      <c r="I299" s="26"/>
      <c r="J299" s="26"/>
      <c r="K299" s="69"/>
      <c r="L299" s="69"/>
      <c r="M299" s="69"/>
      <c r="N299" s="69"/>
      <c r="O299" s="69"/>
      <c r="P299" s="69"/>
      <c r="Q299" s="69"/>
      <c r="R299" s="69"/>
      <c r="S299" s="69"/>
      <c r="T299" s="69"/>
      <c r="U299" s="69"/>
      <c r="V299" s="26"/>
      <c r="W299" s="26"/>
      <c r="X299" s="26"/>
      <c r="Y299" s="26"/>
      <c r="Z299" s="26"/>
      <c r="AA299" s="26"/>
      <c r="AB299" s="26"/>
      <c r="AC299" s="1222"/>
      <c r="AD299" s="1222"/>
      <c r="AE299" s="1222"/>
      <c r="AF299" s="1222"/>
      <c r="AG299" s="1222"/>
      <c r="AH299" s="1222"/>
    </row>
    <row r="300" spans="2:34">
      <c r="B300" s="26"/>
      <c r="C300" s="26"/>
      <c r="D300" s="26"/>
      <c r="E300" s="26"/>
      <c r="F300" s="26"/>
      <c r="G300" s="26"/>
      <c r="H300" s="26"/>
      <c r="I300" s="26"/>
      <c r="J300" s="26"/>
      <c r="K300" s="69"/>
      <c r="L300" s="69"/>
      <c r="M300" s="69"/>
      <c r="N300" s="69"/>
      <c r="O300" s="69"/>
      <c r="P300" s="69"/>
      <c r="Q300" s="69"/>
      <c r="R300" s="69"/>
      <c r="S300" s="69"/>
      <c r="T300" s="69"/>
      <c r="U300" s="69"/>
      <c r="V300" s="26"/>
      <c r="W300" s="26"/>
      <c r="X300" s="26"/>
      <c r="Y300" s="26"/>
      <c r="Z300" s="26"/>
      <c r="AA300" s="26"/>
      <c r="AB300" s="26"/>
      <c r="AC300" s="1222"/>
      <c r="AD300" s="1222"/>
      <c r="AE300" s="1222"/>
      <c r="AF300" s="1222"/>
      <c r="AG300" s="1222"/>
      <c r="AH300" s="1222"/>
    </row>
    <row r="301" spans="2:34">
      <c r="B301" s="26"/>
      <c r="C301" s="26"/>
      <c r="D301" s="26"/>
      <c r="E301" s="26"/>
      <c r="F301" s="26"/>
      <c r="G301" s="26"/>
      <c r="H301" s="26"/>
      <c r="I301" s="26"/>
      <c r="J301" s="26"/>
      <c r="K301" s="69"/>
      <c r="L301" s="69"/>
      <c r="M301" s="69"/>
      <c r="N301" s="69"/>
      <c r="O301" s="69"/>
      <c r="P301" s="69"/>
      <c r="Q301" s="69"/>
      <c r="R301" s="69"/>
      <c r="S301" s="69"/>
      <c r="T301" s="69"/>
      <c r="U301" s="69"/>
      <c r="V301" s="26"/>
      <c r="W301" s="26"/>
      <c r="X301" s="26"/>
      <c r="Y301" s="26"/>
      <c r="Z301" s="26"/>
      <c r="AA301" s="26"/>
      <c r="AB301" s="26"/>
      <c r="AC301" s="1222"/>
      <c r="AD301" s="1222"/>
      <c r="AE301" s="1222"/>
      <c r="AF301" s="1222"/>
      <c r="AG301" s="1222"/>
      <c r="AH301" s="1222"/>
    </row>
    <row r="302" spans="2:34">
      <c r="B302" s="26"/>
      <c r="C302" s="26"/>
      <c r="D302" s="26"/>
      <c r="E302" s="26"/>
      <c r="F302" s="26"/>
      <c r="G302" s="26"/>
      <c r="H302" s="26"/>
      <c r="I302" s="26"/>
      <c r="J302" s="26"/>
      <c r="K302" s="69"/>
      <c r="L302" s="69"/>
      <c r="M302" s="69"/>
      <c r="N302" s="69"/>
      <c r="O302" s="69"/>
      <c r="P302" s="69"/>
      <c r="Q302" s="69"/>
      <c r="R302" s="69"/>
      <c r="S302" s="69"/>
      <c r="T302" s="69"/>
      <c r="U302" s="69"/>
      <c r="V302" s="26"/>
      <c r="W302" s="26"/>
      <c r="X302" s="26"/>
      <c r="Y302" s="26"/>
      <c r="Z302" s="26"/>
      <c r="AA302" s="26"/>
      <c r="AB302" s="26"/>
      <c r="AC302" s="1222"/>
      <c r="AD302" s="1222"/>
      <c r="AE302" s="1222"/>
      <c r="AF302" s="1222"/>
      <c r="AG302" s="1222"/>
      <c r="AH302" s="1222"/>
    </row>
    <row r="303" spans="2:34">
      <c r="B303" s="26"/>
      <c r="C303" s="26"/>
      <c r="D303" s="26"/>
      <c r="E303" s="26"/>
      <c r="F303" s="26"/>
      <c r="G303" s="26"/>
      <c r="H303" s="26"/>
      <c r="I303" s="26"/>
      <c r="J303" s="26"/>
      <c r="K303" s="69"/>
      <c r="L303" s="69"/>
      <c r="M303" s="69"/>
      <c r="N303" s="69"/>
      <c r="O303" s="69"/>
      <c r="P303" s="69"/>
      <c r="Q303" s="69"/>
      <c r="R303" s="69"/>
      <c r="S303" s="69"/>
      <c r="T303" s="69"/>
      <c r="U303" s="69"/>
      <c r="V303" s="26"/>
      <c r="W303" s="26"/>
      <c r="X303" s="26"/>
      <c r="Y303" s="26"/>
      <c r="Z303" s="26"/>
      <c r="AA303" s="26"/>
      <c r="AB303" s="26"/>
      <c r="AC303" s="1222"/>
      <c r="AD303" s="1222"/>
      <c r="AE303" s="1222"/>
      <c r="AF303" s="1222"/>
      <c r="AG303" s="1222"/>
      <c r="AH303" s="1222"/>
    </row>
    <row r="304" spans="2:34">
      <c r="B304" s="26"/>
      <c r="C304" s="26"/>
      <c r="D304" s="26"/>
      <c r="E304" s="26"/>
      <c r="F304" s="26"/>
      <c r="G304" s="26"/>
      <c r="H304" s="26"/>
      <c r="I304" s="26"/>
      <c r="J304" s="26"/>
      <c r="K304" s="69"/>
      <c r="L304" s="69"/>
      <c r="M304" s="69"/>
      <c r="N304" s="69"/>
      <c r="O304" s="69"/>
      <c r="P304" s="69"/>
      <c r="Q304" s="69"/>
      <c r="R304" s="69"/>
      <c r="S304" s="69"/>
      <c r="T304" s="69"/>
      <c r="U304" s="69"/>
      <c r="V304" s="26"/>
      <c r="W304" s="26"/>
      <c r="X304" s="26"/>
      <c r="Y304" s="26"/>
      <c r="Z304" s="26"/>
      <c r="AA304" s="26"/>
      <c r="AB304" s="26"/>
      <c r="AC304" s="1222"/>
      <c r="AD304" s="1222"/>
      <c r="AE304" s="1222"/>
      <c r="AF304" s="1222"/>
      <c r="AG304" s="1222"/>
      <c r="AH304" s="1222"/>
    </row>
    <row r="305" spans="2:34">
      <c r="B305" s="26"/>
      <c r="C305" s="26"/>
      <c r="D305" s="26"/>
      <c r="E305" s="26"/>
      <c r="F305" s="26"/>
      <c r="G305" s="26"/>
      <c r="H305" s="26"/>
      <c r="I305" s="26"/>
      <c r="J305" s="26"/>
      <c r="K305" s="69"/>
      <c r="L305" s="69"/>
      <c r="M305" s="69"/>
      <c r="N305" s="69"/>
      <c r="O305" s="69"/>
      <c r="P305" s="69"/>
      <c r="Q305" s="69"/>
      <c r="R305" s="69"/>
      <c r="S305" s="69"/>
      <c r="T305" s="69"/>
      <c r="U305" s="69"/>
      <c r="V305" s="26"/>
      <c r="W305" s="26"/>
      <c r="X305" s="26"/>
      <c r="Y305" s="26"/>
      <c r="Z305" s="26"/>
      <c r="AA305" s="26"/>
      <c r="AB305" s="26"/>
      <c r="AC305" s="1222"/>
      <c r="AD305" s="1222"/>
      <c r="AE305" s="1222"/>
      <c r="AF305" s="1222"/>
      <c r="AG305" s="1222"/>
      <c r="AH305" s="1222"/>
    </row>
    <row r="306" spans="2:34">
      <c r="B306" s="26"/>
      <c r="C306" s="26"/>
      <c r="D306" s="26"/>
      <c r="E306" s="26"/>
      <c r="F306" s="26"/>
      <c r="G306" s="26"/>
      <c r="H306" s="26"/>
      <c r="I306" s="26"/>
      <c r="J306" s="26"/>
      <c r="K306" s="69"/>
      <c r="L306" s="69"/>
      <c r="M306" s="69"/>
      <c r="N306" s="69"/>
      <c r="O306" s="69"/>
      <c r="P306" s="69"/>
      <c r="Q306" s="69"/>
      <c r="R306" s="69"/>
      <c r="S306" s="69"/>
      <c r="T306" s="69"/>
      <c r="U306" s="69"/>
      <c r="V306" s="26"/>
      <c r="W306" s="26"/>
      <c r="X306" s="26"/>
      <c r="Y306" s="26"/>
      <c r="Z306" s="26"/>
      <c r="AA306" s="26"/>
      <c r="AB306" s="26"/>
      <c r="AC306" s="1222"/>
      <c r="AD306" s="1222"/>
      <c r="AE306" s="1222"/>
      <c r="AF306" s="1222"/>
      <c r="AG306" s="1222"/>
      <c r="AH306" s="1222"/>
    </row>
    <row r="307" spans="2:34">
      <c r="B307" s="26"/>
      <c r="C307" s="26"/>
      <c r="D307" s="26"/>
      <c r="E307" s="26"/>
      <c r="F307" s="26"/>
      <c r="G307" s="26"/>
      <c r="H307" s="26"/>
      <c r="I307" s="26"/>
      <c r="J307" s="26"/>
      <c r="K307" s="69"/>
      <c r="L307" s="69"/>
      <c r="M307" s="69"/>
      <c r="N307" s="69"/>
      <c r="O307" s="69"/>
      <c r="P307" s="69"/>
      <c r="Q307" s="69"/>
      <c r="R307" s="69"/>
      <c r="S307" s="69"/>
      <c r="T307" s="69"/>
      <c r="U307" s="69"/>
      <c r="V307" s="26"/>
      <c r="W307" s="26"/>
      <c r="X307" s="26"/>
      <c r="Y307" s="26"/>
      <c r="Z307" s="26"/>
      <c r="AA307" s="26"/>
      <c r="AB307" s="26"/>
      <c r="AC307" s="1222"/>
      <c r="AD307" s="1222"/>
      <c r="AE307" s="1222"/>
      <c r="AF307" s="1222"/>
      <c r="AG307" s="1222"/>
      <c r="AH307" s="1222"/>
    </row>
    <row r="308" spans="2:34">
      <c r="B308" s="26"/>
      <c r="C308" s="26"/>
      <c r="D308" s="26"/>
      <c r="E308" s="26"/>
      <c r="F308" s="26"/>
      <c r="G308" s="26"/>
      <c r="H308" s="26"/>
      <c r="I308" s="26"/>
      <c r="J308" s="26"/>
      <c r="K308" s="69"/>
      <c r="L308" s="69"/>
      <c r="M308" s="69"/>
      <c r="N308" s="69"/>
      <c r="O308" s="69"/>
      <c r="P308" s="69"/>
      <c r="Q308" s="69"/>
      <c r="R308" s="69"/>
      <c r="S308" s="69"/>
      <c r="T308" s="69"/>
      <c r="U308" s="69"/>
      <c r="V308" s="26"/>
      <c r="W308" s="26"/>
      <c r="X308" s="26"/>
      <c r="Y308" s="26"/>
      <c r="Z308" s="26"/>
      <c r="AA308" s="26"/>
      <c r="AB308" s="26"/>
      <c r="AC308" s="1222"/>
      <c r="AD308" s="1222"/>
      <c r="AE308" s="1222"/>
      <c r="AF308" s="1222"/>
      <c r="AG308" s="1222"/>
      <c r="AH308" s="1222"/>
    </row>
    <row r="309" spans="2:34">
      <c r="B309" s="26"/>
      <c r="C309" s="26"/>
      <c r="D309" s="26"/>
      <c r="E309" s="26"/>
      <c r="F309" s="26"/>
      <c r="G309" s="26"/>
      <c r="H309" s="26"/>
      <c r="I309" s="26"/>
      <c r="J309" s="26"/>
      <c r="K309" s="69"/>
      <c r="L309" s="69"/>
      <c r="M309" s="69"/>
      <c r="N309" s="69"/>
      <c r="O309" s="69"/>
      <c r="P309" s="69"/>
      <c r="Q309" s="69"/>
      <c r="R309" s="69"/>
      <c r="S309" s="69"/>
      <c r="T309" s="69"/>
      <c r="U309" s="69"/>
      <c r="V309" s="26"/>
      <c r="W309" s="26"/>
      <c r="X309" s="26"/>
      <c r="Y309" s="26"/>
      <c r="Z309" s="26"/>
      <c r="AA309" s="26"/>
      <c r="AB309" s="26"/>
      <c r="AC309" s="1222"/>
      <c r="AD309" s="1222"/>
      <c r="AE309" s="1222"/>
      <c r="AF309" s="1222"/>
      <c r="AG309" s="1222"/>
      <c r="AH309" s="1222"/>
    </row>
    <row r="310" spans="2:34">
      <c r="B310" s="26"/>
      <c r="C310" s="26"/>
      <c r="D310" s="26"/>
      <c r="E310" s="26"/>
      <c r="F310" s="26"/>
      <c r="G310" s="26"/>
      <c r="H310" s="26"/>
      <c r="I310" s="26"/>
      <c r="J310" s="26"/>
      <c r="K310" s="69"/>
      <c r="L310" s="69"/>
      <c r="M310" s="69"/>
      <c r="N310" s="69"/>
      <c r="O310" s="69"/>
      <c r="P310" s="69"/>
      <c r="Q310" s="69"/>
      <c r="R310" s="69"/>
      <c r="S310" s="69"/>
      <c r="T310" s="69"/>
      <c r="U310" s="69"/>
      <c r="V310" s="26"/>
      <c r="W310" s="26"/>
      <c r="X310" s="26"/>
      <c r="Y310" s="26"/>
      <c r="Z310" s="26"/>
      <c r="AA310" s="26"/>
      <c r="AB310" s="26"/>
      <c r="AC310" s="1222"/>
      <c r="AD310" s="1222"/>
      <c r="AE310" s="1222"/>
      <c r="AF310" s="1222"/>
      <c r="AG310" s="1222"/>
      <c r="AH310" s="1222"/>
    </row>
    <row r="311" s="1002" customFormat="1" ht="15" customHeight="1" spans="1:21">
      <c r="A311" s="379"/>
      <c r="B311" s="26"/>
      <c r="C311" s="26"/>
      <c r="D311" s="26"/>
      <c r="E311" s="26"/>
      <c r="F311" s="26"/>
      <c r="G311" s="26"/>
      <c r="H311" s="26"/>
      <c r="I311" s="1217" t="s">
        <v>394</v>
      </c>
      <c r="J311" s="1217"/>
      <c r="K311" s="69"/>
      <c r="L311" s="69"/>
      <c r="M311" s="69"/>
      <c r="N311" s="69"/>
      <c r="O311" s="69"/>
      <c r="P311" s="69"/>
      <c r="Q311" s="69"/>
      <c r="R311" s="69"/>
      <c r="S311" s="69"/>
      <c r="T311" s="69"/>
      <c r="U311" s="69"/>
    </row>
    <row r="312" s="1003" customFormat="1" ht="15" customHeight="1" spans="1:21">
      <c r="A312" s="379"/>
      <c r="B312" s="26"/>
      <c r="C312" s="26"/>
      <c r="D312" s="26"/>
      <c r="E312" s="26"/>
      <c r="F312" s="26"/>
      <c r="G312" s="26"/>
      <c r="H312" s="26"/>
      <c r="I312" s="1217" t="s">
        <v>395</v>
      </c>
      <c r="J312" s="1217"/>
      <c r="K312" s="69"/>
      <c r="L312" s="69"/>
      <c r="M312" s="69"/>
      <c r="N312" s="69"/>
      <c r="O312" s="69"/>
      <c r="P312" s="69"/>
      <c r="Q312" s="69"/>
      <c r="R312" s="69"/>
      <c r="S312" s="69"/>
      <c r="T312" s="69"/>
      <c r="U312" s="69"/>
    </row>
    <row r="313" s="1004" customFormat="1" ht="15" customHeight="1" spans="1:10">
      <c r="A313" s="379"/>
      <c r="B313" s="26"/>
      <c r="C313" s="26"/>
      <c r="D313" s="26"/>
      <c r="E313" s="26"/>
      <c r="F313" s="26"/>
      <c r="G313" s="26"/>
      <c r="H313" s="26"/>
      <c r="I313" s="1217" t="s">
        <v>396</v>
      </c>
      <c r="J313" s="1217"/>
    </row>
    <row r="314" spans="2:34">
      <c r="B314" s="26"/>
      <c r="C314" s="26"/>
      <c r="D314" s="26"/>
      <c r="E314" s="26"/>
      <c r="F314" s="26"/>
      <c r="G314" s="26"/>
      <c r="H314" s="26"/>
      <c r="I314" s="1217" t="s">
        <v>397</v>
      </c>
      <c r="J314" s="1217"/>
      <c r="K314" s="1221"/>
      <c r="L314" s="69"/>
      <c r="M314" s="69"/>
      <c r="N314" s="69"/>
      <c r="O314" s="69"/>
      <c r="P314" s="69"/>
      <c r="Q314" s="69"/>
      <c r="R314" s="69"/>
      <c r="S314" s="69"/>
      <c r="T314" s="69"/>
      <c r="U314" s="69"/>
      <c r="V314" s="26"/>
      <c r="W314" s="26"/>
      <c r="X314" s="26"/>
      <c r="Y314" s="26"/>
      <c r="Z314" s="26"/>
      <c r="AA314" s="26"/>
      <c r="AB314" s="26"/>
      <c r="AC314" s="1222"/>
      <c r="AD314" s="1222"/>
      <c r="AE314" s="1222"/>
      <c r="AF314" s="1222"/>
      <c r="AG314" s="1222"/>
      <c r="AH314" s="1222"/>
    </row>
    <row r="315" spans="2:34">
      <c r="B315" s="26"/>
      <c r="C315" s="26"/>
      <c r="D315" s="26"/>
      <c r="E315" s="26"/>
      <c r="F315" s="26"/>
      <c r="G315" s="26"/>
      <c r="H315" s="26"/>
      <c r="I315" s="26"/>
      <c r="J315" s="26"/>
      <c r="K315" s="69"/>
      <c r="L315" s="69"/>
      <c r="M315" s="69"/>
      <c r="N315" s="69"/>
      <c r="O315" s="69"/>
      <c r="P315" s="69"/>
      <c r="Q315" s="69"/>
      <c r="R315" s="69"/>
      <c r="S315" s="69"/>
      <c r="T315" s="69"/>
      <c r="U315" s="69"/>
      <c r="V315" s="26"/>
      <c r="W315" s="26"/>
      <c r="X315" s="26"/>
      <c r="Y315" s="26"/>
      <c r="Z315" s="26"/>
      <c r="AA315" s="26"/>
      <c r="AB315" s="26"/>
      <c r="AC315" s="1222"/>
      <c r="AD315" s="1222"/>
      <c r="AE315" s="1222"/>
      <c r="AF315" s="1222"/>
      <c r="AG315" s="1222"/>
      <c r="AH315" s="1222"/>
    </row>
    <row r="316" spans="2:34">
      <c r="B316" s="26"/>
      <c r="C316" s="26"/>
      <c r="D316" s="26"/>
      <c r="E316" s="26"/>
      <c r="F316" s="26"/>
      <c r="G316" s="26"/>
      <c r="H316" s="26"/>
      <c r="I316" s="26"/>
      <c r="J316" s="26"/>
      <c r="K316" s="69"/>
      <c r="L316" s="69"/>
      <c r="M316" s="69"/>
      <c r="N316" s="69"/>
      <c r="O316" s="69"/>
      <c r="P316" s="69"/>
      <c r="Q316" s="69"/>
      <c r="R316" s="69"/>
      <c r="S316" s="69"/>
      <c r="T316" s="69"/>
      <c r="U316" s="69"/>
      <c r="V316" s="26"/>
      <c r="W316" s="26"/>
      <c r="X316" s="26"/>
      <c r="Y316" s="26"/>
      <c r="Z316" s="26"/>
      <c r="AA316" s="26"/>
      <c r="AB316" s="26"/>
      <c r="AC316" s="1222"/>
      <c r="AD316" s="1222"/>
      <c r="AE316" s="1222"/>
      <c r="AF316" s="1222"/>
      <c r="AG316" s="1222"/>
      <c r="AH316" s="1222"/>
    </row>
    <row r="317" spans="2:34">
      <c r="B317" s="26"/>
      <c r="C317" s="26"/>
      <c r="D317" s="26"/>
      <c r="E317" s="26"/>
      <c r="F317" s="26"/>
      <c r="G317" s="26"/>
      <c r="H317" s="26"/>
      <c r="I317" s="26"/>
      <c r="J317" s="26"/>
      <c r="K317" s="69"/>
      <c r="L317" s="69"/>
      <c r="M317" s="69"/>
      <c r="N317" s="69"/>
      <c r="O317" s="69"/>
      <c r="P317" s="69"/>
      <c r="Q317" s="69"/>
      <c r="R317" s="69"/>
      <c r="S317" s="69"/>
      <c r="T317" s="69"/>
      <c r="U317" s="69"/>
      <c r="V317" s="26"/>
      <c r="W317" s="26"/>
      <c r="X317" s="26"/>
      <c r="Y317" s="26"/>
      <c r="Z317" s="26"/>
      <c r="AA317" s="26"/>
      <c r="AB317" s="26"/>
      <c r="AC317" s="1222"/>
      <c r="AD317" s="1222"/>
      <c r="AE317" s="1222"/>
      <c r="AF317" s="1222"/>
      <c r="AG317" s="1222"/>
      <c r="AH317" s="1222"/>
    </row>
    <row r="318" spans="2:34">
      <c r="B318" s="26"/>
      <c r="C318" s="26"/>
      <c r="D318" s="26"/>
      <c r="E318" s="26"/>
      <c r="F318" s="26"/>
      <c r="G318" s="26"/>
      <c r="H318" s="26"/>
      <c r="I318" s="26"/>
      <c r="J318" s="26"/>
      <c r="K318" s="69"/>
      <c r="L318" s="69"/>
      <c r="M318" s="69"/>
      <c r="N318" s="69"/>
      <c r="O318" s="69"/>
      <c r="P318" s="69"/>
      <c r="Q318" s="69"/>
      <c r="R318" s="69"/>
      <c r="S318" s="69"/>
      <c r="T318" s="69"/>
      <c r="U318" s="69"/>
      <c r="V318" s="26"/>
      <c r="W318" s="26"/>
      <c r="X318" s="26"/>
      <c r="Y318" s="26"/>
      <c r="Z318" s="26"/>
      <c r="AA318" s="26"/>
      <c r="AB318" s="26"/>
      <c r="AC318" s="1222"/>
      <c r="AD318" s="1222"/>
      <c r="AE318" s="1222"/>
      <c r="AF318" s="1222"/>
      <c r="AG318" s="1222"/>
      <c r="AH318" s="1222"/>
    </row>
    <row r="319" spans="2:34">
      <c r="B319" s="26"/>
      <c r="C319" s="26"/>
      <c r="D319" s="26"/>
      <c r="E319" s="26"/>
      <c r="F319" s="26"/>
      <c r="G319" s="26"/>
      <c r="H319" s="26"/>
      <c r="I319" s="26"/>
      <c r="J319" s="26"/>
      <c r="K319" s="69"/>
      <c r="L319" s="69"/>
      <c r="M319" s="69"/>
      <c r="N319" s="69"/>
      <c r="O319" s="69"/>
      <c r="P319" s="69"/>
      <c r="Q319" s="69"/>
      <c r="R319" s="69"/>
      <c r="S319" s="69"/>
      <c r="T319" s="69"/>
      <c r="U319" s="69"/>
      <c r="V319" s="26"/>
      <c r="W319" s="26"/>
      <c r="X319" s="26"/>
      <c r="Y319" s="26"/>
      <c r="Z319" s="26"/>
      <c r="AA319" s="26"/>
      <c r="AB319" s="26"/>
      <c r="AC319" s="1222"/>
      <c r="AD319" s="1222"/>
      <c r="AE319" s="1222"/>
      <c r="AF319" s="1222"/>
      <c r="AG319" s="1222"/>
      <c r="AH319" s="1222"/>
    </row>
    <row r="320" spans="2:34">
      <c r="B320" s="26"/>
      <c r="C320" s="26"/>
      <c r="D320" s="26"/>
      <c r="E320" s="26"/>
      <c r="F320" s="26"/>
      <c r="G320" s="26"/>
      <c r="H320" s="26"/>
      <c r="I320" s="26"/>
      <c r="J320" s="26"/>
      <c r="K320" s="69"/>
      <c r="L320" s="69"/>
      <c r="M320" s="69"/>
      <c r="N320" s="69"/>
      <c r="O320" s="69"/>
      <c r="P320" s="69"/>
      <c r="Q320" s="69"/>
      <c r="R320" s="69"/>
      <c r="S320" s="69"/>
      <c r="T320" s="69"/>
      <c r="U320" s="69"/>
      <c r="V320" s="26"/>
      <c r="W320" s="26"/>
      <c r="X320" s="26"/>
      <c r="Y320" s="26"/>
      <c r="Z320" s="26"/>
      <c r="AA320" s="26"/>
      <c r="AB320" s="26"/>
      <c r="AC320" s="1222"/>
      <c r="AD320" s="1222"/>
      <c r="AE320" s="1222"/>
      <c r="AF320" s="1222"/>
      <c r="AG320" s="1222"/>
      <c r="AH320" s="1222"/>
    </row>
    <row r="321" spans="2:34">
      <c r="B321" s="26"/>
      <c r="C321" s="26"/>
      <c r="D321" s="26"/>
      <c r="E321" s="26"/>
      <c r="F321" s="26"/>
      <c r="G321" s="26"/>
      <c r="H321" s="26"/>
      <c r="I321" s="26"/>
      <c r="J321" s="26"/>
      <c r="K321" s="69"/>
      <c r="L321" s="69"/>
      <c r="M321" s="69"/>
      <c r="N321" s="69"/>
      <c r="O321" s="69"/>
      <c r="P321" s="69"/>
      <c r="Q321" s="69"/>
      <c r="R321" s="69"/>
      <c r="S321" s="69"/>
      <c r="T321" s="69"/>
      <c r="U321" s="69"/>
      <c r="V321" s="26"/>
      <c r="W321" s="26"/>
      <c r="X321" s="26"/>
      <c r="Y321" s="26"/>
      <c r="Z321" s="26"/>
      <c r="AA321" s="26"/>
      <c r="AB321" s="26"/>
      <c r="AC321" s="1222"/>
      <c r="AD321" s="1222"/>
      <c r="AE321" s="1222"/>
      <c r="AF321" s="1222"/>
      <c r="AG321" s="1222"/>
      <c r="AH321" s="1222"/>
    </row>
    <row r="322" spans="2:34">
      <c r="B322" s="26"/>
      <c r="C322" s="26"/>
      <c r="D322" s="26"/>
      <c r="E322" s="26"/>
      <c r="F322" s="26"/>
      <c r="G322" s="26"/>
      <c r="H322" s="26"/>
      <c r="I322" s="26"/>
      <c r="J322" s="26"/>
      <c r="K322" s="69"/>
      <c r="L322" s="69"/>
      <c r="M322" s="69"/>
      <c r="N322" s="69"/>
      <c r="O322" s="69"/>
      <c r="P322" s="69"/>
      <c r="Q322" s="69"/>
      <c r="R322" s="69"/>
      <c r="S322" s="69"/>
      <c r="T322" s="69"/>
      <c r="U322" s="69"/>
      <c r="V322" s="26"/>
      <c r="W322" s="26"/>
      <c r="X322" s="26"/>
      <c r="Y322" s="26"/>
      <c r="Z322" s="26"/>
      <c r="AA322" s="26"/>
      <c r="AB322" s="26"/>
      <c r="AC322" s="1222"/>
      <c r="AD322" s="1222"/>
      <c r="AE322" s="1222"/>
      <c r="AF322" s="1222"/>
      <c r="AG322" s="1222"/>
      <c r="AH322" s="1222"/>
    </row>
    <row r="323" spans="2:34">
      <c r="B323" s="26"/>
      <c r="C323" s="26"/>
      <c r="D323" s="26"/>
      <c r="E323" s="26"/>
      <c r="F323" s="26"/>
      <c r="G323" s="26"/>
      <c r="H323" s="26"/>
      <c r="I323" s="26"/>
      <c r="J323" s="26"/>
      <c r="K323" s="69"/>
      <c r="L323" s="69"/>
      <c r="M323" s="69"/>
      <c r="N323" s="69"/>
      <c r="O323" s="69"/>
      <c r="P323" s="69"/>
      <c r="Q323" s="69"/>
      <c r="R323" s="69"/>
      <c r="S323" s="69"/>
      <c r="T323" s="69"/>
      <c r="U323" s="69"/>
      <c r="V323" s="26"/>
      <c r="W323" s="26"/>
      <c r="X323" s="26"/>
      <c r="Y323" s="26"/>
      <c r="Z323" s="26"/>
      <c r="AA323" s="26"/>
      <c r="AB323" s="26"/>
      <c r="AC323" s="1222"/>
      <c r="AD323" s="1222"/>
      <c r="AE323" s="1222"/>
      <c r="AF323" s="1222"/>
      <c r="AG323" s="1222"/>
      <c r="AH323" s="1222"/>
    </row>
    <row r="324" spans="2:34">
      <c r="B324" s="26"/>
      <c r="C324" s="26"/>
      <c r="D324" s="26"/>
      <c r="E324" s="26"/>
      <c r="F324" s="26"/>
      <c r="G324" s="26"/>
      <c r="H324" s="26"/>
      <c r="I324" s="26"/>
      <c r="J324" s="26"/>
      <c r="K324" s="69"/>
      <c r="L324" s="69"/>
      <c r="M324" s="69"/>
      <c r="N324" s="69"/>
      <c r="O324" s="69"/>
      <c r="P324" s="69"/>
      <c r="Q324" s="69"/>
      <c r="R324" s="69"/>
      <c r="S324" s="69"/>
      <c r="T324" s="69"/>
      <c r="U324" s="69"/>
      <c r="V324" s="26"/>
      <c r="W324" s="26"/>
      <c r="X324" s="26"/>
      <c r="Y324" s="26"/>
      <c r="Z324" s="26"/>
      <c r="AA324" s="26"/>
      <c r="AB324" s="26"/>
      <c r="AC324" s="1222"/>
      <c r="AD324" s="1222"/>
      <c r="AE324" s="1222"/>
      <c r="AF324" s="1222"/>
      <c r="AG324" s="1222"/>
      <c r="AH324" s="1222"/>
    </row>
    <row r="325" spans="2:34">
      <c r="B325" s="26"/>
      <c r="C325" s="26"/>
      <c r="D325" s="26"/>
      <c r="E325" s="26"/>
      <c r="F325" s="26"/>
      <c r="G325" s="26"/>
      <c r="H325" s="26"/>
      <c r="I325" s="26"/>
      <c r="J325" s="26"/>
      <c r="K325" s="69"/>
      <c r="L325" s="69"/>
      <c r="M325" s="69"/>
      <c r="N325" s="69"/>
      <c r="O325" s="69"/>
      <c r="P325" s="69"/>
      <c r="Q325" s="69"/>
      <c r="R325" s="69"/>
      <c r="S325" s="69"/>
      <c r="T325" s="69"/>
      <c r="U325" s="69"/>
      <c r="V325" s="26"/>
      <c r="W325" s="26"/>
      <c r="X325" s="26"/>
      <c r="Y325" s="26"/>
      <c r="Z325" s="26"/>
      <c r="AA325" s="26"/>
      <c r="AB325" s="26"/>
      <c r="AC325" s="1222"/>
      <c r="AD325" s="1222"/>
      <c r="AE325" s="1222"/>
      <c r="AF325" s="1222"/>
      <c r="AG325" s="1222"/>
      <c r="AH325" s="1222"/>
    </row>
    <row r="326" spans="2:34">
      <c r="B326" s="26"/>
      <c r="C326" s="26"/>
      <c r="D326" s="26"/>
      <c r="E326" s="26"/>
      <c r="F326" s="26"/>
      <c r="G326" s="26"/>
      <c r="H326" s="26"/>
      <c r="I326" s="26"/>
      <c r="J326" s="26"/>
      <c r="K326" s="69"/>
      <c r="L326" s="69"/>
      <c r="M326" s="69"/>
      <c r="N326" s="69"/>
      <c r="O326" s="69"/>
      <c r="P326" s="69"/>
      <c r="Q326" s="69"/>
      <c r="R326" s="69"/>
      <c r="S326" s="69"/>
      <c r="T326" s="69"/>
      <c r="U326" s="69"/>
      <c r="V326" s="26"/>
      <c r="W326" s="26"/>
      <c r="X326" s="26"/>
      <c r="Y326" s="26"/>
      <c r="Z326" s="26"/>
      <c r="AA326" s="26"/>
      <c r="AB326" s="26"/>
      <c r="AC326" s="1222"/>
      <c r="AD326" s="1222"/>
      <c r="AE326" s="1222"/>
      <c r="AF326" s="1222"/>
      <c r="AG326" s="1222"/>
      <c r="AH326" s="1222"/>
    </row>
    <row r="327" spans="2:34">
      <c r="B327" s="26"/>
      <c r="C327" s="26"/>
      <c r="D327" s="26"/>
      <c r="E327" s="26"/>
      <c r="F327" s="26"/>
      <c r="G327" s="26"/>
      <c r="H327" s="26"/>
      <c r="I327" s="26"/>
      <c r="J327" s="26"/>
      <c r="K327" s="69"/>
      <c r="L327" s="69"/>
      <c r="M327" s="69"/>
      <c r="N327" s="69"/>
      <c r="O327" s="69"/>
      <c r="P327" s="69"/>
      <c r="Q327" s="69"/>
      <c r="R327" s="69"/>
      <c r="S327" s="69"/>
      <c r="T327" s="69"/>
      <c r="U327" s="69"/>
      <c r="V327" s="26"/>
      <c r="W327" s="26"/>
      <c r="X327" s="26"/>
      <c r="Y327" s="26"/>
      <c r="Z327" s="26"/>
      <c r="AA327" s="26"/>
      <c r="AB327" s="26"/>
      <c r="AC327" s="1222"/>
      <c r="AD327" s="1222"/>
      <c r="AE327" s="1222"/>
      <c r="AF327" s="1222"/>
      <c r="AG327" s="1222"/>
      <c r="AH327" s="1222"/>
    </row>
    <row r="328" spans="2:34">
      <c r="B328" s="26"/>
      <c r="C328" s="26"/>
      <c r="D328" s="26"/>
      <c r="E328" s="26"/>
      <c r="F328" s="26"/>
      <c r="G328" s="26"/>
      <c r="H328" s="26"/>
      <c r="I328" s="26"/>
      <c r="J328" s="26"/>
      <c r="K328" s="69"/>
      <c r="L328" s="69"/>
      <c r="M328" s="69"/>
      <c r="N328" s="69"/>
      <c r="O328" s="69"/>
      <c r="P328" s="69"/>
      <c r="Q328" s="69"/>
      <c r="R328" s="69"/>
      <c r="S328" s="69"/>
      <c r="T328" s="69"/>
      <c r="U328" s="69"/>
      <c r="V328" s="26"/>
      <c r="W328" s="26"/>
      <c r="X328" s="26"/>
      <c r="Y328" s="26"/>
      <c r="Z328" s="26"/>
      <c r="AA328" s="26"/>
      <c r="AB328" s="26"/>
      <c r="AC328" s="1222"/>
      <c r="AD328" s="1222"/>
      <c r="AE328" s="1222"/>
      <c r="AF328" s="1222"/>
      <c r="AG328" s="1222"/>
      <c r="AH328" s="1222"/>
    </row>
    <row r="329" spans="2:34">
      <c r="B329" s="26"/>
      <c r="C329" s="26"/>
      <c r="D329" s="26"/>
      <c r="E329" s="26"/>
      <c r="F329" s="26"/>
      <c r="G329" s="26"/>
      <c r="H329" s="26"/>
      <c r="I329" s="26"/>
      <c r="J329" s="26"/>
      <c r="K329" s="69"/>
      <c r="L329" s="69"/>
      <c r="M329" s="69"/>
      <c r="N329" s="69"/>
      <c r="O329" s="69"/>
      <c r="P329" s="69"/>
      <c r="Q329" s="69"/>
      <c r="R329" s="69"/>
      <c r="S329" s="69"/>
      <c r="T329" s="69"/>
      <c r="U329" s="69"/>
      <c r="V329" s="26"/>
      <c r="W329" s="26"/>
      <c r="X329" s="26"/>
      <c r="Y329" s="26"/>
      <c r="Z329" s="26"/>
      <c r="AA329" s="26"/>
      <c r="AB329" s="26"/>
      <c r="AC329" s="1222"/>
      <c r="AD329" s="1222"/>
      <c r="AE329" s="1222"/>
      <c r="AF329" s="1222"/>
      <c r="AG329" s="1222"/>
      <c r="AH329" s="1222"/>
    </row>
    <row r="330" spans="2:34">
      <c r="B330" s="26"/>
      <c r="C330" s="26"/>
      <c r="D330" s="26"/>
      <c r="E330" s="26"/>
      <c r="F330" s="26"/>
      <c r="G330" s="26"/>
      <c r="H330" s="26"/>
      <c r="I330" s="26"/>
      <c r="J330" s="26"/>
      <c r="K330" s="69"/>
      <c r="L330" s="69"/>
      <c r="M330" s="69"/>
      <c r="N330" s="69"/>
      <c r="O330" s="69"/>
      <c r="P330" s="69"/>
      <c r="Q330" s="69"/>
      <c r="R330" s="69"/>
      <c r="S330" s="69"/>
      <c r="T330" s="69"/>
      <c r="U330" s="69"/>
      <c r="V330" s="26"/>
      <c r="W330" s="26"/>
      <c r="X330" s="26"/>
      <c r="Y330" s="26"/>
      <c r="Z330" s="26"/>
      <c r="AA330" s="26"/>
      <c r="AB330" s="26"/>
      <c r="AC330" s="1222"/>
      <c r="AD330" s="1222"/>
      <c r="AE330" s="1222"/>
      <c r="AF330" s="1222"/>
      <c r="AG330" s="1222"/>
      <c r="AH330" s="1222"/>
    </row>
    <row r="331" spans="2:34">
      <c r="B331" s="26"/>
      <c r="C331" s="26"/>
      <c r="D331" s="26"/>
      <c r="E331" s="26"/>
      <c r="F331" s="26"/>
      <c r="G331" s="26"/>
      <c r="H331" s="26"/>
      <c r="I331" s="26"/>
      <c r="J331" s="26"/>
      <c r="K331" s="69"/>
      <c r="L331" s="69"/>
      <c r="M331" s="69"/>
      <c r="N331" s="69"/>
      <c r="O331" s="69"/>
      <c r="P331" s="69"/>
      <c r="Q331" s="69"/>
      <c r="R331" s="69"/>
      <c r="S331" s="69"/>
      <c r="T331" s="69"/>
      <c r="U331" s="69"/>
      <c r="V331" s="26"/>
      <c r="W331" s="26"/>
      <c r="X331" s="26"/>
      <c r="Y331" s="26"/>
      <c r="Z331" s="26"/>
      <c r="AA331" s="26"/>
      <c r="AB331" s="26"/>
      <c r="AC331" s="1222"/>
      <c r="AD331" s="1222"/>
      <c r="AE331" s="1222"/>
      <c r="AF331" s="1222"/>
      <c r="AG331" s="1222"/>
      <c r="AH331" s="1222"/>
    </row>
    <row r="332" spans="2:34">
      <c r="B332" s="26"/>
      <c r="C332" s="26"/>
      <c r="D332" s="26"/>
      <c r="E332" s="26"/>
      <c r="F332" s="26"/>
      <c r="G332" s="26"/>
      <c r="H332" s="26"/>
      <c r="I332" s="26"/>
      <c r="J332" s="26"/>
      <c r="K332" s="69"/>
      <c r="L332" s="69"/>
      <c r="M332" s="69"/>
      <c r="N332" s="69"/>
      <c r="O332" s="69"/>
      <c r="P332" s="69"/>
      <c r="Q332" s="69"/>
      <c r="R332" s="69"/>
      <c r="S332" s="69"/>
      <c r="T332" s="69"/>
      <c r="U332" s="69"/>
      <c r="V332" s="26"/>
      <c r="W332" s="26"/>
      <c r="X332" s="26"/>
      <c r="Y332" s="26"/>
      <c r="Z332" s="26"/>
      <c r="AA332" s="26"/>
      <c r="AB332" s="26"/>
      <c r="AC332" s="1222"/>
      <c r="AD332" s="1222"/>
      <c r="AE332" s="1222"/>
      <c r="AF332" s="1222"/>
      <c r="AG332" s="1222"/>
      <c r="AH332" s="1222"/>
    </row>
    <row r="333" spans="2:34">
      <c r="B333" s="26"/>
      <c r="C333" s="26"/>
      <c r="D333" s="26"/>
      <c r="E333" s="26"/>
      <c r="F333" s="26"/>
      <c r="G333" s="26"/>
      <c r="H333" s="26"/>
      <c r="I333" s="26"/>
      <c r="J333" s="26"/>
      <c r="K333" s="69"/>
      <c r="L333" s="69"/>
      <c r="M333" s="69"/>
      <c r="N333" s="69"/>
      <c r="O333" s="69"/>
      <c r="P333" s="69"/>
      <c r="Q333" s="69"/>
      <c r="R333" s="69"/>
      <c r="S333" s="69"/>
      <c r="T333" s="69"/>
      <c r="U333" s="69"/>
      <c r="V333" s="26"/>
      <c r="W333" s="26"/>
      <c r="X333" s="26"/>
      <c r="Y333" s="26"/>
      <c r="Z333" s="26"/>
      <c r="AA333" s="26"/>
      <c r="AB333" s="26"/>
      <c r="AC333" s="1222"/>
      <c r="AD333" s="1222"/>
      <c r="AE333" s="1222"/>
      <c r="AF333" s="1222"/>
      <c r="AG333" s="1222"/>
      <c r="AH333" s="1222"/>
    </row>
    <row r="334" spans="2:34">
      <c r="B334" s="26"/>
      <c r="C334" s="26"/>
      <c r="D334" s="26"/>
      <c r="E334" s="26"/>
      <c r="F334" s="26"/>
      <c r="G334" s="26"/>
      <c r="H334" s="26"/>
      <c r="I334" s="26"/>
      <c r="J334" s="26"/>
      <c r="K334" s="69"/>
      <c r="L334" s="69"/>
      <c r="M334" s="69"/>
      <c r="N334" s="69"/>
      <c r="O334" s="69"/>
      <c r="P334" s="69"/>
      <c r="Q334" s="69"/>
      <c r="R334" s="69"/>
      <c r="S334" s="69"/>
      <c r="T334" s="69"/>
      <c r="U334" s="69"/>
      <c r="V334" s="26"/>
      <c r="W334" s="26"/>
      <c r="X334" s="26"/>
      <c r="Y334" s="26"/>
      <c r="Z334" s="26"/>
      <c r="AA334" s="26"/>
      <c r="AB334" s="26"/>
      <c r="AC334" s="1222"/>
      <c r="AD334" s="1222"/>
      <c r="AE334" s="1222"/>
      <c r="AF334" s="1222"/>
      <c r="AG334" s="1222"/>
      <c r="AH334" s="1222"/>
    </row>
    <row r="335" s="1002" customFormat="1" ht="15" customHeight="1" spans="1:21">
      <c r="A335" s="379"/>
      <c r="B335" s="26"/>
      <c r="C335" s="26"/>
      <c r="D335" s="26"/>
      <c r="E335" s="26"/>
      <c r="F335" s="26"/>
      <c r="G335" s="26"/>
      <c r="H335" s="26"/>
      <c r="I335" s="1217" t="s">
        <v>394</v>
      </c>
      <c r="J335" s="1217"/>
      <c r="K335" s="69"/>
      <c r="L335" s="69"/>
      <c r="M335" s="69"/>
      <c r="N335" s="69"/>
      <c r="O335" s="69"/>
      <c r="P335" s="69"/>
      <c r="Q335" s="69"/>
      <c r="R335" s="69"/>
      <c r="S335" s="69"/>
      <c r="T335" s="69"/>
      <c r="U335" s="69"/>
    </row>
    <row r="336" s="1003" customFormat="1" ht="15" customHeight="1" spans="1:21">
      <c r="A336" s="379"/>
      <c r="B336" s="26"/>
      <c r="C336" s="26"/>
      <c r="D336" s="26"/>
      <c r="E336" s="26"/>
      <c r="F336" s="26"/>
      <c r="G336" s="26"/>
      <c r="H336" s="26"/>
      <c r="I336" s="1217" t="s">
        <v>395</v>
      </c>
      <c r="J336" s="1217"/>
      <c r="K336" s="69"/>
      <c r="L336" s="69"/>
      <c r="M336" s="69"/>
      <c r="N336" s="69"/>
      <c r="O336" s="69"/>
      <c r="P336" s="69"/>
      <c r="Q336" s="69"/>
      <c r="R336" s="69"/>
      <c r="S336" s="69"/>
      <c r="T336" s="69"/>
      <c r="U336" s="69"/>
    </row>
    <row r="337" s="1004" customFormat="1" ht="15" customHeight="1" spans="1:21">
      <c r="A337" s="379"/>
      <c r="B337" s="26"/>
      <c r="C337" s="26"/>
      <c r="D337" s="26"/>
      <c r="E337" s="26"/>
      <c r="F337" s="26"/>
      <c r="G337" s="26"/>
      <c r="H337" s="26"/>
      <c r="I337" s="1217" t="s">
        <v>396</v>
      </c>
      <c r="J337" s="1217"/>
      <c r="K337" s="1220"/>
      <c r="L337" s="1220"/>
      <c r="M337" s="1220"/>
      <c r="N337" s="1220"/>
      <c r="O337" s="1220"/>
      <c r="P337" s="1220"/>
      <c r="Q337" s="1220"/>
      <c r="R337" s="1220"/>
      <c r="S337" s="1220"/>
      <c r="T337" s="1220"/>
      <c r="U337" s="1220"/>
    </row>
    <row r="338" spans="2:34">
      <c r="B338" s="26"/>
      <c r="C338" s="26"/>
      <c r="D338" s="26"/>
      <c r="E338" s="26"/>
      <c r="F338" s="26"/>
      <c r="G338" s="26"/>
      <c r="H338" s="26"/>
      <c r="I338" s="1217" t="s">
        <v>397</v>
      </c>
      <c r="J338" s="1217"/>
      <c r="K338" s="1221"/>
      <c r="L338" s="69"/>
      <c r="M338" s="69"/>
      <c r="N338" s="69"/>
      <c r="O338" s="69"/>
      <c r="P338" s="69"/>
      <c r="Q338" s="69"/>
      <c r="R338" s="69"/>
      <c r="S338" s="69"/>
      <c r="T338" s="69"/>
      <c r="U338" s="69"/>
      <c r="V338" s="26"/>
      <c r="W338" s="26"/>
      <c r="X338" s="26"/>
      <c r="Y338" s="26"/>
      <c r="Z338" s="26"/>
      <c r="AA338" s="26"/>
      <c r="AB338" s="26"/>
      <c r="AC338" s="1222"/>
      <c r="AD338" s="1222"/>
      <c r="AE338" s="1222"/>
      <c r="AF338" s="1222"/>
      <c r="AG338" s="1222"/>
      <c r="AH338" s="1222"/>
    </row>
    <row r="339" spans="2:34">
      <c r="B339" s="26"/>
      <c r="C339" s="26"/>
      <c r="D339" s="26"/>
      <c r="E339" s="26"/>
      <c r="F339" s="26"/>
      <c r="G339" s="26"/>
      <c r="H339" s="26"/>
      <c r="I339" s="26"/>
      <c r="J339" s="26"/>
      <c r="K339" s="69"/>
      <c r="L339" s="69"/>
      <c r="M339" s="69"/>
      <c r="N339" s="69"/>
      <c r="O339" s="69"/>
      <c r="P339" s="69"/>
      <c r="Q339" s="69"/>
      <c r="R339" s="69"/>
      <c r="S339" s="69"/>
      <c r="T339" s="69"/>
      <c r="U339" s="69"/>
      <c r="V339" s="26"/>
      <c r="W339" s="26"/>
      <c r="X339" s="26"/>
      <c r="Y339" s="26"/>
      <c r="Z339" s="26"/>
      <c r="AA339" s="26"/>
      <c r="AB339" s="26"/>
      <c r="AC339" s="1222"/>
      <c r="AD339" s="1222"/>
      <c r="AE339" s="1222"/>
      <c r="AF339" s="1222"/>
      <c r="AG339" s="1222"/>
      <c r="AH339" s="1222"/>
    </row>
    <row r="340" spans="2:34">
      <c r="B340" s="26"/>
      <c r="C340" s="26"/>
      <c r="D340" s="26"/>
      <c r="E340" s="26"/>
      <c r="F340" s="26"/>
      <c r="G340" s="26"/>
      <c r="H340" s="26"/>
      <c r="I340" s="26"/>
      <c r="J340" s="26"/>
      <c r="K340" s="69"/>
      <c r="L340" s="69"/>
      <c r="M340" s="69"/>
      <c r="N340" s="69"/>
      <c r="O340" s="69"/>
      <c r="P340" s="69"/>
      <c r="Q340" s="69"/>
      <c r="R340" s="69"/>
      <c r="S340" s="69"/>
      <c r="T340" s="69"/>
      <c r="U340" s="69"/>
      <c r="V340" s="26"/>
      <c r="W340" s="26"/>
      <c r="X340" s="26"/>
      <c r="Y340" s="26"/>
      <c r="Z340" s="26"/>
      <c r="AA340" s="26"/>
      <c r="AB340" s="26"/>
      <c r="AC340" s="1222"/>
      <c r="AD340" s="1222"/>
      <c r="AE340" s="1222"/>
      <c r="AF340" s="1222"/>
      <c r="AG340" s="1222"/>
      <c r="AH340" s="1222"/>
    </row>
    <row r="341" spans="2:34">
      <c r="B341" s="26"/>
      <c r="C341" s="26"/>
      <c r="D341" s="26"/>
      <c r="E341" s="26"/>
      <c r="F341" s="26"/>
      <c r="G341" s="26"/>
      <c r="H341" s="26"/>
      <c r="I341" s="26"/>
      <c r="J341" s="26"/>
      <c r="K341" s="69"/>
      <c r="L341" s="69"/>
      <c r="M341" s="69"/>
      <c r="N341" s="69"/>
      <c r="O341" s="69"/>
      <c r="P341" s="69"/>
      <c r="Q341" s="69"/>
      <c r="R341" s="69"/>
      <c r="S341" s="69"/>
      <c r="T341" s="69"/>
      <c r="U341" s="69"/>
      <c r="V341" s="26"/>
      <c r="W341" s="26"/>
      <c r="X341" s="26"/>
      <c r="Y341" s="26"/>
      <c r="Z341" s="26"/>
      <c r="AA341" s="26"/>
      <c r="AB341" s="26"/>
      <c r="AC341" s="1222"/>
      <c r="AD341" s="1222"/>
      <c r="AE341" s="1222"/>
      <c r="AF341" s="1222"/>
      <c r="AG341" s="1222"/>
      <c r="AH341" s="1222"/>
    </row>
    <row r="342" spans="2:34">
      <c r="B342" s="26"/>
      <c r="C342" s="26"/>
      <c r="D342" s="26"/>
      <c r="E342" s="26"/>
      <c r="F342" s="26"/>
      <c r="G342" s="26"/>
      <c r="H342" s="26"/>
      <c r="I342" s="26"/>
      <c r="J342" s="26"/>
      <c r="K342" s="69"/>
      <c r="L342" s="69"/>
      <c r="M342" s="69"/>
      <c r="N342" s="69"/>
      <c r="O342" s="69"/>
      <c r="P342" s="69"/>
      <c r="Q342" s="69"/>
      <c r="R342" s="69"/>
      <c r="S342" s="69"/>
      <c r="T342" s="69"/>
      <c r="U342" s="69"/>
      <c r="V342" s="26"/>
      <c r="W342" s="26"/>
      <c r="X342" s="26"/>
      <c r="Y342" s="26"/>
      <c r="Z342" s="26"/>
      <c r="AA342" s="26"/>
      <c r="AB342" s="26"/>
      <c r="AC342" s="1222"/>
      <c r="AD342" s="1222"/>
      <c r="AE342" s="1222"/>
      <c r="AF342" s="1222"/>
      <c r="AG342" s="1222"/>
      <c r="AH342" s="1222"/>
    </row>
    <row r="343" spans="2:34">
      <c r="B343" s="26"/>
      <c r="C343" s="26"/>
      <c r="D343" s="26"/>
      <c r="E343" s="26"/>
      <c r="F343" s="26"/>
      <c r="G343" s="26"/>
      <c r="H343" s="26"/>
      <c r="I343" s="26"/>
      <c r="J343" s="26"/>
      <c r="K343" s="69"/>
      <c r="L343" s="69"/>
      <c r="M343" s="69"/>
      <c r="N343" s="69"/>
      <c r="O343" s="69"/>
      <c r="P343" s="69"/>
      <c r="Q343" s="69"/>
      <c r="R343" s="69"/>
      <c r="S343" s="69"/>
      <c r="T343" s="69"/>
      <c r="U343" s="69"/>
      <c r="V343" s="26"/>
      <c r="W343" s="26"/>
      <c r="X343" s="26"/>
      <c r="Y343" s="26"/>
      <c r="Z343" s="26"/>
      <c r="AA343" s="26"/>
      <c r="AB343" s="26"/>
      <c r="AC343" s="1222"/>
      <c r="AD343" s="1222"/>
      <c r="AE343" s="1222"/>
      <c r="AF343" s="1222"/>
      <c r="AG343" s="1222"/>
      <c r="AH343" s="1222"/>
    </row>
    <row r="344" spans="2:34">
      <c r="B344" s="26"/>
      <c r="C344" s="26"/>
      <c r="D344" s="26"/>
      <c r="E344" s="26"/>
      <c r="F344" s="26"/>
      <c r="G344" s="26"/>
      <c r="H344" s="26"/>
      <c r="I344" s="26"/>
      <c r="J344" s="26"/>
      <c r="K344" s="69"/>
      <c r="L344" s="69"/>
      <c r="M344" s="69"/>
      <c r="N344" s="69"/>
      <c r="O344" s="69"/>
      <c r="P344" s="69"/>
      <c r="Q344" s="69"/>
      <c r="R344" s="69"/>
      <c r="S344" s="69"/>
      <c r="T344" s="69"/>
      <c r="U344" s="69"/>
      <c r="V344" s="26"/>
      <c r="W344" s="26"/>
      <c r="X344" s="26"/>
      <c r="Y344" s="26"/>
      <c r="Z344" s="26"/>
      <c r="AA344" s="26"/>
      <c r="AB344" s="26"/>
      <c r="AC344" s="1222"/>
      <c r="AD344" s="1222"/>
      <c r="AE344" s="1222"/>
      <c r="AF344" s="1222"/>
      <c r="AG344" s="1222"/>
      <c r="AH344" s="1222"/>
    </row>
    <row r="345" spans="2:34">
      <c r="B345" s="26"/>
      <c r="C345" s="26"/>
      <c r="D345" s="26"/>
      <c r="E345" s="26"/>
      <c r="F345" s="26"/>
      <c r="G345" s="26"/>
      <c r="H345" s="26"/>
      <c r="I345" s="26"/>
      <c r="J345" s="26"/>
      <c r="K345" s="69"/>
      <c r="L345" s="69"/>
      <c r="M345" s="69"/>
      <c r="N345" s="69"/>
      <c r="O345" s="69"/>
      <c r="P345" s="69"/>
      <c r="Q345" s="69"/>
      <c r="R345" s="69"/>
      <c r="S345" s="69"/>
      <c r="T345" s="69"/>
      <c r="U345" s="69"/>
      <c r="V345" s="26"/>
      <c r="W345" s="26"/>
      <c r="X345" s="26"/>
      <c r="Y345" s="26"/>
      <c r="Z345" s="26"/>
      <c r="AA345" s="26"/>
      <c r="AB345" s="26"/>
      <c r="AC345" s="1222"/>
      <c r="AD345" s="1222"/>
      <c r="AE345" s="1222"/>
      <c r="AF345" s="1222"/>
      <c r="AG345" s="1222"/>
      <c r="AH345" s="1222"/>
    </row>
    <row r="346" spans="2:34">
      <c r="B346" s="26"/>
      <c r="C346" s="26"/>
      <c r="D346" s="26"/>
      <c r="E346" s="26"/>
      <c r="F346" s="26"/>
      <c r="G346" s="26"/>
      <c r="H346" s="26"/>
      <c r="I346" s="26"/>
      <c r="J346" s="26"/>
      <c r="K346" s="69"/>
      <c r="L346" s="69"/>
      <c r="M346" s="69"/>
      <c r="N346" s="69"/>
      <c r="O346" s="69"/>
      <c r="P346" s="69"/>
      <c r="Q346" s="69"/>
      <c r="R346" s="69"/>
      <c r="S346" s="69"/>
      <c r="T346" s="69"/>
      <c r="U346" s="69"/>
      <c r="V346" s="26"/>
      <c r="W346" s="26"/>
      <c r="X346" s="26"/>
      <c r="Y346" s="26"/>
      <c r="Z346" s="26"/>
      <c r="AA346" s="26"/>
      <c r="AB346" s="26"/>
      <c r="AC346" s="1222"/>
      <c r="AD346" s="1222"/>
      <c r="AE346" s="1222"/>
      <c r="AF346" s="1222"/>
      <c r="AG346" s="1222"/>
      <c r="AH346" s="1222"/>
    </row>
    <row r="347" spans="2:34">
      <c r="B347" s="26"/>
      <c r="C347" s="26"/>
      <c r="D347" s="26"/>
      <c r="E347" s="26"/>
      <c r="F347" s="26"/>
      <c r="G347" s="26"/>
      <c r="H347" s="26"/>
      <c r="I347" s="26"/>
      <c r="J347" s="26"/>
      <c r="K347" s="69"/>
      <c r="L347" s="69"/>
      <c r="M347" s="69"/>
      <c r="N347" s="69"/>
      <c r="O347" s="69"/>
      <c r="P347" s="69"/>
      <c r="Q347" s="69"/>
      <c r="R347" s="69"/>
      <c r="S347" s="69"/>
      <c r="T347" s="69"/>
      <c r="U347" s="69"/>
      <c r="V347" s="26"/>
      <c r="W347" s="26"/>
      <c r="X347" s="26"/>
      <c r="Y347" s="26"/>
      <c r="Z347" s="26"/>
      <c r="AA347" s="26"/>
      <c r="AB347" s="26"/>
      <c r="AC347" s="1222"/>
      <c r="AD347" s="1222"/>
      <c r="AE347" s="1222"/>
      <c r="AF347" s="1222"/>
      <c r="AG347" s="1222"/>
      <c r="AH347" s="1222"/>
    </row>
    <row r="348" spans="2:34">
      <c r="B348" s="26"/>
      <c r="C348" s="26"/>
      <c r="D348" s="26"/>
      <c r="E348" s="26"/>
      <c r="F348" s="26"/>
      <c r="G348" s="26"/>
      <c r="H348" s="26"/>
      <c r="I348" s="26"/>
      <c r="J348" s="26"/>
      <c r="K348" s="69"/>
      <c r="L348" s="69"/>
      <c r="M348" s="69"/>
      <c r="N348" s="69"/>
      <c r="O348" s="69"/>
      <c r="P348" s="69"/>
      <c r="Q348" s="69"/>
      <c r="R348" s="69"/>
      <c r="S348" s="69"/>
      <c r="T348" s="69"/>
      <c r="U348" s="69"/>
      <c r="V348" s="26"/>
      <c r="W348" s="26"/>
      <c r="X348" s="26"/>
      <c r="Y348" s="26"/>
      <c r="Z348" s="26"/>
      <c r="AA348" s="26"/>
      <c r="AB348" s="26"/>
      <c r="AC348" s="1222"/>
      <c r="AD348" s="1222"/>
      <c r="AE348" s="1222"/>
      <c r="AF348" s="1222"/>
      <c r="AG348" s="1222"/>
      <c r="AH348" s="1222"/>
    </row>
    <row r="349" spans="2:34">
      <c r="B349" s="26"/>
      <c r="C349" s="26"/>
      <c r="D349" s="26"/>
      <c r="E349" s="26"/>
      <c r="F349" s="26"/>
      <c r="G349" s="26"/>
      <c r="H349" s="26"/>
      <c r="I349" s="26"/>
      <c r="J349" s="26"/>
      <c r="K349" s="69"/>
      <c r="L349" s="69"/>
      <c r="M349" s="69"/>
      <c r="N349" s="69"/>
      <c r="O349" s="69"/>
      <c r="P349" s="69"/>
      <c r="Q349" s="69"/>
      <c r="R349" s="69"/>
      <c r="S349" s="69"/>
      <c r="T349" s="69"/>
      <c r="U349" s="69"/>
      <c r="V349" s="26"/>
      <c r="W349" s="26"/>
      <c r="X349" s="26"/>
      <c r="Y349" s="26"/>
      <c r="Z349" s="26"/>
      <c r="AA349" s="26"/>
      <c r="AB349" s="26"/>
      <c r="AC349" s="1222"/>
      <c r="AD349" s="1222"/>
      <c r="AE349" s="1222"/>
      <c r="AF349" s="1222"/>
      <c r="AG349" s="1222"/>
      <c r="AH349" s="1222"/>
    </row>
    <row r="350" spans="2:34">
      <c r="B350" s="26"/>
      <c r="C350" s="26"/>
      <c r="D350" s="26"/>
      <c r="E350" s="26"/>
      <c r="F350" s="26"/>
      <c r="G350" s="26"/>
      <c r="H350" s="26"/>
      <c r="I350" s="26"/>
      <c r="J350" s="26"/>
      <c r="K350" s="69"/>
      <c r="L350" s="69"/>
      <c r="M350" s="69"/>
      <c r="N350" s="69"/>
      <c r="O350" s="69"/>
      <c r="P350" s="69"/>
      <c r="Q350" s="69"/>
      <c r="R350" s="69"/>
      <c r="S350" s="69"/>
      <c r="T350" s="69"/>
      <c r="U350" s="69"/>
      <c r="V350" s="26"/>
      <c r="W350" s="26"/>
      <c r="X350" s="26"/>
      <c r="Y350" s="26"/>
      <c r="Z350" s="26"/>
      <c r="AA350" s="26"/>
      <c r="AB350" s="26"/>
      <c r="AC350" s="1222"/>
      <c r="AD350" s="1222"/>
      <c r="AE350" s="1222"/>
      <c r="AF350" s="1222"/>
      <c r="AG350" s="1222"/>
      <c r="AH350" s="1222"/>
    </row>
    <row r="351" spans="2:34">
      <c r="B351" s="26"/>
      <c r="C351" s="26"/>
      <c r="D351" s="26"/>
      <c r="E351" s="26"/>
      <c r="F351" s="26"/>
      <c r="G351" s="26"/>
      <c r="H351" s="26"/>
      <c r="I351" s="26"/>
      <c r="J351" s="26"/>
      <c r="K351" s="69"/>
      <c r="L351" s="69"/>
      <c r="M351" s="69"/>
      <c r="N351" s="69"/>
      <c r="O351" s="69"/>
      <c r="P351" s="69"/>
      <c r="Q351" s="69"/>
      <c r="R351" s="69"/>
      <c r="S351" s="69"/>
      <c r="T351" s="69"/>
      <c r="U351" s="69"/>
      <c r="V351" s="26"/>
      <c r="W351" s="26"/>
      <c r="X351" s="26"/>
      <c r="Y351" s="26"/>
      <c r="Z351" s="26"/>
      <c r="AA351" s="26"/>
      <c r="AB351" s="26"/>
      <c r="AC351" s="1222"/>
      <c r="AD351" s="1222"/>
      <c r="AE351" s="1222"/>
      <c r="AF351" s="1222"/>
      <c r="AG351" s="1222"/>
      <c r="AH351" s="1222"/>
    </row>
    <row r="352" spans="2:34">
      <c r="B352" s="26"/>
      <c r="C352" s="26"/>
      <c r="D352" s="26"/>
      <c r="E352" s="26"/>
      <c r="F352" s="26"/>
      <c r="G352" s="26"/>
      <c r="H352" s="26"/>
      <c r="I352" s="26"/>
      <c r="J352" s="26"/>
      <c r="K352" s="69"/>
      <c r="L352" s="69"/>
      <c r="M352" s="69"/>
      <c r="N352" s="69"/>
      <c r="O352" s="69"/>
      <c r="P352" s="69"/>
      <c r="Q352" s="69"/>
      <c r="R352" s="69"/>
      <c r="S352" s="69"/>
      <c r="T352" s="69"/>
      <c r="U352" s="69"/>
      <c r="V352" s="26"/>
      <c r="W352" s="26"/>
      <c r="X352" s="26"/>
      <c r="Y352" s="26"/>
      <c r="Z352" s="26"/>
      <c r="AA352" s="26"/>
      <c r="AB352" s="26"/>
      <c r="AC352" s="1222"/>
      <c r="AD352" s="1222"/>
      <c r="AE352" s="1222"/>
      <c r="AF352" s="1222"/>
      <c r="AG352" s="1222"/>
      <c r="AH352" s="1222"/>
    </row>
    <row r="353" spans="2:34">
      <c r="B353" s="26"/>
      <c r="C353" s="26"/>
      <c r="D353" s="26"/>
      <c r="E353" s="26"/>
      <c r="F353" s="26"/>
      <c r="G353" s="26"/>
      <c r="H353" s="26"/>
      <c r="I353" s="26"/>
      <c r="J353" s="26"/>
      <c r="K353" s="69"/>
      <c r="L353" s="69"/>
      <c r="M353" s="69"/>
      <c r="N353" s="69"/>
      <c r="O353" s="69"/>
      <c r="P353" s="69"/>
      <c r="Q353" s="69"/>
      <c r="R353" s="69"/>
      <c r="S353" s="69"/>
      <c r="T353" s="69"/>
      <c r="U353" s="69"/>
      <c r="V353" s="26"/>
      <c r="W353" s="26"/>
      <c r="X353" s="26"/>
      <c r="Y353" s="26"/>
      <c r="Z353" s="26"/>
      <c r="AA353" s="26"/>
      <c r="AB353" s="26"/>
      <c r="AC353" s="1222"/>
      <c r="AD353" s="1222"/>
      <c r="AE353" s="1222"/>
      <c r="AF353" s="1222"/>
      <c r="AG353" s="1222"/>
      <c r="AH353" s="1222"/>
    </row>
    <row r="354" spans="2:34">
      <c r="B354" s="26"/>
      <c r="C354" s="26"/>
      <c r="D354" s="26"/>
      <c r="E354" s="26"/>
      <c r="F354" s="26"/>
      <c r="G354" s="26"/>
      <c r="H354" s="26"/>
      <c r="I354" s="26"/>
      <c r="J354" s="26"/>
      <c r="K354" s="69"/>
      <c r="L354" s="69"/>
      <c r="M354" s="69"/>
      <c r="N354" s="69"/>
      <c r="O354" s="69"/>
      <c r="P354" s="69"/>
      <c r="Q354" s="69"/>
      <c r="R354" s="69"/>
      <c r="S354" s="69"/>
      <c r="T354" s="69"/>
      <c r="U354" s="69"/>
      <c r="V354" s="26"/>
      <c r="W354" s="26"/>
      <c r="X354" s="26"/>
      <c r="Y354" s="26"/>
      <c r="Z354" s="26"/>
      <c r="AA354" s="26"/>
      <c r="AB354" s="26"/>
      <c r="AC354" s="1222"/>
      <c r="AD354" s="1222"/>
      <c r="AE354" s="1222"/>
      <c r="AF354" s="1222"/>
      <c r="AG354" s="1222"/>
      <c r="AH354" s="1222"/>
    </row>
    <row r="355" spans="2:34">
      <c r="B355" s="26"/>
      <c r="C355" s="26"/>
      <c r="D355" s="26"/>
      <c r="E355" s="26"/>
      <c r="F355" s="26"/>
      <c r="G355" s="26"/>
      <c r="H355" s="26"/>
      <c r="I355" s="26"/>
      <c r="J355" s="26"/>
      <c r="K355" s="69"/>
      <c r="L355" s="69"/>
      <c r="M355" s="69"/>
      <c r="N355" s="69"/>
      <c r="O355" s="69"/>
      <c r="P355" s="69"/>
      <c r="Q355" s="69"/>
      <c r="R355" s="69"/>
      <c r="S355" s="69"/>
      <c r="T355" s="69"/>
      <c r="U355" s="69"/>
      <c r="V355" s="26"/>
      <c r="W355" s="26"/>
      <c r="X355" s="26"/>
      <c r="Y355" s="26"/>
      <c r="Z355" s="26"/>
      <c r="AA355" s="26"/>
      <c r="AB355" s="26"/>
      <c r="AC355" s="1222"/>
      <c r="AD355" s="1222"/>
      <c r="AE355" s="1222"/>
      <c r="AF355" s="1222"/>
      <c r="AG355" s="1222"/>
      <c r="AH355" s="1222"/>
    </row>
    <row r="356" spans="2:34">
      <c r="B356" s="26"/>
      <c r="C356" s="26"/>
      <c r="D356" s="26"/>
      <c r="E356" s="26"/>
      <c r="F356" s="26"/>
      <c r="G356" s="26"/>
      <c r="H356" s="26"/>
      <c r="I356" s="26"/>
      <c r="J356" s="26"/>
      <c r="K356" s="69"/>
      <c r="L356" s="69"/>
      <c r="M356" s="69"/>
      <c r="N356" s="69"/>
      <c r="O356" s="69"/>
      <c r="P356" s="69"/>
      <c r="Q356" s="69"/>
      <c r="R356" s="69"/>
      <c r="S356" s="69"/>
      <c r="T356" s="69"/>
      <c r="U356" s="69"/>
      <c r="V356" s="26"/>
      <c r="W356" s="26"/>
      <c r="X356" s="26"/>
      <c r="Y356" s="26"/>
      <c r="Z356" s="26"/>
      <c r="AA356" s="26"/>
      <c r="AB356" s="26"/>
      <c r="AC356" s="1222"/>
      <c r="AD356" s="1222"/>
      <c r="AE356" s="1222"/>
      <c r="AF356" s="1222"/>
      <c r="AG356" s="1222"/>
      <c r="AH356" s="1222"/>
    </row>
    <row r="357" spans="2:34">
      <c r="B357" s="26"/>
      <c r="C357" s="26"/>
      <c r="D357" s="26"/>
      <c r="E357" s="26"/>
      <c r="F357" s="26"/>
      <c r="G357" s="26"/>
      <c r="H357" s="26"/>
      <c r="I357" s="26"/>
      <c r="J357" s="26"/>
      <c r="K357" s="69"/>
      <c r="L357" s="69"/>
      <c r="M357" s="69"/>
      <c r="N357" s="69"/>
      <c r="O357" s="69"/>
      <c r="P357" s="69"/>
      <c r="Q357" s="69"/>
      <c r="R357" s="69"/>
      <c r="S357" s="69"/>
      <c r="T357" s="69"/>
      <c r="U357" s="69"/>
      <c r="V357" s="26"/>
      <c r="W357" s="26"/>
      <c r="X357" s="26"/>
      <c r="Y357" s="26"/>
      <c r="Z357" s="26"/>
      <c r="AA357" s="26"/>
      <c r="AB357" s="26"/>
      <c r="AC357" s="1222"/>
      <c r="AD357" s="1222"/>
      <c r="AE357" s="1222"/>
      <c r="AF357" s="1222"/>
      <c r="AG357" s="1222"/>
      <c r="AH357" s="1222"/>
    </row>
    <row r="358" spans="2:34">
      <c r="B358" s="26"/>
      <c r="C358" s="26"/>
      <c r="D358" s="26"/>
      <c r="E358" s="26"/>
      <c r="F358" s="26"/>
      <c r="G358" s="26"/>
      <c r="H358" s="26"/>
      <c r="I358" s="26"/>
      <c r="J358" s="26"/>
      <c r="K358" s="69"/>
      <c r="L358" s="69"/>
      <c r="M358" s="69"/>
      <c r="N358" s="69"/>
      <c r="O358" s="69"/>
      <c r="P358" s="69"/>
      <c r="Q358" s="69"/>
      <c r="R358" s="69"/>
      <c r="S358" s="69"/>
      <c r="T358" s="69"/>
      <c r="U358" s="69"/>
      <c r="V358" s="26"/>
      <c r="W358" s="26"/>
      <c r="X358" s="26"/>
      <c r="Y358" s="26"/>
      <c r="Z358" s="26"/>
      <c r="AA358" s="26"/>
      <c r="AB358" s="26"/>
      <c r="AC358" s="1222"/>
      <c r="AD358" s="1222"/>
      <c r="AE358" s="1222"/>
      <c r="AF358" s="1222"/>
      <c r="AG358" s="1222"/>
      <c r="AH358" s="1222"/>
    </row>
    <row r="359" s="1002" customFormat="1" ht="15" customHeight="1" spans="1:21">
      <c r="A359" s="379"/>
      <c r="B359" s="26"/>
      <c r="C359" s="26"/>
      <c r="D359" s="26"/>
      <c r="E359" s="26"/>
      <c r="F359" s="26"/>
      <c r="G359" s="26"/>
      <c r="H359" s="26"/>
      <c r="I359" s="1217" t="s">
        <v>394</v>
      </c>
      <c r="J359" s="1217"/>
      <c r="K359" s="69"/>
      <c r="L359" s="69"/>
      <c r="M359" s="69"/>
      <c r="N359" s="69"/>
      <c r="O359" s="69"/>
      <c r="P359" s="69"/>
      <c r="Q359" s="69"/>
      <c r="R359" s="69"/>
      <c r="S359" s="69"/>
      <c r="T359" s="69"/>
      <c r="U359" s="69"/>
    </row>
    <row r="360" s="1003" customFormat="1" ht="15" customHeight="1" spans="1:21">
      <c r="A360" s="379"/>
      <c r="B360" s="26"/>
      <c r="C360" s="26"/>
      <c r="D360" s="26"/>
      <c r="E360" s="26"/>
      <c r="F360" s="26"/>
      <c r="G360" s="26"/>
      <c r="H360" s="26"/>
      <c r="I360" s="1217" t="s">
        <v>395</v>
      </c>
      <c r="J360" s="1217"/>
      <c r="K360" s="69"/>
      <c r="L360" s="69"/>
      <c r="M360" s="69"/>
      <c r="N360" s="69"/>
      <c r="O360" s="69"/>
      <c r="P360" s="69"/>
      <c r="Q360" s="69"/>
      <c r="R360" s="69"/>
      <c r="S360" s="69"/>
      <c r="T360" s="69"/>
      <c r="U360" s="69"/>
    </row>
    <row r="361" s="1004" customFormat="1" ht="15" customHeight="1" spans="1:21">
      <c r="A361" s="379"/>
      <c r="B361" s="26"/>
      <c r="C361" s="26"/>
      <c r="D361" s="26"/>
      <c r="E361" s="26"/>
      <c r="F361" s="26"/>
      <c r="G361" s="26"/>
      <c r="H361" s="26"/>
      <c r="I361" s="1217" t="s">
        <v>396</v>
      </c>
      <c r="J361" s="1217"/>
      <c r="K361" s="1220"/>
      <c r="L361" s="1220"/>
      <c r="M361" s="1220"/>
      <c r="N361" s="1220"/>
      <c r="O361" s="1220"/>
      <c r="P361" s="1220"/>
      <c r="Q361" s="1220"/>
      <c r="R361" s="1220"/>
      <c r="S361" s="1220"/>
      <c r="T361" s="1220"/>
      <c r="U361" s="1220"/>
    </row>
    <row r="362" s="1004" customFormat="1" spans="1:21">
      <c r="A362" s="379"/>
      <c r="B362" s="26"/>
      <c r="C362" s="26"/>
      <c r="D362" s="26"/>
      <c r="E362" s="26"/>
      <c r="F362" s="26"/>
      <c r="G362" s="26"/>
      <c r="H362" s="26"/>
      <c r="I362" s="1217" t="s">
        <v>398</v>
      </c>
      <c r="J362" s="1217"/>
      <c r="K362" s="69"/>
      <c r="L362" s="69"/>
      <c r="M362" s="69"/>
      <c r="N362" s="69"/>
      <c r="O362" s="69"/>
      <c r="P362" s="69"/>
      <c r="Q362" s="69"/>
      <c r="R362" s="69"/>
      <c r="S362" s="69"/>
      <c r="T362" s="69"/>
      <c r="U362" s="69"/>
    </row>
    <row r="363" spans="2:34">
      <c r="B363" s="26"/>
      <c r="C363" s="26"/>
      <c r="D363" s="26"/>
      <c r="E363" s="26"/>
      <c r="F363" s="26"/>
      <c r="G363" s="26"/>
      <c r="H363" s="26"/>
      <c r="I363" s="1217" t="s">
        <v>399</v>
      </c>
      <c r="J363" s="1217"/>
      <c r="K363" s="1209"/>
      <c r="L363" s="1209"/>
      <c r="M363" s="1209"/>
      <c r="N363" s="1209"/>
      <c r="O363" s="1209"/>
      <c r="P363" s="1209"/>
      <c r="Q363" s="1209"/>
      <c r="R363" s="1209"/>
      <c r="S363" s="1209"/>
      <c r="T363" s="1209"/>
      <c r="U363" s="1209"/>
      <c r="V363" s="26"/>
      <c r="W363" s="26"/>
      <c r="X363" s="26"/>
      <c r="Y363" s="26"/>
      <c r="Z363" s="26"/>
      <c r="AA363" s="26"/>
      <c r="AB363" s="26"/>
      <c r="AC363" s="1222"/>
      <c r="AD363" s="1222"/>
      <c r="AE363" s="1222"/>
      <c r="AF363" s="1222"/>
      <c r="AG363" s="1222"/>
      <c r="AH363" s="1222"/>
    </row>
    <row r="364" spans="2:34">
      <c r="B364" s="26"/>
      <c r="C364" s="26"/>
      <c r="D364" s="26"/>
      <c r="E364" s="26"/>
      <c r="F364" s="26"/>
      <c r="G364" s="26"/>
      <c r="H364" s="26"/>
      <c r="I364" s="1217" t="s">
        <v>400</v>
      </c>
      <c r="J364" s="1217"/>
      <c r="K364" s="1220"/>
      <c r="L364" s="1220"/>
      <c r="M364" s="1220"/>
      <c r="N364" s="1220"/>
      <c r="O364" s="1220"/>
      <c r="P364" s="1220"/>
      <c r="Q364" s="1220"/>
      <c r="R364" s="1220"/>
      <c r="S364" s="1220"/>
      <c r="T364" s="1220"/>
      <c r="U364" s="1220"/>
      <c r="V364" s="26"/>
      <c r="W364" s="26"/>
      <c r="X364" s="26"/>
      <c r="Y364" s="26"/>
      <c r="Z364" s="26"/>
      <c r="AA364" s="26"/>
      <c r="AB364" s="26"/>
      <c r="AC364" s="1222"/>
      <c r="AD364" s="1222"/>
      <c r="AE364" s="1222"/>
      <c r="AF364" s="1222"/>
      <c r="AG364" s="1222"/>
      <c r="AH364" s="1222"/>
    </row>
    <row r="365" spans="2:34">
      <c r="B365" s="26"/>
      <c r="C365" s="26"/>
      <c r="D365" s="26"/>
      <c r="E365" s="26"/>
      <c r="F365" s="26"/>
      <c r="G365" s="26"/>
      <c r="H365" s="26"/>
      <c r="I365" s="1217" t="s">
        <v>401</v>
      </c>
      <c r="J365" s="1217"/>
      <c r="K365" s="1209"/>
      <c r="L365" s="1209"/>
      <c r="M365" s="1209"/>
      <c r="N365" s="1209"/>
      <c r="O365" s="1209"/>
      <c r="P365" s="1209"/>
      <c r="Q365" s="1209"/>
      <c r="R365" s="1209"/>
      <c r="S365" s="1209"/>
      <c r="T365" s="1209"/>
      <c r="U365" s="1209"/>
      <c r="V365" s="26"/>
      <c r="W365" s="26"/>
      <c r="X365" s="26"/>
      <c r="Y365" s="26"/>
      <c r="Z365" s="26"/>
      <c r="AA365" s="26"/>
      <c r="AB365" s="26"/>
      <c r="AC365" s="1222"/>
      <c r="AD365" s="1222"/>
      <c r="AE365" s="1222"/>
      <c r="AF365" s="1222"/>
      <c r="AG365" s="1222"/>
      <c r="AH365" s="1222"/>
    </row>
    <row r="366" spans="2:34">
      <c r="B366" s="26"/>
      <c r="C366" s="26"/>
      <c r="D366" s="26"/>
      <c r="E366" s="26"/>
      <c r="F366" s="26"/>
      <c r="G366" s="26"/>
      <c r="H366" s="26"/>
      <c r="I366" s="26"/>
      <c r="J366" s="26"/>
      <c r="K366" s="26"/>
      <c r="M366" s="26"/>
      <c r="N366" s="26"/>
      <c r="R366" s="26"/>
      <c r="S366" s="26"/>
      <c r="T366" s="26"/>
      <c r="U366" s="26"/>
      <c r="V366" s="26"/>
      <c r="W366" s="26"/>
      <c r="X366" s="26"/>
      <c r="Y366" s="26"/>
      <c r="Z366" s="26"/>
      <c r="AA366" s="26"/>
      <c r="AB366" s="26"/>
      <c r="AC366" s="1222"/>
      <c r="AD366" s="1222"/>
      <c r="AE366" s="1222"/>
      <c r="AF366" s="1222"/>
      <c r="AG366" s="1222"/>
      <c r="AH366" s="1222"/>
    </row>
    <row r="367" spans="2:34">
      <c r="B367" s="26"/>
      <c r="C367" s="26"/>
      <c r="D367" s="26"/>
      <c r="E367" s="26"/>
      <c r="F367" s="26"/>
      <c r="G367" s="26"/>
      <c r="H367" s="26"/>
      <c r="I367" s="26"/>
      <c r="J367" s="26"/>
      <c r="K367" s="26"/>
      <c r="M367" s="26"/>
      <c r="N367" s="26"/>
      <c r="R367" s="26"/>
      <c r="S367" s="26"/>
      <c r="T367" s="26"/>
      <c r="U367" s="26"/>
      <c r="V367" s="26"/>
      <c r="W367" s="26"/>
      <c r="X367" s="26"/>
      <c r="Y367" s="26"/>
      <c r="Z367" s="26"/>
      <c r="AA367" s="26"/>
      <c r="AB367" s="26"/>
      <c r="AC367" s="1222"/>
      <c r="AD367" s="1222"/>
      <c r="AE367" s="1222"/>
      <c r="AF367" s="1222"/>
      <c r="AG367" s="1222"/>
      <c r="AH367" s="1222"/>
    </row>
    <row r="368" spans="2:34">
      <c r="B368" s="26"/>
      <c r="C368" s="26"/>
      <c r="D368" s="26"/>
      <c r="E368" s="26"/>
      <c r="F368" s="26"/>
      <c r="G368" s="26"/>
      <c r="H368" s="26"/>
      <c r="I368" s="26"/>
      <c r="J368" s="26"/>
      <c r="K368" s="26"/>
      <c r="M368" s="26"/>
      <c r="N368" s="26"/>
      <c r="R368" s="26"/>
      <c r="S368" s="26"/>
      <c r="T368" s="26"/>
      <c r="U368" s="26"/>
      <c r="V368" s="26"/>
      <c r="W368" s="26"/>
      <c r="X368" s="26"/>
      <c r="Y368" s="26"/>
      <c r="Z368" s="26"/>
      <c r="AA368" s="26"/>
      <c r="AB368" s="26"/>
      <c r="AC368" s="1222"/>
      <c r="AD368" s="1222"/>
      <c r="AE368" s="1222"/>
      <c r="AF368" s="1222"/>
      <c r="AG368" s="1222"/>
      <c r="AH368" s="1222"/>
    </row>
    <row r="369" spans="2:34">
      <c r="B369" s="26"/>
      <c r="C369" s="26"/>
      <c r="D369" s="26"/>
      <c r="E369" s="26"/>
      <c r="F369" s="26"/>
      <c r="G369" s="26"/>
      <c r="H369" s="26"/>
      <c r="I369" s="26"/>
      <c r="J369" s="26"/>
      <c r="K369" s="26"/>
      <c r="M369" s="26"/>
      <c r="N369" s="26"/>
      <c r="R369" s="26"/>
      <c r="S369" s="26"/>
      <c r="T369" s="26"/>
      <c r="U369" s="26"/>
      <c r="V369" s="26"/>
      <c r="W369" s="26"/>
      <c r="X369" s="26"/>
      <c r="Y369" s="26"/>
      <c r="Z369" s="26"/>
      <c r="AA369" s="26"/>
      <c r="AB369" s="26"/>
      <c r="AC369" s="1222"/>
      <c r="AD369" s="1222"/>
      <c r="AE369" s="1222"/>
      <c r="AF369" s="1222"/>
      <c r="AG369" s="1222"/>
      <c r="AH369" s="1222"/>
    </row>
    <row r="370" spans="2:34">
      <c r="B370" s="26"/>
      <c r="C370" s="26"/>
      <c r="D370" s="26"/>
      <c r="E370" s="26"/>
      <c r="F370" s="26"/>
      <c r="G370" s="26"/>
      <c r="H370" s="26"/>
      <c r="I370" s="1217"/>
      <c r="J370" s="1217"/>
      <c r="K370" s="26"/>
      <c r="M370" s="26"/>
      <c r="N370" s="26"/>
      <c r="R370" s="26"/>
      <c r="S370" s="26"/>
      <c r="T370" s="26"/>
      <c r="U370" s="26"/>
      <c r="V370" s="26"/>
      <c r="W370" s="26"/>
      <c r="X370" s="26"/>
      <c r="Y370" s="26"/>
      <c r="Z370" s="26"/>
      <c r="AA370" s="26"/>
      <c r="AB370" s="26"/>
      <c r="AC370" s="1222"/>
      <c r="AD370" s="1222"/>
      <c r="AE370" s="1222"/>
      <c r="AF370" s="1222"/>
      <c r="AG370" s="1222"/>
      <c r="AH370" s="1222"/>
    </row>
    <row r="371" spans="2:34">
      <c r="B371" s="26"/>
      <c r="C371" s="26"/>
      <c r="D371" s="26"/>
      <c r="E371" s="26"/>
      <c r="F371" s="26"/>
      <c r="G371" s="26"/>
      <c r="H371" s="26"/>
      <c r="I371" s="1217"/>
      <c r="J371" s="1217"/>
      <c r="K371" s="26"/>
      <c r="M371" s="26"/>
      <c r="N371" s="26"/>
      <c r="R371" s="26"/>
      <c r="S371" s="26"/>
      <c r="T371" s="26"/>
      <c r="U371" s="26"/>
      <c r="V371" s="26"/>
      <c r="W371" s="26"/>
      <c r="X371" s="26"/>
      <c r="Y371" s="26"/>
      <c r="Z371" s="26"/>
      <c r="AA371" s="26"/>
      <c r="AB371" s="26"/>
      <c r="AC371" s="1222"/>
      <c r="AD371" s="1222"/>
      <c r="AE371" s="1222"/>
      <c r="AF371" s="1222"/>
      <c r="AG371" s="1222"/>
      <c r="AH371" s="1222"/>
    </row>
    <row r="372" spans="2:34">
      <c r="B372" s="26"/>
      <c r="C372" s="26"/>
      <c r="D372" s="26"/>
      <c r="E372" s="26"/>
      <c r="F372" s="26"/>
      <c r="G372" s="26"/>
      <c r="H372" s="26"/>
      <c r="I372" s="1217"/>
      <c r="J372" s="1217"/>
      <c r="K372" s="26"/>
      <c r="M372" s="26"/>
      <c r="N372" s="26"/>
      <c r="R372" s="26"/>
      <c r="S372" s="26"/>
      <c r="T372" s="26"/>
      <c r="U372" s="26"/>
      <c r="V372" s="26"/>
      <c r="W372" s="26"/>
      <c r="X372" s="26"/>
      <c r="Y372" s="26"/>
      <c r="Z372" s="26"/>
      <c r="AA372" s="26"/>
      <c r="AB372" s="26"/>
      <c r="AC372" s="1222"/>
      <c r="AD372" s="1222"/>
      <c r="AE372" s="1222"/>
      <c r="AF372" s="1222"/>
      <c r="AG372" s="1222"/>
      <c r="AH372" s="1222"/>
    </row>
    <row r="373" spans="2:34">
      <c r="B373" s="26"/>
      <c r="C373" s="26"/>
      <c r="D373" s="26"/>
      <c r="E373" s="26"/>
      <c r="F373" s="26"/>
      <c r="G373" s="26"/>
      <c r="H373" s="26"/>
      <c r="I373" s="1217"/>
      <c r="J373" s="1217"/>
      <c r="K373" s="26"/>
      <c r="M373" s="26"/>
      <c r="N373" s="26"/>
      <c r="R373" s="26"/>
      <c r="S373" s="26"/>
      <c r="T373" s="26"/>
      <c r="U373" s="26"/>
      <c r="V373" s="26"/>
      <c r="W373" s="26"/>
      <c r="X373" s="26"/>
      <c r="Y373" s="26"/>
      <c r="Z373" s="26"/>
      <c r="AA373" s="26"/>
      <c r="AB373" s="26"/>
      <c r="AC373" s="1222"/>
      <c r="AD373" s="1222"/>
      <c r="AE373" s="1222"/>
      <c r="AF373" s="1222"/>
      <c r="AG373" s="1222"/>
      <c r="AH373" s="1222"/>
    </row>
    <row r="374" spans="2:34">
      <c r="B374" s="26"/>
      <c r="C374" s="26"/>
      <c r="D374" s="26"/>
      <c r="E374" s="26"/>
      <c r="F374" s="26"/>
      <c r="G374" s="26"/>
      <c r="H374" s="26"/>
      <c r="I374" s="1217"/>
      <c r="J374" s="1217"/>
      <c r="K374" s="26"/>
      <c r="M374" s="26"/>
      <c r="N374" s="26"/>
      <c r="R374" s="26"/>
      <c r="S374" s="26"/>
      <c r="T374" s="26"/>
      <c r="U374" s="26"/>
      <c r="V374" s="26"/>
      <c r="W374" s="26"/>
      <c r="X374" s="26"/>
      <c r="Y374" s="26"/>
      <c r="Z374" s="26"/>
      <c r="AA374" s="26"/>
      <c r="AB374" s="26"/>
      <c r="AC374" s="1222"/>
      <c r="AD374" s="1222"/>
      <c r="AE374" s="1222"/>
      <c r="AF374" s="1222"/>
      <c r="AG374" s="1222"/>
      <c r="AH374" s="1222"/>
    </row>
    <row r="375" spans="2:34">
      <c r="B375" s="26"/>
      <c r="C375" s="26"/>
      <c r="D375" s="26"/>
      <c r="E375" s="26"/>
      <c r="F375" s="26"/>
      <c r="G375" s="26"/>
      <c r="H375" s="26"/>
      <c r="I375" s="1217"/>
      <c r="J375" s="1217"/>
      <c r="K375" s="26"/>
      <c r="M375" s="26"/>
      <c r="N375" s="26"/>
      <c r="R375" s="26"/>
      <c r="S375" s="26"/>
      <c r="T375" s="26"/>
      <c r="U375" s="26"/>
      <c r="V375" s="26"/>
      <c r="W375" s="26"/>
      <c r="X375" s="26"/>
      <c r="Y375" s="26"/>
      <c r="Z375" s="26"/>
      <c r="AA375" s="26"/>
      <c r="AB375" s="26"/>
      <c r="AC375" s="1222"/>
      <c r="AD375" s="1222"/>
      <c r="AE375" s="1222"/>
      <c r="AF375" s="1222"/>
      <c r="AG375" s="1222"/>
      <c r="AH375" s="1222"/>
    </row>
    <row r="376" spans="2:34">
      <c r="B376" s="26"/>
      <c r="C376" s="26"/>
      <c r="D376" s="26"/>
      <c r="E376" s="26"/>
      <c r="F376" s="26"/>
      <c r="G376" s="26"/>
      <c r="H376" s="26"/>
      <c r="I376" s="1217"/>
      <c r="J376" s="1217"/>
      <c r="K376" s="26"/>
      <c r="M376" s="26"/>
      <c r="N376" s="26"/>
      <c r="R376" s="26"/>
      <c r="S376" s="26"/>
      <c r="T376" s="26"/>
      <c r="U376" s="26"/>
      <c r="V376" s="26"/>
      <c r="W376" s="26"/>
      <c r="X376" s="26"/>
      <c r="Y376" s="26"/>
      <c r="Z376" s="26"/>
      <c r="AA376" s="26"/>
      <c r="AB376" s="26"/>
      <c r="AC376" s="1222"/>
      <c r="AD376" s="1222"/>
      <c r="AE376" s="1222"/>
      <c r="AF376" s="1222"/>
      <c r="AG376" s="1222"/>
      <c r="AH376" s="1222"/>
    </row>
    <row r="377" spans="2:34">
      <c r="B377" s="26"/>
      <c r="C377" s="26"/>
      <c r="D377" s="26"/>
      <c r="E377" s="26"/>
      <c r="F377" s="26"/>
      <c r="G377" s="26"/>
      <c r="H377" s="26"/>
      <c r="I377" s="26"/>
      <c r="J377" s="26"/>
      <c r="K377" s="26"/>
      <c r="M377" s="26"/>
      <c r="N377" s="26"/>
      <c r="R377" s="26"/>
      <c r="S377" s="26"/>
      <c r="T377" s="26"/>
      <c r="U377" s="26"/>
      <c r="V377" s="26"/>
      <c r="W377" s="26"/>
      <c r="X377" s="26"/>
      <c r="Y377" s="26"/>
      <c r="Z377" s="26"/>
      <c r="AA377" s="26"/>
      <c r="AB377" s="26"/>
      <c r="AC377" s="1222"/>
      <c r="AD377" s="1222"/>
      <c r="AE377" s="1222"/>
      <c r="AF377" s="1222"/>
      <c r="AG377" s="1222"/>
      <c r="AH377" s="1222"/>
    </row>
    <row r="378" spans="2:34">
      <c r="B378" s="26"/>
      <c r="C378" s="26"/>
      <c r="D378" s="26"/>
      <c r="E378" s="26"/>
      <c r="F378" s="26"/>
      <c r="G378" s="26"/>
      <c r="H378" s="26"/>
      <c r="I378" s="26"/>
      <c r="J378" s="26"/>
      <c r="K378" s="26"/>
      <c r="M378" s="26"/>
      <c r="N378" s="26"/>
      <c r="R378" s="26"/>
      <c r="S378" s="26"/>
      <c r="T378" s="26"/>
      <c r="U378" s="26"/>
      <c r="V378" s="26"/>
      <c r="W378" s="26"/>
      <c r="X378" s="26"/>
      <c r="Y378" s="26"/>
      <c r="Z378" s="26"/>
      <c r="AA378" s="26"/>
      <c r="AB378" s="26"/>
      <c r="AC378" s="1222"/>
      <c r="AD378" s="1222"/>
      <c r="AE378" s="1222"/>
      <c r="AF378" s="1222"/>
      <c r="AG378" s="1222"/>
      <c r="AH378" s="1222"/>
    </row>
    <row r="379" spans="2:34">
      <c r="B379" s="26"/>
      <c r="C379" s="26"/>
      <c r="D379" s="26"/>
      <c r="E379" s="26"/>
      <c r="F379" s="26"/>
      <c r="G379" s="26"/>
      <c r="H379" s="26"/>
      <c r="I379" s="26"/>
      <c r="J379" s="26"/>
      <c r="K379" s="26"/>
      <c r="M379" s="26"/>
      <c r="N379" s="26"/>
      <c r="R379" s="26"/>
      <c r="S379" s="26"/>
      <c r="T379" s="26"/>
      <c r="U379" s="26"/>
      <c r="V379" s="26"/>
      <c r="W379" s="26"/>
      <c r="X379" s="26"/>
      <c r="Y379" s="26"/>
      <c r="Z379" s="26"/>
      <c r="AA379" s="26"/>
      <c r="AB379" s="26"/>
      <c r="AC379" s="1222"/>
      <c r="AD379" s="1222"/>
      <c r="AE379" s="1222"/>
      <c r="AF379" s="1222"/>
      <c r="AG379" s="1222"/>
      <c r="AH379" s="1222"/>
    </row>
    <row r="380" spans="2:34">
      <c r="B380" s="26"/>
      <c r="C380" s="26"/>
      <c r="D380" s="26"/>
      <c r="E380" s="26"/>
      <c r="F380" s="26"/>
      <c r="G380" s="26"/>
      <c r="H380" s="26"/>
      <c r="I380" s="26"/>
      <c r="J380" s="26"/>
      <c r="K380" s="26"/>
      <c r="M380" s="26"/>
      <c r="N380" s="26"/>
      <c r="R380" s="26"/>
      <c r="S380" s="26"/>
      <c r="T380" s="26"/>
      <c r="U380" s="26"/>
      <c r="V380" s="26"/>
      <c r="W380" s="26"/>
      <c r="X380" s="26"/>
      <c r="Y380" s="26"/>
      <c r="Z380" s="26"/>
      <c r="AA380" s="26"/>
      <c r="AB380" s="26"/>
      <c r="AC380" s="1222"/>
      <c r="AD380" s="1222"/>
      <c r="AE380" s="1222"/>
      <c r="AF380" s="1222"/>
      <c r="AG380" s="1222"/>
      <c r="AH380" s="1222"/>
    </row>
    <row r="381" spans="1:33">
      <c r="A381" s="26"/>
      <c r="B381" s="26"/>
      <c r="C381" s="26"/>
      <c r="D381" s="26"/>
      <c r="E381" s="26"/>
      <c r="F381" s="26"/>
      <c r="G381" s="26"/>
      <c r="H381" s="26"/>
      <c r="I381" s="26"/>
      <c r="J381" s="26"/>
      <c r="K381" s="26"/>
      <c r="M381" s="26"/>
      <c r="N381" s="26"/>
      <c r="R381" s="26"/>
      <c r="S381" s="26"/>
      <c r="T381" s="26"/>
      <c r="U381" s="26"/>
      <c r="V381" s="26"/>
      <c r="W381" s="26"/>
      <c r="X381" s="26"/>
      <c r="Y381" s="26"/>
      <c r="Z381" s="26"/>
      <c r="AA381" s="26"/>
      <c r="AB381" s="1222"/>
      <c r="AC381" s="1222"/>
      <c r="AD381" s="1222"/>
      <c r="AE381" s="1222"/>
      <c r="AF381" s="1222"/>
      <c r="AG381" s="1222"/>
    </row>
    <row r="382" spans="1:33">
      <c r="A382" s="26"/>
      <c r="B382" s="26"/>
      <c r="C382" s="26"/>
      <c r="D382" s="26"/>
      <c r="E382" s="26"/>
      <c r="F382" s="26"/>
      <c r="G382" s="26"/>
      <c r="H382" s="26"/>
      <c r="I382" s="26"/>
      <c r="J382" s="26"/>
      <c r="K382" s="26"/>
      <c r="M382" s="26"/>
      <c r="N382" s="26"/>
      <c r="R382" s="26"/>
      <c r="S382" s="26"/>
      <c r="T382" s="26"/>
      <c r="U382" s="26"/>
      <c r="V382" s="26"/>
      <c r="W382" s="26"/>
      <c r="X382" s="26"/>
      <c r="Y382" s="26"/>
      <c r="Z382" s="26"/>
      <c r="AA382" s="26"/>
      <c r="AB382" s="1222"/>
      <c r="AC382" s="1222"/>
      <c r="AD382" s="1222"/>
      <c r="AE382" s="1222"/>
      <c r="AF382" s="1222"/>
      <c r="AG382" s="1222"/>
    </row>
    <row r="383" spans="1:33">
      <c r="A383" s="26"/>
      <c r="B383" s="26"/>
      <c r="C383" s="26"/>
      <c r="D383" s="26"/>
      <c r="E383" s="26"/>
      <c r="F383" s="26"/>
      <c r="G383" s="26"/>
      <c r="H383" s="26"/>
      <c r="I383" s="26"/>
      <c r="J383" s="26"/>
      <c r="K383" s="26"/>
      <c r="M383" s="26"/>
      <c r="N383" s="26"/>
      <c r="R383" s="26"/>
      <c r="S383" s="26"/>
      <c r="T383" s="26"/>
      <c r="U383" s="26"/>
      <c r="V383" s="26"/>
      <c r="W383" s="26"/>
      <c r="X383" s="26"/>
      <c r="Y383" s="26"/>
      <c r="Z383" s="26"/>
      <c r="AA383" s="26"/>
      <c r="AB383" s="1222"/>
      <c r="AC383" s="1222"/>
      <c r="AD383" s="1222"/>
      <c r="AE383" s="1222"/>
      <c r="AF383" s="1222"/>
      <c r="AG383" s="1222"/>
    </row>
    <row r="384" spans="1:33">
      <c r="A384" s="26"/>
      <c r="B384" s="26"/>
      <c r="C384" s="26"/>
      <c r="D384" s="26"/>
      <c r="E384" s="26"/>
      <c r="F384" s="26"/>
      <c r="G384" s="26"/>
      <c r="H384" s="26"/>
      <c r="I384" s="26"/>
      <c r="J384" s="26"/>
      <c r="K384" s="26"/>
      <c r="M384" s="26"/>
      <c r="N384" s="26"/>
      <c r="R384" s="26"/>
      <c r="S384" s="26"/>
      <c r="T384" s="26"/>
      <c r="U384" s="26"/>
      <c r="V384" s="26"/>
      <c r="W384" s="26"/>
      <c r="X384" s="26"/>
      <c r="Y384" s="26"/>
      <c r="Z384" s="26"/>
      <c r="AA384" s="26"/>
      <c r="AB384" s="1222"/>
      <c r="AC384" s="1222"/>
      <c r="AD384" s="1222"/>
      <c r="AE384" s="1222"/>
      <c r="AF384" s="1222"/>
      <c r="AG384" s="1222"/>
    </row>
    <row r="385" spans="1:33">
      <c r="A385" s="26"/>
      <c r="B385" s="26"/>
      <c r="C385" s="26"/>
      <c r="D385" s="26"/>
      <c r="E385" s="26"/>
      <c r="F385" s="26"/>
      <c r="G385" s="26"/>
      <c r="H385" s="26"/>
      <c r="I385" s="26"/>
      <c r="J385" s="26"/>
      <c r="K385" s="26"/>
      <c r="M385" s="26"/>
      <c r="N385" s="26"/>
      <c r="R385" s="26"/>
      <c r="S385" s="26"/>
      <c r="T385" s="26"/>
      <c r="U385" s="26"/>
      <c r="V385" s="26"/>
      <c r="W385" s="26"/>
      <c r="X385" s="26"/>
      <c r="Y385" s="26"/>
      <c r="Z385" s="26"/>
      <c r="AA385" s="26"/>
      <c r="AB385" s="1222"/>
      <c r="AC385" s="1222"/>
      <c r="AD385" s="1222"/>
      <c r="AE385" s="1222"/>
      <c r="AF385" s="1222"/>
      <c r="AG385" s="1222"/>
    </row>
    <row r="386" spans="1:33">
      <c r="A386" s="26"/>
      <c r="B386" s="26"/>
      <c r="C386" s="26"/>
      <c r="D386" s="26"/>
      <c r="E386" s="26"/>
      <c r="F386" s="26"/>
      <c r="G386" s="26"/>
      <c r="H386" s="26"/>
      <c r="I386" s="26"/>
      <c r="J386" s="26"/>
      <c r="K386" s="26"/>
      <c r="M386" s="26"/>
      <c r="N386" s="26"/>
      <c r="R386" s="26"/>
      <c r="S386" s="26"/>
      <c r="T386" s="26"/>
      <c r="U386" s="26"/>
      <c r="V386" s="26"/>
      <c r="W386" s="26"/>
      <c r="X386" s="26"/>
      <c r="Y386" s="26"/>
      <c r="Z386" s="26"/>
      <c r="AA386" s="26"/>
      <c r="AB386" s="1222"/>
      <c r="AC386" s="1222"/>
      <c r="AD386" s="1222"/>
      <c r="AE386" s="1222"/>
      <c r="AF386" s="1222"/>
      <c r="AG386" s="1222"/>
    </row>
    <row r="387" spans="1:33">
      <c r="A387" s="26"/>
      <c r="B387" s="26"/>
      <c r="C387" s="26"/>
      <c r="D387" s="26"/>
      <c r="E387" s="26"/>
      <c r="F387" s="26"/>
      <c r="G387" s="26"/>
      <c r="H387" s="26"/>
      <c r="I387" s="26"/>
      <c r="J387" s="26"/>
      <c r="K387" s="26"/>
      <c r="M387" s="26"/>
      <c r="N387" s="26"/>
      <c r="R387" s="26"/>
      <c r="S387" s="26"/>
      <c r="T387" s="26"/>
      <c r="U387" s="26"/>
      <c r="V387" s="26"/>
      <c r="W387" s="26"/>
      <c r="X387" s="26"/>
      <c r="Y387" s="26"/>
      <c r="Z387" s="26"/>
      <c r="AA387" s="26"/>
      <c r="AB387" s="1222"/>
      <c r="AC387" s="1222"/>
      <c r="AD387" s="1222"/>
      <c r="AE387" s="1222"/>
      <c r="AF387" s="1222"/>
      <c r="AG387" s="1222"/>
    </row>
    <row r="388" spans="1:33">
      <c r="A388" s="26"/>
      <c r="B388" s="26"/>
      <c r="C388" s="26"/>
      <c r="D388" s="26"/>
      <c r="E388" s="26"/>
      <c r="F388" s="26"/>
      <c r="G388" s="26"/>
      <c r="H388" s="26"/>
      <c r="I388" s="26"/>
      <c r="J388" s="26"/>
      <c r="K388" s="26"/>
      <c r="M388" s="26"/>
      <c r="N388" s="26"/>
      <c r="R388" s="26"/>
      <c r="S388" s="26"/>
      <c r="T388" s="26"/>
      <c r="U388" s="26"/>
      <c r="V388" s="26"/>
      <c r="W388" s="26"/>
      <c r="X388" s="26"/>
      <c r="Y388" s="26"/>
      <c r="Z388" s="26"/>
      <c r="AA388" s="26"/>
      <c r="AB388" s="1222"/>
      <c r="AC388" s="1222"/>
      <c r="AD388" s="1222"/>
      <c r="AE388" s="1222"/>
      <c r="AF388" s="1222"/>
      <c r="AG388" s="1222"/>
    </row>
    <row r="389" spans="1:33">
      <c r="A389" s="26"/>
      <c r="B389" s="26"/>
      <c r="C389" s="26"/>
      <c r="D389" s="26"/>
      <c r="E389" s="26"/>
      <c r="F389" s="26"/>
      <c r="G389" s="26"/>
      <c r="H389" s="26"/>
      <c r="I389" s="26"/>
      <c r="J389" s="26"/>
      <c r="K389" s="26"/>
      <c r="M389" s="26"/>
      <c r="N389" s="26"/>
      <c r="R389" s="26"/>
      <c r="S389" s="26"/>
      <c r="T389" s="26"/>
      <c r="U389" s="26"/>
      <c r="V389" s="26"/>
      <c r="W389" s="26"/>
      <c r="X389" s="26"/>
      <c r="Y389" s="26"/>
      <c r="Z389" s="26"/>
      <c r="AA389" s="26"/>
      <c r="AB389" s="1222"/>
      <c r="AC389" s="1222"/>
      <c r="AD389" s="1222"/>
      <c r="AE389" s="1222"/>
      <c r="AF389" s="1222"/>
      <c r="AG389" s="1222"/>
    </row>
    <row r="390" spans="1:33">
      <c r="A390" s="26"/>
      <c r="B390" s="26"/>
      <c r="C390" s="26"/>
      <c r="D390" s="26"/>
      <c r="E390" s="26"/>
      <c r="F390" s="26"/>
      <c r="G390" s="26"/>
      <c r="H390" s="26"/>
      <c r="I390" s="26"/>
      <c r="J390" s="26"/>
      <c r="K390" s="26"/>
      <c r="M390" s="26"/>
      <c r="N390" s="26"/>
      <c r="R390" s="26"/>
      <c r="S390" s="26"/>
      <c r="T390" s="26"/>
      <c r="U390" s="26"/>
      <c r="V390" s="26"/>
      <c r="W390" s="26"/>
      <c r="X390" s="26"/>
      <c r="Y390" s="26"/>
      <c r="Z390" s="26"/>
      <c r="AA390" s="26"/>
      <c r="AB390" s="1222"/>
      <c r="AC390" s="1222"/>
      <c r="AD390" s="1222"/>
      <c r="AE390" s="1222"/>
      <c r="AF390" s="1222"/>
      <c r="AG390" s="1222"/>
    </row>
    <row r="391" spans="1:33">
      <c r="A391" s="26"/>
      <c r="B391" s="26"/>
      <c r="C391" s="26"/>
      <c r="D391" s="26"/>
      <c r="E391" s="26"/>
      <c r="F391" s="26"/>
      <c r="G391" s="26"/>
      <c r="H391" s="26"/>
      <c r="I391" s="26"/>
      <c r="J391" s="26"/>
      <c r="K391" s="26"/>
      <c r="M391" s="26"/>
      <c r="N391" s="26"/>
      <c r="R391" s="26"/>
      <c r="S391" s="26"/>
      <c r="T391" s="26"/>
      <c r="U391" s="26"/>
      <c r="V391" s="26"/>
      <c r="W391" s="26"/>
      <c r="X391" s="26"/>
      <c r="Y391" s="26"/>
      <c r="Z391" s="26"/>
      <c r="AA391" s="26"/>
      <c r="AB391" s="1222"/>
      <c r="AC391" s="1222"/>
      <c r="AD391" s="1222"/>
      <c r="AE391" s="1222"/>
      <c r="AF391" s="1222"/>
      <c r="AG391" s="1222"/>
    </row>
    <row r="392" spans="1:33">
      <c r="A392" s="26"/>
      <c r="B392" s="26"/>
      <c r="C392" s="26"/>
      <c r="D392" s="26"/>
      <c r="E392" s="26"/>
      <c r="F392" s="26"/>
      <c r="G392" s="26"/>
      <c r="H392" s="26"/>
      <c r="I392" s="26"/>
      <c r="J392" s="26"/>
      <c r="K392" s="26"/>
      <c r="M392" s="26"/>
      <c r="N392" s="26"/>
      <c r="R392" s="26"/>
      <c r="S392" s="26"/>
      <c r="T392" s="26"/>
      <c r="U392" s="26"/>
      <c r="V392" s="26"/>
      <c r="W392" s="26"/>
      <c r="X392" s="26"/>
      <c r="Y392" s="26"/>
      <c r="Z392" s="26"/>
      <c r="AA392" s="26"/>
      <c r="AB392" s="1222"/>
      <c r="AC392" s="1222"/>
      <c r="AD392" s="1222"/>
      <c r="AE392" s="1222"/>
      <c r="AF392" s="1222"/>
      <c r="AG392" s="1222"/>
    </row>
    <row r="393" spans="1:33">
      <c r="A393" s="26"/>
      <c r="B393" s="26"/>
      <c r="C393" s="26"/>
      <c r="D393" s="26"/>
      <c r="E393" s="26"/>
      <c r="F393" s="26"/>
      <c r="G393" s="26"/>
      <c r="H393" s="26"/>
      <c r="I393" s="26"/>
      <c r="J393" s="26"/>
      <c r="K393" s="26"/>
      <c r="M393" s="26"/>
      <c r="N393" s="26"/>
      <c r="R393" s="26"/>
      <c r="S393" s="26"/>
      <c r="T393" s="26"/>
      <c r="U393" s="26"/>
      <c r="V393" s="26"/>
      <c r="W393" s="26"/>
      <c r="X393" s="26"/>
      <c r="Y393" s="26"/>
      <c r="Z393" s="26"/>
      <c r="AA393" s="26"/>
      <c r="AB393" s="1222"/>
      <c r="AC393" s="1222"/>
      <c r="AD393" s="1222"/>
      <c r="AE393" s="1222"/>
      <c r="AF393" s="1222"/>
      <c r="AG393" s="1222"/>
    </row>
    <row r="394" spans="1:33">
      <c r="A394" s="26"/>
      <c r="B394" s="26"/>
      <c r="C394" s="26"/>
      <c r="D394" s="26"/>
      <c r="E394" s="26"/>
      <c r="F394" s="26"/>
      <c r="G394" s="26"/>
      <c r="H394" s="26"/>
      <c r="I394" s="26"/>
      <c r="J394" s="26"/>
      <c r="K394" s="26"/>
      <c r="M394" s="26"/>
      <c r="N394" s="26"/>
      <c r="R394" s="26"/>
      <c r="S394" s="26"/>
      <c r="T394" s="26"/>
      <c r="U394" s="26"/>
      <c r="V394" s="26"/>
      <c r="W394" s="26"/>
      <c r="X394" s="26"/>
      <c r="Y394" s="26"/>
      <c r="Z394" s="26"/>
      <c r="AA394" s="26"/>
      <c r="AB394" s="1222"/>
      <c r="AC394" s="1222"/>
      <c r="AD394" s="1222"/>
      <c r="AE394" s="1222"/>
      <c r="AF394" s="1222"/>
      <c r="AG394" s="1222"/>
    </row>
    <row r="395" spans="1:33">
      <c r="A395" s="26"/>
      <c r="B395" s="26"/>
      <c r="C395" s="26"/>
      <c r="D395" s="26"/>
      <c r="E395" s="26"/>
      <c r="F395" s="26"/>
      <c r="G395" s="26"/>
      <c r="H395" s="26"/>
      <c r="I395" s="26"/>
      <c r="J395" s="26"/>
      <c r="K395" s="26"/>
      <c r="M395" s="26"/>
      <c r="N395" s="26"/>
      <c r="R395" s="26"/>
      <c r="S395" s="26"/>
      <c r="T395" s="26"/>
      <c r="U395" s="26"/>
      <c r="V395" s="26"/>
      <c r="W395" s="26"/>
      <c r="X395" s="26"/>
      <c r="Y395" s="26"/>
      <c r="Z395" s="26"/>
      <c r="AA395" s="26"/>
      <c r="AB395" s="1222"/>
      <c r="AC395" s="1222"/>
      <c r="AD395" s="1222"/>
      <c r="AE395" s="1222"/>
      <c r="AF395" s="1222"/>
      <c r="AG395" s="1222"/>
    </row>
    <row r="396" spans="1:33">
      <c r="A396" s="26"/>
      <c r="B396" s="26"/>
      <c r="C396" s="26"/>
      <c r="D396" s="26"/>
      <c r="E396" s="26"/>
      <c r="F396" s="26"/>
      <c r="G396" s="26"/>
      <c r="H396" s="26"/>
      <c r="I396" s="26"/>
      <c r="J396" s="26"/>
      <c r="K396" s="26"/>
      <c r="M396" s="26"/>
      <c r="N396" s="26"/>
      <c r="R396" s="26"/>
      <c r="S396" s="26"/>
      <c r="T396" s="26"/>
      <c r="U396" s="26"/>
      <c r="V396" s="26"/>
      <c r="W396" s="26"/>
      <c r="X396" s="26"/>
      <c r="Y396" s="26"/>
      <c r="Z396" s="26"/>
      <c r="AA396" s="26"/>
      <c r="AB396" s="1222"/>
      <c r="AC396" s="1222"/>
      <c r="AD396" s="1222"/>
      <c r="AE396" s="1222"/>
      <c r="AF396" s="1222"/>
      <c r="AG396" s="1222"/>
    </row>
    <row r="397" spans="1:33">
      <c r="A397" s="26"/>
      <c r="B397" s="26"/>
      <c r="C397" s="26"/>
      <c r="D397" s="26"/>
      <c r="E397" s="26"/>
      <c r="F397" s="26"/>
      <c r="G397" s="26"/>
      <c r="H397" s="26"/>
      <c r="I397" s="26"/>
      <c r="J397" s="26"/>
      <c r="K397" s="26"/>
      <c r="M397" s="26"/>
      <c r="N397" s="26"/>
      <c r="R397" s="26"/>
      <c r="S397" s="26"/>
      <c r="T397" s="26"/>
      <c r="U397" s="26"/>
      <c r="V397" s="26"/>
      <c r="W397" s="26"/>
      <c r="X397" s="26"/>
      <c r="Y397" s="26"/>
      <c r="Z397" s="26"/>
      <c r="AA397" s="26"/>
      <c r="AB397" s="1222"/>
      <c r="AC397" s="1222"/>
      <c r="AD397" s="1222"/>
      <c r="AE397" s="1222"/>
      <c r="AF397" s="1222"/>
      <c r="AG397" s="1222"/>
    </row>
    <row r="398" spans="1:33">
      <c r="A398" s="26"/>
      <c r="B398" s="26"/>
      <c r="C398" s="26"/>
      <c r="D398" s="26"/>
      <c r="E398" s="26"/>
      <c r="F398" s="26"/>
      <c r="G398" s="26"/>
      <c r="H398" s="26"/>
      <c r="I398" s="26"/>
      <c r="J398" s="26"/>
      <c r="K398" s="26"/>
      <c r="M398" s="26"/>
      <c r="N398" s="26"/>
      <c r="R398" s="26"/>
      <c r="S398" s="26"/>
      <c r="T398" s="26"/>
      <c r="U398" s="26"/>
      <c r="V398" s="26"/>
      <c r="W398" s="26"/>
      <c r="X398" s="26"/>
      <c r="Y398" s="26"/>
      <c r="Z398" s="26"/>
      <c r="AA398" s="26"/>
      <c r="AB398" s="1222"/>
      <c r="AC398" s="1222"/>
      <c r="AD398" s="1222"/>
      <c r="AE398" s="1222"/>
      <c r="AF398" s="1222"/>
      <c r="AG398" s="1222"/>
    </row>
    <row r="399" spans="1:33">
      <c r="A399" s="26"/>
      <c r="B399" s="26"/>
      <c r="C399" s="26"/>
      <c r="D399" s="26"/>
      <c r="E399" s="26"/>
      <c r="F399" s="26"/>
      <c r="G399" s="26"/>
      <c r="H399" s="26"/>
      <c r="I399" s="26"/>
      <c r="J399" s="26"/>
      <c r="K399" s="26"/>
      <c r="M399" s="26"/>
      <c r="N399" s="26"/>
      <c r="R399" s="26"/>
      <c r="S399" s="26"/>
      <c r="T399" s="26"/>
      <c r="U399" s="26"/>
      <c r="V399" s="26"/>
      <c r="W399" s="26"/>
      <c r="X399" s="26"/>
      <c r="Y399" s="26"/>
      <c r="Z399" s="26"/>
      <c r="AA399" s="26"/>
      <c r="AB399" s="1222"/>
      <c r="AC399" s="1222"/>
      <c r="AD399" s="1222"/>
      <c r="AE399" s="1222"/>
      <c r="AF399" s="1222"/>
      <c r="AG399" s="1222"/>
    </row>
    <row r="400" spans="1:33">
      <c r="A400" s="26"/>
      <c r="B400" s="26"/>
      <c r="C400" s="26"/>
      <c r="D400" s="26"/>
      <c r="E400" s="26"/>
      <c r="F400" s="26"/>
      <c r="G400" s="26"/>
      <c r="H400" s="26"/>
      <c r="I400" s="26"/>
      <c r="J400" s="26"/>
      <c r="K400" s="26"/>
      <c r="M400" s="26"/>
      <c r="N400" s="26"/>
      <c r="R400" s="26"/>
      <c r="S400" s="26"/>
      <c r="T400" s="26"/>
      <c r="U400" s="26"/>
      <c r="V400" s="26"/>
      <c r="W400" s="26"/>
      <c r="X400" s="26"/>
      <c r="Y400" s="26"/>
      <c r="Z400" s="26"/>
      <c r="AA400" s="26"/>
      <c r="AB400" s="1222"/>
      <c r="AC400" s="1222"/>
      <c r="AD400" s="1222"/>
      <c r="AE400" s="1222"/>
      <c r="AF400" s="1222"/>
      <c r="AG400" s="1222"/>
    </row>
    <row r="401" spans="1:33">
      <c r="A401" s="26"/>
      <c r="B401" s="26"/>
      <c r="C401" s="26"/>
      <c r="D401" s="26"/>
      <c r="E401" s="26"/>
      <c r="F401" s="26"/>
      <c r="G401" s="26"/>
      <c r="H401" s="26"/>
      <c r="I401" s="26"/>
      <c r="J401" s="26"/>
      <c r="K401" s="26"/>
      <c r="M401" s="26"/>
      <c r="N401" s="26"/>
      <c r="R401" s="26"/>
      <c r="S401" s="26"/>
      <c r="T401" s="26"/>
      <c r="U401" s="26"/>
      <c r="V401" s="26"/>
      <c r="W401" s="26"/>
      <c r="X401" s="26"/>
      <c r="Y401" s="26"/>
      <c r="Z401" s="26"/>
      <c r="AA401" s="26"/>
      <c r="AB401" s="1222"/>
      <c r="AC401" s="1222"/>
      <c r="AD401" s="1222"/>
      <c r="AE401" s="1222"/>
      <c r="AF401" s="1222"/>
      <c r="AG401" s="1222"/>
    </row>
    <row r="402" spans="1:33">
      <c r="A402" s="26"/>
      <c r="B402" s="26"/>
      <c r="C402" s="26"/>
      <c r="D402" s="26"/>
      <c r="E402" s="26"/>
      <c r="F402" s="26"/>
      <c r="G402" s="26"/>
      <c r="H402" s="26"/>
      <c r="I402" s="26"/>
      <c r="J402" s="26"/>
      <c r="K402" s="26"/>
      <c r="M402" s="26"/>
      <c r="N402" s="26"/>
      <c r="R402" s="26"/>
      <c r="S402" s="26"/>
      <c r="T402" s="26"/>
      <c r="U402" s="26"/>
      <c r="V402" s="26"/>
      <c r="W402" s="26"/>
      <c r="X402" s="26"/>
      <c r="Y402" s="26"/>
      <c r="Z402" s="26"/>
      <c r="AA402" s="26"/>
      <c r="AB402" s="1222"/>
      <c r="AC402" s="1222"/>
      <c r="AD402" s="1222"/>
      <c r="AE402" s="1222"/>
      <c r="AF402" s="1222"/>
      <c r="AG402" s="1222"/>
    </row>
    <row r="403" spans="1:33">
      <c r="A403" s="26"/>
      <c r="B403" s="26"/>
      <c r="C403" s="26"/>
      <c r="D403" s="26"/>
      <c r="E403" s="26"/>
      <c r="F403" s="26"/>
      <c r="G403" s="26"/>
      <c r="H403" s="26"/>
      <c r="I403" s="26"/>
      <c r="J403" s="26"/>
      <c r="K403" s="26"/>
      <c r="M403" s="26"/>
      <c r="N403" s="26"/>
      <c r="R403" s="26"/>
      <c r="S403" s="26"/>
      <c r="T403" s="26"/>
      <c r="U403" s="26"/>
      <c r="V403" s="26"/>
      <c r="W403" s="26"/>
      <c r="X403" s="26"/>
      <c r="Y403" s="26"/>
      <c r="Z403" s="26"/>
      <c r="AA403" s="26"/>
      <c r="AB403" s="1222"/>
      <c r="AC403" s="1222"/>
      <c r="AD403" s="1222"/>
      <c r="AE403" s="1222"/>
      <c r="AF403" s="1222"/>
      <c r="AG403" s="1222"/>
    </row>
    <row r="404" spans="10:33">
      <c r="J404" s="1222"/>
      <c r="K404" s="1222"/>
      <c r="M404" s="1222"/>
      <c r="N404" s="1222"/>
      <c r="R404" s="1222"/>
      <c r="S404" s="1222"/>
      <c r="T404" s="1222"/>
      <c r="U404" s="1222"/>
      <c r="V404" s="1222"/>
      <c r="W404" s="1222"/>
      <c r="X404" s="1222"/>
      <c r="Y404" s="1222"/>
      <c r="Z404" s="1222"/>
      <c r="AA404" s="1222"/>
      <c r="AB404" s="1222"/>
      <c r="AC404" s="1222"/>
      <c r="AD404" s="1222"/>
      <c r="AE404" s="1222"/>
      <c r="AF404" s="1222"/>
      <c r="AG404" s="1222"/>
    </row>
    <row r="405" spans="10:33">
      <c r="J405" s="1222"/>
      <c r="K405" s="1222"/>
      <c r="M405" s="1222"/>
      <c r="N405" s="1222"/>
      <c r="R405" s="1222"/>
      <c r="S405" s="1222"/>
      <c r="T405" s="1222"/>
      <c r="U405" s="1222"/>
      <c r="V405" s="1222"/>
      <c r="W405" s="1222"/>
      <c r="X405" s="1222"/>
      <c r="Y405" s="1222"/>
      <c r="Z405" s="1222"/>
      <c r="AA405" s="1222"/>
      <c r="AB405" s="1222"/>
      <c r="AC405" s="1222"/>
      <c r="AD405" s="1222"/>
      <c r="AE405" s="1222"/>
      <c r="AF405" s="1222"/>
      <c r="AG405" s="1222"/>
    </row>
    <row r="406" spans="10:33">
      <c r="J406" s="1222"/>
      <c r="K406" s="1222"/>
      <c r="M406" s="1222"/>
      <c r="N406" s="1222"/>
      <c r="R406" s="1222"/>
      <c r="S406" s="1222"/>
      <c r="T406" s="1222"/>
      <c r="U406" s="1222"/>
      <c r="V406" s="1222"/>
      <c r="W406" s="1222"/>
      <c r="X406" s="1222"/>
      <c r="Y406" s="1222"/>
      <c r="Z406" s="1222"/>
      <c r="AA406" s="1222"/>
      <c r="AB406" s="1222"/>
      <c r="AC406" s="1222"/>
      <c r="AD406" s="1222"/>
      <c r="AE406" s="1222"/>
      <c r="AF406" s="1222"/>
      <c r="AG406" s="1222"/>
    </row>
    <row r="407" spans="10:33">
      <c r="J407" s="1222"/>
      <c r="K407" s="1222"/>
      <c r="M407" s="1222"/>
      <c r="N407" s="1222"/>
      <c r="R407" s="1222"/>
      <c r="S407" s="1222"/>
      <c r="T407" s="1222"/>
      <c r="U407" s="1222"/>
      <c r="V407" s="1222"/>
      <c r="W407" s="1222"/>
      <c r="X407" s="1222"/>
      <c r="Y407" s="1222"/>
      <c r="Z407" s="1222"/>
      <c r="AA407" s="1222"/>
      <c r="AB407" s="1222"/>
      <c r="AC407" s="1222"/>
      <c r="AD407" s="1222"/>
      <c r="AE407" s="1222"/>
      <c r="AF407" s="1222"/>
      <c r="AG407" s="1222"/>
    </row>
    <row r="408" spans="10:33">
      <c r="J408" s="1222"/>
      <c r="K408" s="1222"/>
      <c r="M408" s="1222"/>
      <c r="N408" s="1222"/>
      <c r="R408" s="1222"/>
      <c r="S408" s="1222"/>
      <c r="T408" s="1222"/>
      <c r="U408" s="1222"/>
      <c r="V408" s="1222"/>
      <c r="W408" s="1222"/>
      <c r="X408" s="1222"/>
      <c r="Y408" s="1222"/>
      <c r="Z408" s="1222"/>
      <c r="AA408" s="1222"/>
      <c r="AB408" s="1222"/>
      <c r="AC408" s="1222"/>
      <c r="AD408" s="1222"/>
      <c r="AE408" s="1222"/>
      <c r="AF408" s="1222"/>
      <c r="AG408" s="1222"/>
    </row>
    <row r="409" spans="10:33">
      <c r="J409" s="1222"/>
      <c r="K409" s="1222"/>
      <c r="M409" s="1222"/>
      <c r="N409" s="1222"/>
      <c r="R409" s="1222"/>
      <c r="S409" s="1222"/>
      <c r="T409" s="1222"/>
      <c r="U409" s="1222"/>
      <c r="V409" s="1222"/>
      <c r="W409" s="1222"/>
      <c r="X409" s="1222"/>
      <c r="Y409" s="1222"/>
      <c r="Z409" s="1222"/>
      <c r="AA409" s="1222"/>
      <c r="AB409" s="1222"/>
      <c r="AC409" s="1222"/>
      <c r="AD409" s="1222"/>
      <c r="AE409" s="1222"/>
      <c r="AF409" s="1222"/>
      <c r="AG409" s="1222"/>
    </row>
    <row r="410" spans="10:33">
      <c r="J410" s="1222"/>
      <c r="K410" s="1222"/>
      <c r="M410" s="1222"/>
      <c r="N410" s="1222"/>
      <c r="R410" s="1222"/>
      <c r="S410" s="1222"/>
      <c r="T410" s="1222"/>
      <c r="U410" s="1222"/>
      <c r="V410" s="1222"/>
      <c r="W410" s="1222"/>
      <c r="X410" s="1222"/>
      <c r="Y410" s="1222"/>
      <c r="Z410" s="1222"/>
      <c r="AA410" s="1222"/>
      <c r="AB410" s="1222"/>
      <c r="AC410" s="1222"/>
      <c r="AD410" s="1222"/>
      <c r="AE410" s="1222"/>
      <c r="AF410" s="1222"/>
      <c r="AG410" s="1222"/>
    </row>
    <row r="411" spans="10:33">
      <c r="J411" s="1222"/>
      <c r="K411" s="1222"/>
      <c r="M411" s="1222"/>
      <c r="N411" s="1222"/>
      <c r="R411" s="1222"/>
      <c r="S411" s="1222"/>
      <c r="T411" s="1222"/>
      <c r="U411" s="1222"/>
      <c r="V411" s="1222"/>
      <c r="W411" s="1222"/>
      <c r="X411" s="1222"/>
      <c r="Y411" s="1222"/>
      <c r="Z411" s="1222"/>
      <c r="AA411" s="1222"/>
      <c r="AB411" s="1222"/>
      <c r="AC411" s="1222"/>
      <c r="AD411" s="1222"/>
      <c r="AE411" s="1222"/>
      <c r="AF411" s="1222"/>
      <c r="AG411" s="1222"/>
    </row>
    <row r="412" spans="10:33">
      <c r="J412" s="1222"/>
      <c r="K412" s="1222"/>
      <c r="M412" s="1222"/>
      <c r="N412" s="1222"/>
      <c r="R412" s="1222"/>
      <c r="S412" s="1222"/>
      <c r="T412" s="1222"/>
      <c r="U412" s="1222"/>
      <c r="V412" s="1222"/>
      <c r="W412" s="1222"/>
      <c r="X412" s="1222"/>
      <c r="Y412" s="1222"/>
      <c r="Z412" s="1222"/>
      <c r="AA412" s="1222"/>
      <c r="AB412" s="1222"/>
      <c r="AC412" s="1222"/>
      <c r="AD412" s="1222"/>
      <c r="AE412" s="1222"/>
      <c r="AF412" s="1222"/>
      <c r="AG412" s="1222"/>
    </row>
    <row r="413" spans="10:33">
      <c r="J413" s="1222"/>
      <c r="K413" s="1222"/>
      <c r="M413" s="1222"/>
      <c r="N413" s="1222"/>
      <c r="R413" s="1222"/>
      <c r="S413" s="1222"/>
      <c r="T413" s="1222"/>
      <c r="U413" s="1222"/>
      <c r="V413" s="1222"/>
      <c r="W413" s="1222"/>
      <c r="X413" s="1222"/>
      <c r="Y413" s="1222"/>
      <c r="Z413" s="1222"/>
      <c r="AA413" s="1222"/>
      <c r="AB413" s="1222"/>
      <c r="AC413" s="1222"/>
      <c r="AD413" s="1222"/>
      <c r="AE413" s="1222"/>
      <c r="AF413" s="1222"/>
      <c r="AG413" s="1222"/>
    </row>
    <row r="414" spans="10:33">
      <c r="J414" s="1222"/>
      <c r="K414" s="1222"/>
      <c r="M414" s="1222"/>
      <c r="N414" s="1222"/>
      <c r="R414" s="1222"/>
      <c r="S414" s="1222"/>
      <c r="T414" s="1222"/>
      <c r="U414" s="1222"/>
      <c r="V414" s="1222"/>
      <c r="W414" s="1222"/>
      <c r="X414" s="1222"/>
      <c r="Y414" s="1222"/>
      <c r="Z414" s="1222"/>
      <c r="AA414" s="1222"/>
      <c r="AB414" s="1222"/>
      <c r="AC414" s="1222"/>
      <c r="AD414" s="1222"/>
      <c r="AE414" s="1222"/>
      <c r="AF414" s="1222"/>
      <c r="AG414" s="1222"/>
    </row>
    <row r="415" spans="10:33">
      <c r="J415" s="1222"/>
      <c r="K415" s="1222"/>
      <c r="M415" s="1222"/>
      <c r="N415" s="1222"/>
      <c r="R415" s="1222"/>
      <c r="S415" s="1222"/>
      <c r="T415" s="1222"/>
      <c r="U415" s="1222"/>
      <c r="V415" s="1222"/>
      <c r="W415" s="1222"/>
      <c r="X415" s="1222"/>
      <c r="Y415" s="1222"/>
      <c r="Z415" s="1222"/>
      <c r="AA415" s="1222"/>
      <c r="AB415" s="1222"/>
      <c r="AC415" s="1222"/>
      <c r="AD415" s="1222"/>
      <c r="AE415" s="1222"/>
      <c r="AF415" s="1222"/>
      <c r="AG415" s="1222"/>
    </row>
    <row r="416" spans="10:33">
      <c r="J416" s="1222"/>
      <c r="K416" s="1222"/>
      <c r="M416" s="1222"/>
      <c r="N416" s="1222"/>
      <c r="R416" s="1222"/>
      <c r="S416" s="1222"/>
      <c r="T416" s="1222"/>
      <c r="U416" s="1222"/>
      <c r="V416" s="1222"/>
      <c r="W416" s="1222"/>
      <c r="X416" s="1222"/>
      <c r="Y416" s="1222"/>
      <c r="Z416" s="1222"/>
      <c r="AA416" s="1222"/>
      <c r="AB416" s="1222"/>
      <c r="AC416" s="1222"/>
      <c r="AD416" s="1222"/>
      <c r="AE416" s="1222"/>
      <c r="AF416" s="1222"/>
      <c r="AG416" s="1222"/>
    </row>
    <row r="417" spans="10:33">
      <c r="J417" s="1222"/>
      <c r="K417" s="1222"/>
      <c r="M417" s="1222"/>
      <c r="N417" s="1222"/>
      <c r="R417" s="1222"/>
      <c r="S417" s="1222"/>
      <c r="T417" s="1222"/>
      <c r="U417" s="1222"/>
      <c r="V417" s="1222"/>
      <c r="W417" s="1222"/>
      <c r="X417" s="1222"/>
      <c r="Y417" s="1222"/>
      <c r="Z417" s="1222"/>
      <c r="AA417" s="1222"/>
      <c r="AB417" s="1222"/>
      <c r="AC417" s="1222"/>
      <c r="AD417" s="1222"/>
      <c r="AE417" s="1222"/>
      <c r="AF417" s="1222"/>
      <c r="AG417" s="1222"/>
    </row>
    <row r="418" spans="10:33">
      <c r="J418" s="1222"/>
      <c r="K418" s="1222"/>
      <c r="M418" s="1222"/>
      <c r="N418" s="1222"/>
      <c r="R418" s="1222"/>
      <c r="S418" s="1222"/>
      <c r="T418" s="1222"/>
      <c r="U418" s="1222"/>
      <c r="V418" s="1222"/>
      <c r="W418" s="1222"/>
      <c r="X418" s="1222"/>
      <c r="Y418" s="1222"/>
      <c r="Z418" s="1222"/>
      <c r="AA418" s="1222"/>
      <c r="AB418" s="1222"/>
      <c r="AC418" s="1222"/>
      <c r="AD418" s="1222"/>
      <c r="AE418" s="1222"/>
      <c r="AF418" s="1222"/>
      <c r="AG418" s="1222"/>
    </row>
    <row r="419" spans="10:33">
      <c r="J419" s="1222"/>
      <c r="K419" s="1222"/>
      <c r="M419" s="1222"/>
      <c r="N419" s="1222"/>
      <c r="R419" s="1222"/>
      <c r="S419" s="1222"/>
      <c r="T419" s="1222"/>
      <c r="U419" s="1222"/>
      <c r="V419" s="1222"/>
      <c r="W419" s="1222"/>
      <c r="X419" s="1222"/>
      <c r="Y419" s="1222"/>
      <c r="Z419" s="1222"/>
      <c r="AA419" s="1222"/>
      <c r="AB419" s="1222"/>
      <c r="AC419" s="1222"/>
      <c r="AD419" s="1222"/>
      <c r="AE419" s="1222"/>
      <c r="AF419" s="1222"/>
      <c r="AG419" s="1222"/>
    </row>
    <row r="420" spans="10:33">
      <c r="J420" s="1222"/>
      <c r="K420" s="1222"/>
      <c r="M420" s="1222"/>
      <c r="N420" s="1222"/>
      <c r="R420" s="1222"/>
      <c r="S420" s="1222"/>
      <c r="T420" s="1222"/>
      <c r="U420" s="1222"/>
      <c r="V420" s="1222"/>
      <c r="W420" s="1222"/>
      <c r="X420" s="1222"/>
      <c r="Y420" s="1222"/>
      <c r="Z420" s="1222"/>
      <c r="AA420" s="1222"/>
      <c r="AB420" s="1222"/>
      <c r="AC420" s="1222"/>
      <c r="AD420" s="1222"/>
      <c r="AE420" s="1222"/>
      <c r="AF420" s="1222"/>
      <c r="AG420" s="1222"/>
    </row>
    <row r="421" spans="10:33">
      <c r="J421" s="1222"/>
      <c r="K421" s="1222"/>
      <c r="M421" s="1222"/>
      <c r="N421" s="1222"/>
      <c r="R421" s="1222"/>
      <c r="S421" s="1222"/>
      <c r="T421" s="1222"/>
      <c r="U421" s="1222"/>
      <c r="V421" s="1222"/>
      <c r="W421" s="1222"/>
      <c r="X421" s="1222"/>
      <c r="Y421" s="1222"/>
      <c r="Z421" s="1222"/>
      <c r="AA421" s="1222"/>
      <c r="AB421" s="1222"/>
      <c r="AC421" s="1222"/>
      <c r="AD421" s="1222"/>
      <c r="AE421" s="1222"/>
      <c r="AF421" s="1222"/>
      <c r="AG421" s="1222"/>
    </row>
    <row r="422" spans="10:33">
      <c r="J422" s="1222"/>
      <c r="K422" s="1222"/>
      <c r="M422" s="1222"/>
      <c r="N422" s="1222"/>
      <c r="R422" s="1222"/>
      <c r="S422" s="1222"/>
      <c r="T422" s="1222"/>
      <c r="U422" s="1222"/>
      <c r="V422" s="1222"/>
      <c r="W422" s="1222"/>
      <c r="X422" s="1222"/>
      <c r="Y422" s="1222"/>
      <c r="Z422" s="1222"/>
      <c r="AA422" s="1222"/>
      <c r="AB422" s="1222"/>
      <c r="AC422" s="1222"/>
      <c r="AD422" s="1222"/>
      <c r="AE422" s="1222"/>
      <c r="AF422" s="1222"/>
      <c r="AG422" s="1222"/>
    </row>
    <row r="423" spans="10:33">
      <c r="J423" s="1222"/>
      <c r="K423" s="1222"/>
      <c r="M423" s="1222"/>
      <c r="N423" s="1222"/>
      <c r="R423" s="1222"/>
      <c r="S423" s="1222"/>
      <c r="T423" s="1222"/>
      <c r="U423" s="1222"/>
      <c r="V423" s="1222"/>
      <c r="W423" s="1222"/>
      <c r="X423" s="1222"/>
      <c r="Y423" s="1222"/>
      <c r="Z423" s="1222"/>
      <c r="AA423" s="1222"/>
      <c r="AB423" s="1222"/>
      <c r="AC423" s="1222"/>
      <c r="AD423" s="1222"/>
      <c r="AE423" s="1222"/>
      <c r="AF423" s="1222"/>
      <c r="AG423" s="1222"/>
    </row>
    <row r="424" spans="10:33">
      <c r="J424" s="1222"/>
      <c r="K424" s="1222"/>
      <c r="M424" s="1222"/>
      <c r="N424" s="1222"/>
      <c r="R424" s="1222"/>
      <c r="S424" s="1222"/>
      <c r="T424" s="1222"/>
      <c r="U424" s="1222"/>
      <c r="V424" s="1222"/>
      <c r="W424" s="1222"/>
      <c r="X424" s="1222"/>
      <c r="Y424" s="1222"/>
      <c r="Z424" s="1222"/>
      <c r="AA424" s="1222"/>
      <c r="AB424" s="1222"/>
      <c r="AC424" s="1222"/>
      <c r="AD424" s="1222"/>
      <c r="AE424" s="1222"/>
      <c r="AF424" s="1222"/>
      <c r="AG424" s="1222"/>
    </row>
    <row r="425" spans="10:33">
      <c r="J425" s="1222"/>
      <c r="K425" s="1222"/>
      <c r="M425" s="1222"/>
      <c r="N425" s="1222"/>
      <c r="R425" s="1222"/>
      <c r="S425" s="1222"/>
      <c r="T425" s="1222"/>
      <c r="U425" s="1222"/>
      <c r="V425" s="1222"/>
      <c r="W425" s="1222"/>
      <c r="X425" s="1222"/>
      <c r="Y425" s="1222"/>
      <c r="Z425" s="1222"/>
      <c r="AA425" s="1222"/>
      <c r="AB425" s="1222"/>
      <c r="AC425" s="1222"/>
      <c r="AD425" s="1222"/>
      <c r="AE425" s="1222"/>
      <c r="AF425" s="1222"/>
      <c r="AG425" s="1222"/>
    </row>
    <row r="426" spans="10:33">
      <c r="J426" s="1222"/>
      <c r="K426" s="1222"/>
      <c r="M426" s="1222"/>
      <c r="N426" s="1222"/>
      <c r="R426" s="1222"/>
      <c r="S426" s="1222"/>
      <c r="T426" s="1222"/>
      <c r="U426" s="1222"/>
      <c r="V426" s="1222"/>
      <c r="W426" s="1222"/>
      <c r="X426" s="1222"/>
      <c r="Y426" s="1222"/>
      <c r="Z426" s="1222"/>
      <c r="AA426" s="1222"/>
      <c r="AB426" s="1222"/>
      <c r="AC426" s="1222"/>
      <c r="AD426" s="1222"/>
      <c r="AE426" s="1222"/>
      <c r="AF426" s="1222"/>
      <c r="AG426" s="1222"/>
    </row>
    <row r="427" spans="10:33">
      <c r="J427" s="1222"/>
      <c r="K427" s="1222"/>
      <c r="M427" s="1222"/>
      <c r="N427" s="1222"/>
      <c r="R427" s="1222"/>
      <c r="S427" s="1222"/>
      <c r="T427" s="1222"/>
      <c r="U427" s="1222"/>
      <c r="V427" s="1222"/>
      <c r="W427" s="1222"/>
      <c r="X427" s="1222"/>
      <c r="Y427" s="1222"/>
      <c r="Z427" s="1222"/>
      <c r="AA427" s="1222"/>
      <c r="AB427" s="1222"/>
      <c r="AC427" s="1222"/>
      <c r="AD427" s="1222"/>
      <c r="AE427" s="1222"/>
      <c r="AF427" s="1222"/>
      <c r="AG427" s="1222"/>
    </row>
    <row r="428" spans="10:33">
      <c r="J428" s="1222"/>
      <c r="K428" s="1222"/>
      <c r="M428" s="1222"/>
      <c r="N428" s="1222"/>
      <c r="R428" s="1222"/>
      <c r="S428" s="1222"/>
      <c r="T428" s="1222"/>
      <c r="U428" s="1222"/>
      <c r="V428" s="1222"/>
      <c r="W428" s="1222"/>
      <c r="X428" s="1222"/>
      <c r="Y428" s="1222"/>
      <c r="Z428" s="1222"/>
      <c r="AA428" s="1222"/>
      <c r="AB428" s="1222"/>
      <c r="AC428" s="1222"/>
      <c r="AD428" s="1222"/>
      <c r="AE428" s="1222"/>
      <c r="AF428" s="1222"/>
      <c r="AG428" s="1222"/>
    </row>
    <row r="429" spans="10:33">
      <c r="J429" s="1222"/>
      <c r="K429" s="1222"/>
      <c r="M429" s="1222"/>
      <c r="N429" s="1222"/>
      <c r="R429" s="1222"/>
      <c r="S429" s="1222"/>
      <c r="T429" s="1222"/>
      <c r="U429" s="1222"/>
      <c r="V429" s="1222"/>
      <c r="W429" s="1222"/>
      <c r="X429" s="1222"/>
      <c r="Y429" s="1222"/>
      <c r="Z429" s="1222"/>
      <c r="AA429" s="1222"/>
      <c r="AB429" s="1222"/>
      <c r="AC429" s="1222"/>
      <c r="AD429" s="1222"/>
      <c r="AE429" s="1222"/>
      <c r="AF429" s="1222"/>
      <c r="AG429" s="1222"/>
    </row>
    <row r="430" spans="10:33">
      <c r="J430" s="1222"/>
      <c r="K430" s="1222"/>
      <c r="M430" s="1222"/>
      <c r="N430" s="1222"/>
      <c r="R430" s="1222"/>
      <c r="S430" s="1222"/>
      <c r="T430" s="1222"/>
      <c r="U430" s="1222"/>
      <c r="V430" s="1222"/>
      <c r="W430" s="1222"/>
      <c r="X430" s="1222"/>
      <c r="Y430" s="1222"/>
      <c r="Z430" s="1222"/>
      <c r="AA430" s="1222"/>
      <c r="AB430" s="1222"/>
      <c r="AC430" s="1222"/>
      <c r="AD430" s="1222"/>
      <c r="AE430" s="1222"/>
      <c r="AF430" s="1222"/>
      <c r="AG430" s="1222"/>
    </row>
    <row r="431" spans="10:33">
      <c r="J431" s="1222"/>
      <c r="K431" s="1222"/>
      <c r="M431" s="1222"/>
      <c r="N431" s="1222"/>
      <c r="R431" s="1222"/>
      <c r="S431" s="1222"/>
      <c r="T431" s="1222"/>
      <c r="U431" s="1222"/>
      <c r="V431" s="1222"/>
      <c r="W431" s="1222"/>
      <c r="X431" s="1222"/>
      <c r="Y431" s="1222"/>
      <c r="Z431" s="1222"/>
      <c r="AA431" s="1222"/>
      <c r="AB431" s="1222"/>
      <c r="AC431" s="1222"/>
      <c r="AD431" s="1222"/>
      <c r="AE431" s="1222"/>
      <c r="AF431" s="1222"/>
      <c r="AG431" s="1222"/>
    </row>
    <row r="432" spans="10:33">
      <c r="J432" s="1222"/>
      <c r="K432" s="1222"/>
      <c r="M432" s="1222"/>
      <c r="N432" s="1222"/>
      <c r="R432" s="1222"/>
      <c r="S432" s="1222"/>
      <c r="T432" s="1222"/>
      <c r="U432" s="1222"/>
      <c r="V432" s="1222"/>
      <c r="W432" s="1222"/>
      <c r="X432" s="1222"/>
      <c r="Y432" s="1222"/>
      <c r="Z432" s="1222"/>
      <c r="AA432" s="1222"/>
      <c r="AB432" s="1222"/>
      <c r="AC432" s="1222"/>
      <c r="AD432" s="1222"/>
      <c r="AE432" s="1222"/>
      <c r="AF432" s="1222"/>
      <c r="AG432" s="1222"/>
    </row>
    <row r="433" spans="10:33">
      <c r="J433" s="1222"/>
      <c r="K433" s="1222"/>
      <c r="M433" s="1222"/>
      <c r="N433" s="1222"/>
      <c r="R433" s="1222"/>
      <c r="S433" s="1222"/>
      <c r="T433" s="1222"/>
      <c r="U433" s="1222"/>
      <c r="V433" s="1222"/>
      <c r="W433" s="1222"/>
      <c r="X433" s="1222"/>
      <c r="Y433" s="1222"/>
      <c r="Z433" s="1222"/>
      <c r="AA433" s="1222"/>
      <c r="AB433" s="1222"/>
      <c r="AC433" s="1222"/>
      <c r="AD433" s="1222"/>
      <c r="AE433" s="1222"/>
      <c r="AF433" s="1222"/>
      <c r="AG433" s="1222"/>
    </row>
    <row r="434" spans="10:33">
      <c r="J434" s="1222"/>
      <c r="K434" s="1222"/>
      <c r="M434" s="1222"/>
      <c r="N434" s="1222"/>
      <c r="R434" s="1222"/>
      <c r="S434" s="1222"/>
      <c r="T434" s="1222"/>
      <c r="U434" s="1222"/>
      <c r="V434" s="1222"/>
      <c r="W434" s="1222"/>
      <c r="X434" s="1222"/>
      <c r="Y434" s="1222"/>
      <c r="Z434" s="1222"/>
      <c r="AA434" s="1222"/>
      <c r="AB434" s="1222"/>
      <c r="AC434" s="1222"/>
      <c r="AD434" s="1222"/>
      <c r="AE434" s="1222"/>
      <c r="AF434" s="1222"/>
      <c r="AG434" s="1222"/>
    </row>
    <row r="435" spans="10:33">
      <c r="J435" s="1222"/>
      <c r="K435" s="1222"/>
      <c r="M435" s="1222"/>
      <c r="N435" s="1222"/>
      <c r="R435" s="1222"/>
      <c r="S435" s="1222"/>
      <c r="T435" s="1222"/>
      <c r="U435" s="1222"/>
      <c r="V435" s="1222"/>
      <c r="W435" s="1222"/>
      <c r="X435" s="1222"/>
      <c r="Y435" s="1222"/>
      <c r="Z435" s="1222"/>
      <c r="AA435" s="1222"/>
      <c r="AB435" s="1222"/>
      <c r="AC435" s="1222"/>
      <c r="AD435" s="1222"/>
      <c r="AE435" s="1222"/>
      <c r="AF435" s="1222"/>
      <c r="AG435" s="1222"/>
    </row>
    <row r="436" spans="10:33">
      <c r="J436" s="1222"/>
      <c r="K436" s="1222"/>
      <c r="M436" s="1222"/>
      <c r="N436" s="1222"/>
      <c r="R436" s="1222"/>
      <c r="S436" s="1222"/>
      <c r="T436" s="1222"/>
      <c r="U436" s="1222"/>
      <c r="V436" s="1222"/>
      <c r="W436" s="1222"/>
      <c r="X436" s="1222"/>
      <c r="Y436" s="1222"/>
      <c r="Z436" s="1222"/>
      <c r="AA436" s="1222"/>
      <c r="AB436" s="1222"/>
      <c r="AC436" s="1222"/>
      <c r="AD436" s="1222"/>
      <c r="AE436" s="1222"/>
      <c r="AF436" s="1222"/>
      <c r="AG436" s="1222"/>
    </row>
    <row r="437" spans="10:33">
      <c r="J437" s="1222"/>
      <c r="K437" s="1222"/>
      <c r="M437" s="1222"/>
      <c r="N437" s="1222"/>
      <c r="R437" s="1222"/>
      <c r="S437" s="1222"/>
      <c r="T437" s="1222"/>
      <c r="U437" s="1222"/>
      <c r="V437" s="1222"/>
      <c r="W437" s="1222"/>
      <c r="X437" s="1222"/>
      <c r="Y437" s="1222"/>
      <c r="Z437" s="1222"/>
      <c r="AA437" s="1222"/>
      <c r="AB437" s="1222"/>
      <c r="AC437" s="1222"/>
      <c r="AD437" s="1222"/>
      <c r="AE437" s="1222"/>
      <c r="AF437" s="1222"/>
      <c r="AG437" s="1222"/>
    </row>
    <row r="438" spans="10:33">
      <c r="J438" s="1222"/>
      <c r="K438" s="1222"/>
      <c r="M438" s="1222"/>
      <c r="N438" s="1222"/>
      <c r="R438" s="1222"/>
      <c r="S438" s="1222"/>
      <c r="T438" s="1222"/>
      <c r="U438" s="1222"/>
      <c r="V438" s="1222"/>
      <c r="W438" s="1222"/>
      <c r="X438" s="1222"/>
      <c r="Y438" s="1222"/>
      <c r="Z438" s="1222"/>
      <c r="AA438" s="1222"/>
      <c r="AB438" s="1222"/>
      <c r="AC438" s="1222"/>
      <c r="AD438" s="1222"/>
      <c r="AE438" s="1222"/>
      <c r="AF438" s="1222"/>
      <c r="AG438" s="1222"/>
    </row>
    <row r="439" spans="10:33">
      <c r="J439" s="1222"/>
      <c r="K439" s="1222"/>
      <c r="M439" s="1222"/>
      <c r="N439" s="1222"/>
      <c r="R439" s="1222"/>
      <c r="S439" s="1222"/>
      <c r="T439" s="1222"/>
      <c r="U439" s="1222"/>
      <c r="V439" s="1222"/>
      <c r="W439" s="1222"/>
      <c r="X439" s="1222"/>
      <c r="Y439" s="1222"/>
      <c r="Z439" s="1222"/>
      <c r="AA439" s="1222"/>
      <c r="AB439" s="1222"/>
      <c r="AC439" s="1222"/>
      <c r="AD439" s="1222"/>
      <c r="AE439" s="1222"/>
      <c r="AF439" s="1222"/>
      <c r="AG439" s="1222"/>
    </row>
    <row r="440" spans="10:33">
      <c r="J440" s="1222"/>
      <c r="K440" s="1222"/>
      <c r="M440" s="1222"/>
      <c r="N440" s="1222"/>
      <c r="R440" s="1222"/>
      <c r="S440" s="1222"/>
      <c r="T440" s="1222"/>
      <c r="U440" s="1222"/>
      <c r="V440" s="1222"/>
      <c r="W440" s="1222"/>
      <c r="X440" s="1222"/>
      <c r="Y440" s="1222"/>
      <c r="Z440" s="1222"/>
      <c r="AA440" s="1222"/>
      <c r="AB440" s="1222"/>
      <c r="AC440" s="1222"/>
      <c r="AD440" s="1222"/>
      <c r="AE440" s="1222"/>
      <c r="AF440" s="1222"/>
      <c r="AG440" s="1222"/>
    </row>
    <row r="441" spans="10:33">
      <c r="J441" s="1222"/>
      <c r="K441" s="1222"/>
      <c r="M441" s="1222"/>
      <c r="N441" s="1222"/>
      <c r="R441" s="1222"/>
      <c r="S441" s="1222"/>
      <c r="T441" s="1222"/>
      <c r="U441" s="1222"/>
      <c r="V441" s="1222"/>
      <c r="W441" s="1222"/>
      <c r="X441" s="1222"/>
      <c r="Y441" s="1222"/>
      <c r="Z441" s="1222"/>
      <c r="AA441" s="1222"/>
      <c r="AB441" s="1222"/>
      <c r="AC441" s="1222"/>
      <c r="AD441" s="1222"/>
      <c r="AE441" s="1222"/>
      <c r="AF441" s="1222"/>
      <c r="AG441" s="1222"/>
    </row>
    <row r="442" spans="10:33">
      <c r="J442" s="1222"/>
      <c r="K442" s="1222"/>
      <c r="M442" s="1222"/>
      <c r="N442" s="1222"/>
      <c r="R442" s="1222"/>
      <c r="S442" s="1222"/>
      <c r="T442" s="1222"/>
      <c r="U442" s="1222"/>
      <c r="V442" s="1222"/>
      <c r="W442" s="1222"/>
      <c r="X442" s="1222"/>
      <c r="Y442" s="1222"/>
      <c r="Z442" s="1222"/>
      <c r="AA442" s="1222"/>
      <c r="AB442" s="1222"/>
      <c r="AC442" s="1222"/>
      <c r="AD442" s="1222"/>
      <c r="AE442" s="1222"/>
      <c r="AF442" s="1222"/>
      <c r="AG442" s="1222"/>
    </row>
    <row r="443" spans="10:33">
      <c r="J443" s="1222"/>
      <c r="K443" s="1222"/>
      <c r="M443" s="1222"/>
      <c r="N443" s="1222"/>
      <c r="R443" s="1222"/>
      <c r="S443" s="1222"/>
      <c r="T443" s="1222"/>
      <c r="U443" s="1222"/>
      <c r="V443" s="1222"/>
      <c r="W443" s="1222"/>
      <c r="X443" s="1222"/>
      <c r="Y443" s="1222"/>
      <c r="Z443" s="1222"/>
      <c r="AA443" s="1222"/>
      <c r="AB443" s="1222"/>
      <c r="AC443" s="1222"/>
      <c r="AD443" s="1222"/>
      <c r="AE443" s="1222"/>
      <c r="AF443" s="1222"/>
      <c r="AG443" s="1222"/>
    </row>
    <row r="444" spans="10:33">
      <c r="J444" s="1222"/>
      <c r="K444" s="1222"/>
      <c r="M444" s="1222"/>
      <c r="N444" s="1222"/>
      <c r="R444" s="1222"/>
      <c r="S444" s="1222"/>
      <c r="T444" s="1222"/>
      <c r="U444" s="1222"/>
      <c r="V444" s="1222"/>
      <c r="W444" s="1222"/>
      <c r="X444" s="1222"/>
      <c r="Y444" s="1222"/>
      <c r="Z444" s="1222"/>
      <c r="AA444" s="1222"/>
      <c r="AB444" s="1222"/>
      <c r="AC444" s="1222"/>
      <c r="AD444" s="1222"/>
      <c r="AE444" s="1222"/>
      <c r="AF444" s="1222"/>
      <c r="AG444" s="1222"/>
    </row>
    <row r="445" spans="10:33">
      <c r="J445" s="1222"/>
      <c r="K445" s="1222"/>
      <c r="M445" s="1222"/>
      <c r="N445" s="1222"/>
      <c r="R445" s="1222"/>
      <c r="S445" s="1222"/>
      <c r="T445" s="1222"/>
      <c r="U445" s="1222"/>
      <c r="V445" s="1222"/>
      <c r="W445" s="1222"/>
      <c r="X445" s="1222"/>
      <c r="Y445" s="1222"/>
      <c r="Z445" s="1222"/>
      <c r="AA445" s="1222"/>
      <c r="AB445" s="1222"/>
      <c r="AC445" s="1222"/>
      <c r="AD445" s="1222"/>
      <c r="AE445" s="1222"/>
      <c r="AF445" s="1222"/>
      <c r="AG445" s="1222"/>
    </row>
    <row r="446" spans="10:33">
      <c r="J446" s="1222"/>
      <c r="K446" s="1222"/>
      <c r="M446" s="1222"/>
      <c r="N446" s="1222"/>
      <c r="R446" s="1222"/>
      <c r="S446" s="1222"/>
      <c r="T446" s="1222"/>
      <c r="U446" s="1222"/>
      <c r="V446" s="1222"/>
      <c r="W446" s="1222"/>
      <c r="X446" s="1222"/>
      <c r="Y446" s="1222"/>
      <c r="Z446" s="1222"/>
      <c r="AA446" s="1222"/>
      <c r="AB446" s="1222"/>
      <c r="AC446" s="1222"/>
      <c r="AD446" s="1222"/>
      <c r="AE446" s="1222"/>
      <c r="AF446" s="1222"/>
      <c r="AG446" s="1222"/>
    </row>
    <row r="447" spans="10:33">
      <c r="J447" s="1222"/>
      <c r="K447" s="1222"/>
      <c r="M447" s="1222"/>
      <c r="N447" s="1222"/>
      <c r="R447" s="1222"/>
      <c r="S447" s="1222"/>
      <c r="T447" s="1222"/>
      <c r="U447" s="1222"/>
      <c r="V447" s="1222"/>
      <c r="W447" s="1222"/>
      <c r="X447" s="1222"/>
      <c r="Y447" s="1222"/>
      <c r="Z447" s="1222"/>
      <c r="AA447" s="1222"/>
      <c r="AB447" s="1222"/>
      <c r="AC447" s="1222"/>
      <c r="AD447" s="1222"/>
      <c r="AE447" s="1222"/>
      <c r="AF447" s="1222"/>
      <c r="AG447" s="1222"/>
    </row>
    <row r="448" spans="10:33">
      <c r="J448" s="1222"/>
      <c r="K448" s="1222"/>
      <c r="M448" s="1222"/>
      <c r="N448" s="1222"/>
      <c r="R448" s="1222"/>
      <c r="S448" s="1222"/>
      <c r="T448" s="1222"/>
      <c r="U448" s="1222"/>
      <c r="V448" s="1222"/>
      <c r="W448" s="1222"/>
      <c r="X448" s="1222"/>
      <c r="Y448" s="1222"/>
      <c r="Z448" s="1222"/>
      <c r="AA448" s="1222"/>
      <c r="AB448" s="1222"/>
      <c r="AC448" s="1222"/>
      <c r="AD448" s="1222"/>
      <c r="AE448" s="1222"/>
      <c r="AF448" s="1222"/>
      <c r="AG448" s="1222"/>
    </row>
    <row r="449" spans="10:33">
      <c r="J449" s="1222"/>
      <c r="K449" s="1222"/>
      <c r="M449" s="1222"/>
      <c r="N449" s="1222"/>
      <c r="R449" s="1222"/>
      <c r="S449" s="1222"/>
      <c r="T449" s="1222"/>
      <c r="U449" s="1222"/>
      <c r="V449" s="1222"/>
      <c r="W449" s="1222"/>
      <c r="X449" s="1222"/>
      <c r="Y449" s="1222"/>
      <c r="Z449" s="1222"/>
      <c r="AA449" s="1222"/>
      <c r="AB449" s="1222"/>
      <c r="AC449" s="1222"/>
      <c r="AD449" s="1222"/>
      <c r="AE449" s="1222"/>
      <c r="AF449" s="1222"/>
      <c r="AG449" s="1222"/>
    </row>
    <row r="450" spans="10:33">
      <c r="J450" s="1222"/>
      <c r="K450" s="1222"/>
      <c r="M450" s="1222"/>
      <c r="N450" s="1222"/>
      <c r="R450" s="1222"/>
      <c r="S450" s="1222"/>
      <c r="T450" s="1222"/>
      <c r="U450" s="1222"/>
      <c r="V450" s="1222"/>
      <c r="W450" s="1222"/>
      <c r="X450" s="1222"/>
      <c r="Y450" s="1222"/>
      <c r="Z450" s="1222"/>
      <c r="AA450" s="1222"/>
      <c r="AB450" s="1222"/>
      <c r="AC450" s="1222"/>
      <c r="AD450" s="1222"/>
      <c r="AE450" s="1222"/>
      <c r="AF450" s="1222"/>
      <c r="AG450" s="1222"/>
    </row>
    <row r="451" spans="10:33">
      <c r="J451" s="1222"/>
      <c r="K451" s="1222"/>
      <c r="M451" s="1222"/>
      <c r="N451" s="1222"/>
      <c r="R451" s="1222"/>
      <c r="S451" s="1222"/>
      <c r="T451" s="1222"/>
      <c r="U451" s="1222"/>
      <c r="V451" s="1222"/>
      <c r="W451" s="1222"/>
      <c r="X451" s="1222"/>
      <c r="Y451" s="1222"/>
      <c r="Z451" s="1222"/>
      <c r="AA451" s="1222"/>
      <c r="AB451" s="1222"/>
      <c r="AC451" s="1222"/>
      <c r="AD451" s="1222"/>
      <c r="AE451" s="1222"/>
      <c r="AF451" s="1222"/>
      <c r="AG451" s="1222"/>
    </row>
    <row r="452" spans="10:33">
      <c r="J452" s="1222"/>
      <c r="K452" s="1222"/>
      <c r="M452" s="1222"/>
      <c r="N452" s="1222"/>
      <c r="R452" s="1222"/>
      <c r="S452" s="1222"/>
      <c r="T452" s="1222"/>
      <c r="U452" s="1222"/>
      <c r="V452" s="1222"/>
      <c r="W452" s="1222"/>
      <c r="X452" s="1222"/>
      <c r="Y452" s="1222"/>
      <c r="Z452" s="1222"/>
      <c r="AA452" s="1222"/>
      <c r="AB452" s="1222"/>
      <c r="AC452" s="1222"/>
      <c r="AD452" s="1222"/>
      <c r="AE452" s="1222"/>
      <c r="AF452" s="1222"/>
      <c r="AG452" s="1222"/>
    </row>
    <row r="453" spans="10:33">
      <c r="J453" s="1222"/>
      <c r="K453" s="1222"/>
      <c r="M453" s="1222"/>
      <c r="N453" s="1222"/>
      <c r="R453" s="1222"/>
      <c r="S453" s="1222"/>
      <c r="T453" s="1222"/>
      <c r="U453" s="1222"/>
      <c r="V453" s="1222"/>
      <c r="W453" s="1222"/>
      <c r="X453" s="1222"/>
      <c r="Y453" s="1222"/>
      <c r="Z453" s="1222"/>
      <c r="AA453" s="1222"/>
      <c r="AB453" s="1222"/>
      <c r="AC453" s="1222"/>
      <c r="AD453" s="1222"/>
      <c r="AE453" s="1222"/>
      <c r="AF453" s="1222"/>
      <c r="AG453" s="1222"/>
    </row>
    <row r="454" spans="10:33">
      <c r="J454" s="1222"/>
      <c r="K454" s="1222"/>
      <c r="M454" s="1222"/>
      <c r="N454" s="1222"/>
      <c r="R454" s="1222"/>
      <c r="S454" s="1222"/>
      <c r="T454" s="1222"/>
      <c r="U454" s="1222"/>
      <c r="V454" s="1222"/>
      <c r="W454" s="1222"/>
      <c r="X454" s="1222"/>
      <c r="Y454" s="1222"/>
      <c r="Z454" s="1222"/>
      <c r="AA454" s="1222"/>
      <c r="AB454" s="1222"/>
      <c r="AC454" s="1222"/>
      <c r="AD454" s="1222"/>
      <c r="AE454" s="1222"/>
      <c r="AF454" s="1222"/>
      <c r="AG454" s="1222"/>
    </row>
    <row r="455" spans="10:33">
      <c r="J455" s="1222"/>
      <c r="K455" s="1222"/>
      <c r="M455" s="1222"/>
      <c r="N455" s="1222"/>
      <c r="R455" s="1222"/>
      <c r="S455" s="1222"/>
      <c r="T455" s="1222"/>
      <c r="U455" s="1222"/>
      <c r="V455" s="1222"/>
      <c r="W455" s="1222"/>
      <c r="X455" s="1222"/>
      <c r="Y455" s="1222"/>
      <c r="Z455" s="1222"/>
      <c r="AA455" s="1222"/>
      <c r="AB455" s="1222"/>
      <c r="AC455" s="1222"/>
      <c r="AD455" s="1222"/>
      <c r="AE455" s="1222"/>
      <c r="AF455" s="1222"/>
      <c r="AG455" s="1222"/>
    </row>
    <row r="456" spans="10:33">
      <c r="J456" s="1222"/>
      <c r="K456" s="1222"/>
      <c r="M456" s="1222"/>
      <c r="N456" s="1222"/>
      <c r="R456" s="1222"/>
      <c r="S456" s="1222"/>
      <c r="T456" s="1222"/>
      <c r="U456" s="1222"/>
      <c r="V456" s="1222"/>
      <c r="W456" s="1222"/>
      <c r="X456" s="1222"/>
      <c r="Y456" s="1222"/>
      <c r="Z456" s="1222"/>
      <c r="AA456" s="1222"/>
      <c r="AB456" s="1222"/>
      <c r="AC456" s="1222"/>
      <c r="AD456" s="1222"/>
      <c r="AE456" s="1222"/>
      <c r="AF456" s="1222"/>
      <c r="AG456" s="1222"/>
    </row>
    <row r="457" spans="10:33">
      <c r="J457" s="1222"/>
      <c r="K457" s="1222"/>
      <c r="M457" s="1222"/>
      <c r="N457" s="1222"/>
      <c r="R457" s="1222"/>
      <c r="S457" s="1222"/>
      <c r="T457" s="1222"/>
      <c r="U457" s="1222"/>
      <c r="V457" s="1222"/>
      <c r="W457" s="1222"/>
      <c r="X457" s="1222"/>
      <c r="Y457" s="1222"/>
      <c r="Z457" s="1222"/>
      <c r="AA457" s="1222"/>
      <c r="AB457" s="1222"/>
      <c r="AC457" s="1222"/>
      <c r="AD457" s="1222"/>
      <c r="AE457" s="1222"/>
      <c r="AF457" s="1222"/>
      <c r="AG457" s="1222"/>
    </row>
    <row r="458" spans="10:33">
      <c r="J458" s="1222"/>
      <c r="K458" s="1222"/>
      <c r="M458" s="1222"/>
      <c r="N458" s="1222"/>
      <c r="R458" s="1222"/>
      <c r="S458" s="1222"/>
      <c r="T458" s="1222"/>
      <c r="U458" s="1222"/>
      <c r="V458" s="1222"/>
      <c r="W458" s="1222"/>
      <c r="X458" s="1222"/>
      <c r="Y458" s="1222"/>
      <c r="Z458" s="1222"/>
      <c r="AA458" s="1222"/>
      <c r="AB458" s="1222"/>
      <c r="AC458" s="1222"/>
      <c r="AD458" s="1222"/>
      <c r="AE458" s="1222"/>
      <c r="AF458" s="1222"/>
      <c r="AG458" s="1222"/>
    </row>
    <row r="459" spans="10:33">
      <c r="J459" s="1222"/>
      <c r="K459" s="1222"/>
      <c r="M459" s="1222"/>
      <c r="N459" s="1222"/>
      <c r="R459" s="1222"/>
      <c r="S459" s="1222"/>
      <c r="T459" s="1222"/>
      <c r="U459" s="1222"/>
      <c r="V459" s="1222"/>
      <c r="W459" s="1222"/>
      <c r="X459" s="1222"/>
      <c r="Y459" s="1222"/>
      <c r="Z459" s="1222"/>
      <c r="AA459" s="1222"/>
      <c r="AB459" s="1222"/>
      <c r="AC459" s="1222"/>
      <c r="AD459" s="1222"/>
      <c r="AE459" s="1222"/>
      <c r="AF459" s="1222"/>
      <c r="AG459" s="1222"/>
    </row>
    <row r="460" spans="10:33">
      <c r="J460" s="1222"/>
      <c r="K460" s="1222"/>
      <c r="M460" s="1222"/>
      <c r="N460" s="1222"/>
      <c r="R460" s="1222"/>
      <c r="S460" s="1222"/>
      <c r="T460" s="1222"/>
      <c r="U460" s="1222"/>
      <c r="V460" s="1222"/>
      <c r="W460" s="1222"/>
      <c r="X460" s="1222"/>
      <c r="Y460" s="1222"/>
      <c r="Z460" s="1222"/>
      <c r="AA460" s="1222"/>
      <c r="AB460" s="1222"/>
      <c r="AC460" s="1222"/>
      <c r="AD460" s="1222"/>
      <c r="AE460" s="1222"/>
      <c r="AF460" s="1222"/>
      <c r="AG460" s="1222"/>
    </row>
    <row r="461" spans="10:33">
      <c r="J461" s="1222"/>
      <c r="K461" s="1222"/>
      <c r="M461" s="1222"/>
      <c r="N461" s="1222"/>
      <c r="R461" s="1222"/>
      <c r="S461" s="1222"/>
      <c r="T461" s="1222"/>
      <c r="U461" s="1222"/>
      <c r="V461" s="1222"/>
      <c r="W461" s="1222"/>
      <c r="X461" s="1222"/>
      <c r="Y461" s="1222"/>
      <c r="Z461" s="1222"/>
      <c r="AA461" s="1222"/>
      <c r="AB461" s="1222"/>
      <c r="AC461" s="1222"/>
      <c r="AD461" s="1222"/>
      <c r="AE461" s="1222"/>
      <c r="AF461" s="1222"/>
      <c r="AG461" s="1222"/>
    </row>
    <row r="462" spans="10:33">
      <c r="J462" s="1222"/>
      <c r="K462" s="1222"/>
      <c r="M462" s="1222"/>
      <c r="N462" s="1222"/>
      <c r="R462" s="1222"/>
      <c r="S462" s="1222"/>
      <c r="T462" s="1222"/>
      <c r="U462" s="1222"/>
      <c r="V462" s="1222"/>
      <c r="W462" s="1222"/>
      <c r="X462" s="1222"/>
      <c r="Y462" s="1222"/>
      <c r="Z462" s="1222"/>
      <c r="AA462" s="1222"/>
      <c r="AB462" s="1222"/>
      <c r="AC462" s="1222"/>
      <c r="AD462" s="1222"/>
      <c r="AE462" s="1222"/>
      <c r="AF462" s="1222"/>
      <c r="AG462" s="1222"/>
    </row>
    <row r="463" spans="10:33">
      <c r="J463" s="1222"/>
      <c r="K463" s="1222"/>
      <c r="M463" s="1222"/>
      <c r="N463" s="1222"/>
      <c r="R463" s="1222"/>
      <c r="S463" s="1222"/>
      <c r="T463" s="1222"/>
      <c r="U463" s="1222"/>
      <c r="V463" s="1222"/>
      <c r="W463" s="1222"/>
      <c r="X463" s="1222"/>
      <c r="Y463" s="1222"/>
      <c r="Z463" s="1222"/>
      <c r="AA463" s="1222"/>
      <c r="AB463" s="1222"/>
      <c r="AC463" s="1222"/>
      <c r="AD463" s="1222"/>
      <c r="AE463" s="1222"/>
      <c r="AF463" s="1222"/>
      <c r="AG463" s="1222"/>
    </row>
    <row r="464" spans="10:33">
      <c r="J464" s="1222"/>
      <c r="K464" s="1222"/>
      <c r="M464" s="1222"/>
      <c r="N464" s="1222"/>
      <c r="R464" s="1222"/>
      <c r="S464" s="1222"/>
      <c r="T464" s="1222"/>
      <c r="U464" s="1222"/>
      <c r="V464" s="1222"/>
      <c r="W464" s="1222"/>
      <c r="X464" s="1222"/>
      <c r="Y464" s="1222"/>
      <c r="Z464" s="1222"/>
      <c r="AA464" s="1222"/>
      <c r="AB464" s="1222"/>
      <c r="AC464" s="1222"/>
      <c r="AD464" s="1222"/>
      <c r="AE464" s="1222"/>
      <c r="AF464" s="1222"/>
      <c r="AG464" s="1222"/>
    </row>
    <row r="465" spans="10:33">
      <c r="J465" s="1222"/>
      <c r="K465" s="1222"/>
      <c r="M465" s="1222"/>
      <c r="N465" s="1222"/>
      <c r="R465" s="1222"/>
      <c r="S465" s="1222"/>
      <c r="T465" s="1222"/>
      <c r="U465" s="1222"/>
      <c r="V465" s="1222"/>
      <c r="W465" s="1222"/>
      <c r="X465" s="1222"/>
      <c r="Y465" s="1222"/>
      <c r="Z465" s="1222"/>
      <c r="AA465" s="1222"/>
      <c r="AB465" s="1222"/>
      <c r="AC465" s="1222"/>
      <c r="AD465" s="1222"/>
      <c r="AE465" s="1222"/>
      <c r="AF465" s="1222"/>
      <c r="AG465" s="1222"/>
    </row>
    <row r="466" spans="10:33">
      <c r="J466" s="1222"/>
      <c r="K466" s="1222"/>
      <c r="M466" s="1222"/>
      <c r="N466" s="1222"/>
      <c r="R466" s="1222"/>
      <c r="S466" s="1222"/>
      <c r="T466" s="1222"/>
      <c r="U466" s="1222"/>
      <c r="V466" s="1222"/>
      <c r="W466" s="1222"/>
      <c r="X466" s="1222"/>
      <c r="Y466" s="1222"/>
      <c r="Z466" s="1222"/>
      <c r="AA466" s="1222"/>
      <c r="AB466" s="1222"/>
      <c r="AC466" s="1222"/>
      <c r="AD466" s="1222"/>
      <c r="AE466" s="1222"/>
      <c r="AF466" s="1222"/>
      <c r="AG466" s="1222"/>
    </row>
    <row r="467" spans="10:33">
      <c r="J467" s="1222"/>
      <c r="K467" s="1222"/>
      <c r="M467" s="1222"/>
      <c r="N467" s="1222"/>
      <c r="R467" s="1222"/>
      <c r="S467" s="1222"/>
      <c r="T467" s="1222"/>
      <c r="U467" s="1222"/>
      <c r="V467" s="1222"/>
      <c r="W467" s="1222"/>
      <c r="X467" s="1222"/>
      <c r="Y467" s="1222"/>
      <c r="Z467" s="1222"/>
      <c r="AA467" s="1222"/>
      <c r="AB467" s="1222"/>
      <c r="AC467" s="1222"/>
      <c r="AD467" s="1222"/>
      <c r="AE467" s="1222"/>
      <c r="AF467" s="1222"/>
      <c r="AG467" s="1222"/>
    </row>
    <row r="468" spans="10:33">
      <c r="J468" s="1222"/>
      <c r="K468" s="1222"/>
      <c r="M468" s="1222"/>
      <c r="N468" s="1222"/>
      <c r="R468" s="1222"/>
      <c r="S468" s="1222"/>
      <c r="T468" s="1222"/>
      <c r="U468" s="1222"/>
      <c r="V468" s="1222"/>
      <c r="W468" s="1222"/>
      <c r="X468" s="1222"/>
      <c r="Y468" s="1222"/>
      <c r="Z468" s="1222"/>
      <c r="AA468" s="1222"/>
      <c r="AB468" s="1222"/>
      <c r="AC468" s="1222"/>
      <c r="AD468" s="1222"/>
      <c r="AE468" s="1222"/>
      <c r="AF468" s="1222"/>
      <c r="AG468" s="1222"/>
    </row>
    <row r="469" spans="10:33">
      <c r="J469" s="1222"/>
      <c r="K469" s="1222"/>
      <c r="M469" s="1222"/>
      <c r="N469" s="1222"/>
      <c r="R469" s="1222"/>
      <c r="S469" s="1222"/>
      <c r="T469" s="1222"/>
      <c r="U469" s="1222"/>
      <c r="V469" s="1222"/>
      <c r="W469" s="1222"/>
      <c r="X469" s="1222"/>
      <c r="Y469" s="1222"/>
      <c r="Z469" s="1222"/>
      <c r="AA469" s="1222"/>
      <c r="AB469" s="1222"/>
      <c r="AC469" s="1222"/>
      <c r="AD469" s="1222"/>
      <c r="AE469" s="1222"/>
      <c r="AF469" s="1222"/>
      <c r="AG469" s="1222"/>
    </row>
    <row r="470" spans="10:33">
      <c r="J470" s="1222"/>
      <c r="K470" s="1222"/>
      <c r="M470" s="1222"/>
      <c r="N470" s="1222"/>
      <c r="R470" s="1222"/>
      <c r="S470" s="1222"/>
      <c r="T470" s="1222"/>
      <c r="U470" s="1222"/>
      <c r="V470" s="1222"/>
      <c r="W470" s="1222"/>
      <c r="X470" s="1222"/>
      <c r="Y470" s="1222"/>
      <c r="Z470" s="1222"/>
      <c r="AA470" s="1222"/>
      <c r="AB470" s="1222"/>
      <c r="AC470" s="1222"/>
      <c r="AD470" s="1222"/>
      <c r="AE470" s="1222"/>
      <c r="AF470" s="1222"/>
      <c r="AG470" s="1222"/>
    </row>
    <row r="471" spans="10:33">
      <c r="J471" s="1222"/>
      <c r="K471" s="1222"/>
      <c r="M471" s="1222"/>
      <c r="N471" s="1222"/>
      <c r="R471" s="1222"/>
      <c r="S471" s="1222"/>
      <c r="T471" s="1222"/>
      <c r="U471" s="1222"/>
      <c r="V471" s="1222"/>
      <c r="W471" s="1222"/>
      <c r="X471" s="1222"/>
      <c r="Y471" s="1222"/>
      <c r="Z471" s="1222"/>
      <c r="AA471" s="1222"/>
      <c r="AB471" s="1222"/>
      <c r="AC471" s="1222"/>
      <c r="AD471" s="1222"/>
      <c r="AE471" s="1222"/>
      <c r="AF471" s="1222"/>
      <c r="AG471" s="1222"/>
    </row>
    <row r="472" spans="10:33">
      <c r="J472" s="1222"/>
      <c r="K472" s="1222"/>
      <c r="M472" s="1222"/>
      <c r="N472" s="1222"/>
      <c r="R472" s="1222"/>
      <c r="S472" s="1222"/>
      <c r="T472" s="1222"/>
      <c r="U472" s="1222"/>
      <c r="V472" s="1222"/>
      <c r="W472" s="1222"/>
      <c r="X472" s="1222"/>
      <c r="Y472" s="1222"/>
      <c r="Z472" s="1222"/>
      <c r="AA472" s="1222"/>
      <c r="AB472" s="1222"/>
      <c r="AC472" s="1222"/>
      <c r="AD472" s="1222"/>
      <c r="AE472" s="1222"/>
      <c r="AF472" s="1222"/>
      <c r="AG472" s="1222"/>
    </row>
    <row r="473" spans="10:33">
      <c r="J473" s="1222"/>
      <c r="K473" s="1222"/>
      <c r="M473" s="1222"/>
      <c r="N473" s="1222"/>
      <c r="R473" s="1222"/>
      <c r="S473" s="1222"/>
      <c r="T473" s="1222"/>
      <c r="U473" s="1222"/>
      <c r="V473" s="1222"/>
      <c r="W473" s="1222"/>
      <c r="X473" s="1222"/>
      <c r="Y473" s="1222"/>
      <c r="Z473" s="1222"/>
      <c r="AA473" s="1222"/>
      <c r="AB473" s="1222"/>
      <c r="AC473" s="1222"/>
      <c r="AD473" s="1222"/>
      <c r="AE473" s="1222"/>
      <c r="AF473" s="1222"/>
      <c r="AG473" s="1222"/>
    </row>
    <row r="474" spans="10:33">
      <c r="J474" s="1222"/>
      <c r="K474" s="1222"/>
      <c r="M474" s="1222"/>
      <c r="N474" s="1222"/>
      <c r="R474" s="1222"/>
      <c r="S474" s="1222"/>
      <c r="T474" s="1222"/>
      <c r="U474" s="1222"/>
      <c r="V474" s="1222"/>
      <c r="W474" s="1222"/>
      <c r="X474" s="1222"/>
      <c r="Y474" s="1222"/>
      <c r="Z474" s="1222"/>
      <c r="AA474" s="1222"/>
      <c r="AB474" s="1222"/>
      <c r="AC474" s="1222"/>
      <c r="AD474" s="1222"/>
      <c r="AE474" s="1222"/>
      <c r="AF474" s="1222"/>
      <c r="AG474" s="1222"/>
    </row>
    <row r="475" spans="10:33">
      <c r="J475" s="1222"/>
      <c r="K475" s="1222"/>
      <c r="M475" s="1222"/>
      <c r="N475" s="1222"/>
      <c r="R475" s="1222"/>
      <c r="S475" s="1222"/>
      <c r="T475" s="1222"/>
      <c r="U475" s="1222"/>
      <c r="V475" s="1222"/>
      <c r="W475" s="1222"/>
      <c r="X475" s="1222"/>
      <c r="Y475" s="1222"/>
      <c r="Z475" s="1222"/>
      <c r="AA475" s="1222"/>
      <c r="AB475" s="1222"/>
      <c r="AC475" s="1222"/>
      <c r="AD475" s="1222"/>
      <c r="AE475" s="1222"/>
      <c r="AF475" s="1222"/>
      <c r="AG475" s="1222"/>
    </row>
    <row r="476" spans="10:33">
      <c r="J476" s="1222"/>
      <c r="K476" s="1222"/>
      <c r="M476" s="1222"/>
      <c r="N476" s="1222"/>
      <c r="R476" s="1222"/>
      <c r="S476" s="1222"/>
      <c r="T476" s="1222"/>
      <c r="U476" s="1222"/>
      <c r="V476" s="1222"/>
      <c r="W476" s="1222"/>
      <c r="X476" s="1222"/>
      <c r="Y476" s="1222"/>
      <c r="Z476" s="1222"/>
      <c r="AA476" s="1222"/>
      <c r="AB476" s="1222"/>
      <c r="AC476" s="1222"/>
      <c r="AD476" s="1222"/>
      <c r="AE476" s="1222"/>
      <c r="AF476" s="1222"/>
      <c r="AG476" s="1222"/>
    </row>
    <row r="477" spans="10:33">
      <c r="J477" s="1222"/>
      <c r="K477" s="1222"/>
      <c r="M477" s="1222"/>
      <c r="N477" s="1222"/>
      <c r="R477" s="1222"/>
      <c r="S477" s="1222"/>
      <c r="T477" s="1222"/>
      <c r="U477" s="1222"/>
      <c r="V477" s="1222"/>
      <c r="W477" s="1222"/>
      <c r="X477" s="1222"/>
      <c r="Y477" s="1222"/>
      <c r="Z477" s="1222"/>
      <c r="AA477" s="1222"/>
      <c r="AB477" s="1222"/>
      <c r="AC477" s="1222"/>
      <c r="AD477" s="1222"/>
      <c r="AE477" s="1222"/>
      <c r="AF477" s="1222"/>
      <c r="AG477" s="1222"/>
    </row>
    <row r="478" spans="10:33">
      <c r="J478" s="1222"/>
      <c r="K478" s="1222"/>
      <c r="M478" s="1222"/>
      <c r="N478" s="1222"/>
      <c r="R478" s="1222"/>
      <c r="S478" s="1222"/>
      <c r="T478" s="1222"/>
      <c r="U478" s="1222"/>
      <c r="V478" s="1222"/>
      <c r="W478" s="1222"/>
      <c r="X478" s="1222"/>
      <c r="Y478" s="1222"/>
      <c r="Z478" s="1222"/>
      <c r="AA478" s="1222"/>
      <c r="AB478" s="1222"/>
      <c r="AC478" s="1222"/>
      <c r="AD478" s="1222"/>
      <c r="AE478" s="1222"/>
      <c r="AF478" s="1222"/>
      <c r="AG478" s="1222"/>
    </row>
    <row r="479" spans="10:33">
      <c r="J479" s="1222"/>
      <c r="K479" s="1222"/>
      <c r="M479" s="1222"/>
      <c r="N479" s="1222"/>
      <c r="R479" s="1222"/>
      <c r="S479" s="1222"/>
      <c r="T479" s="1222"/>
      <c r="U479" s="1222"/>
      <c r="V479" s="1222"/>
      <c r="W479" s="1222"/>
      <c r="X479" s="1222"/>
      <c r="Y479" s="1222"/>
      <c r="Z479" s="1222"/>
      <c r="AA479" s="1222"/>
      <c r="AB479" s="1222"/>
      <c r="AC479" s="1222"/>
      <c r="AD479" s="1222"/>
      <c r="AE479" s="1222"/>
      <c r="AF479" s="1222"/>
      <c r="AG479" s="1222"/>
    </row>
    <row r="480" spans="10:33">
      <c r="J480" s="1222"/>
      <c r="K480" s="1222"/>
      <c r="M480" s="1222"/>
      <c r="N480" s="1222"/>
      <c r="R480" s="1222"/>
      <c r="S480" s="1222"/>
      <c r="T480" s="1222"/>
      <c r="U480" s="1222"/>
      <c r="V480" s="1222"/>
      <c r="W480" s="1222"/>
      <c r="X480" s="1222"/>
      <c r="Y480" s="1222"/>
      <c r="Z480" s="1222"/>
      <c r="AA480" s="1222"/>
      <c r="AB480" s="1222"/>
      <c r="AC480" s="1222"/>
      <c r="AD480" s="1222"/>
      <c r="AE480" s="1222"/>
      <c r="AF480" s="1222"/>
      <c r="AG480" s="1222"/>
    </row>
  </sheetData>
  <mergeCells count="32">
    <mergeCell ref="B10:C10"/>
    <mergeCell ref="B11:C11"/>
    <mergeCell ref="B12:C12"/>
    <mergeCell ref="B14:C14"/>
    <mergeCell ref="B15:C15"/>
    <mergeCell ref="C19:F19"/>
    <mergeCell ref="C20:D20"/>
    <mergeCell ref="C21:D21"/>
    <mergeCell ref="C22:D22"/>
    <mergeCell ref="C23:D23"/>
    <mergeCell ref="E57:F57"/>
    <mergeCell ref="E58:F58"/>
    <mergeCell ref="I287:J287"/>
    <mergeCell ref="I288:J288"/>
    <mergeCell ref="I289:J289"/>
    <mergeCell ref="I290:J290"/>
    <mergeCell ref="I311:J311"/>
    <mergeCell ref="I312:J312"/>
    <mergeCell ref="I313:J313"/>
    <mergeCell ref="I314:J314"/>
    <mergeCell ref="I335:J335"/>
    <mergeCell ref="I336:J336"/>
    <mergeCell ref="I337:J337"/>
    <mergeCell ref="I338:J338"/>
    <mergeCell ref="I359:J359"/>
    <mergeCell ref="I360:J360"/>
    <mergeCell ref="I361:J361"/>
    <mergeCell ref="I362:J362"/>
    <mergeCell ref="I363:J363"/>
    <mergeCell ref="I364:J364"/>
    <mergeCell ref="I365:J365"/>
    <mergeCell ref="C17:D18"/>
  </mergeCells>
  <pageMargins left="0.75" right="0.75" top="1" bottom="1" header="0.5" footer="0.5"/>
  <pageSetup paperSize="1" scale="48" fitToHeight="0" orientation="landscape"/>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1"/>
  <legacyDrawing r:id="rId2"/>
  <controls>
    <mc:AlternateContent xmlns:mc="http://schemas.openxmlformats.org/markup-compatibility/2006">
      <mc:Choice Requires="x14">
        <control shapeId="67585" r:id="rId3" name="ComboBox1">
          <controlPr defaultSize="0" r:id="rId4">
            <anchor moveWithCells="1">
              <from>
                <xdr:col>2</xdr:col>
                <xdr:colOff>652145</xdr:colOff>
                <xdr:row>0</xdr:row>
                <xdr:rowOff>113665</xdr:rowOff>
              </from>
              <to>
                <xdr:col>6</xdr:col>
                <xdr:colOff>259080</xdr:colOff>
                <xdr:row>0</xdr:row>
                <xdr:rowOff>304165</xdr:rowOff>
              </to>
            </anchor>
          </controlPr>
        </control>
      </mc:Choice>
      <mc:Fallback>
        <control shapeId="67585" r:id="rId3" name="ComboBox1"/>
      </mc:Fallback>
    </mc:AlternateContent>
    <mc:AlternateContent xmlns:mc="http://schemas.openxmlformats.org/markup-compatibility/2006">
      <mc:Choice Requires="x14">
        <control shapeId="67586" name="Check Box 2" r:id="rId5">
          <controlPr defaultSize="0">
            <anchor moveWithCells="1">
              <from>
                <xdr:col>1</xdr:col>
                <xdr:colOff>0</xdr:colOff>
                <xdr:row>1</xdr:row>
                <xdr:rowOff>19050</xdr:rowOff>
              </from>
              <to>
                <xdr:col>1</xdr:col>
                <xdr:colOff>0</xdr:colOff>
                <xdr:row>1</xdr:row>
                <xdr:rowOff>186690</xdr:rowOff>
              </to>
            </anchor>
          </controlPr>
        </control>
      </mc:Choice>
    </mc:AlternateContent>
    <mc:AlternateContent xmlns:mc="http://schemas.openxmlformats.org/markup-compatibility/2006">
      <mc:Choice Requires="x14">
        <control shapeId="67587" name="Check Box 3" r:id="rId6">
          <controlPr defaultSize="0">
            <anchor moveWithCells="1">
              <from>
                <xdr:col>1</xdr:col>
                <xdr:colOff>0</xdr:colOff>
                <xdr:row>1</xdr:row>
                <xdr:rowOff>19050</xdr:rowOff>
              </from>
              <to>
                <xdr:col>1</xdr:col>
                <xdr:colOff>0</xdr:colOff>
                <xdr:row>1</xdr:row>
                <xdr:rowOff>186690</xdr:rowOff>
              </to>
            </anchor>
          </controlPr>
        </control>
      </mc:Choice>
    </mc:AlternateContent>
    <mc:AlternateContent xmlns:mc="http://schemas.openxmlformats.org/markup-compatibility/2006">
      <mc:Choice Requires="x14">
        <control shapeId="67588" name="Check Box 4" r:id="rId7">
          <controlPr defaultSize="0">
            <anchor moveWithCells="1">
              <from>
                <xdr:col>1</xdr:col>
                <xdr:colOff>0</xdr:colOff>
                <xdr:row>1</xdr:row>
                <xdr:rowOff>431800</xdr:rowOff>
              </from>
              <to>
                <xdr:col>1</xdr:col>
                <xdr:colOff>0</xdr:colOff>
                <xdr:row>2</xdr:row>
                <xdr:rowOff>76200</xdr:rowOff>
              </to>
            </anchor>
          </controlPr>
        </control>
      </mc:Choice>
    </mc:AlternateContent>
    <mc:AlternateContent xmlns:mc="http://schemas.openxmlformats.org/markup-compatibility/2006">
      <mc:Choice Requires="x14">
        <control shapeId="67589" name="Check Box 5" r:id="rId8">
          <controlPr defaultSize="0">
            <anchor moveWithCells="1">
              <from>
                <xdr:col>1</xdr:col>
                <xdr:colOff>676275</xdr:colOff>
                <xdr:row>0</xdr:row>
                <xdr:rowOff>390525</xdr:rowOff>
              </from>
              <to>
                <xdr:col>1</xdr:col>
                <xdr:colOff>981075</xdr:colOff>
                <xdr:row>1</xdr:row>
                <xdr:rowOff>204470</xdr:rowOff>
              </to>
            </anchor>
          </controlPr>
        </control>
      </mc:Choice>
    </mc:AlternateContent>
    <mc:AlternateContent xmlns:mc="http://schemas.openxmlformats.org/markup-compatibility/2006">
      <mc:Choice Requires="x14">
        <control shapeId="67590" name="Check Box 6" r:id="rId9">
          <controlPr defaultSize="0">
            <anchor moveWithCells="1">
              <from>
                <xdr:col>1</xdr:col>
                <xdr:colOff>676275</xdr:colOff>
                <xdr:row>1</xdr:row>
                <xdr:rowOff>165735</xdr:rowOff>
              </from>
              <to>
                <xdr:col>1</xdr:col>
                <xdr:colOff>981075</xdr:colOff>
                <xdr:row>1</xdr:row>
                <xdr:rowOff>387985</xdr:rowOff>
              </to>
            </anchor>
          </controlPr>
        </control>
      </mc:Choice>
    </mc:AlternateContent>
    <mc:AlternateContent xmlns:mc="http://schemas.openxmlformats.org/markup-compatibility/2006">
      <mc:Choice Requires="x14">
        <control shapeId="67591" name="Check Box 7" r:id="rId10">
          <controlPr defaultSize="0">
            <anchor moveWithCells="1">
              <from>
                <xdr:col>1</xdr:col>
                <xdr:colOff>676275</xdr:colOff>
                <xdr:row>1</xdr:row>
                <xdr:rowOff>349250</xdr:rowOff>
              </from>
              <to>
                <xdr:col>1</xdr:col>
                <xdr:colOff>981075</xdr:colOff>
                <xdr:row>2</xdr:row>
                <xdr:rowOff>47625</xdr:rowOff>
              </to>
            </anchor>
          </controlPr>
        </control>
      </mc:Choice>
    </mc:AlternateContent>
    <mc:AlternateContent xmlns:mc="http://schemas.openxmlformats.org/markup-compatibility/2006">
      <mc:Choice Requires="x14">
        <control shapeId="67592" name="Check Box 8" r:id="rId11">
          <controlPr defaultSize="0">
            <anchor moveWithCells="1">
              <from>
                <xdr:col>6</xdr:col>
                <xdr:colOff>435610</xdr:colOff>
                <xdr:row>1</xdr:row>
                <xdr:rowOff>17145</xdr:rowOff>
              </from>
              <to>
                <xdr:col>6</xdr:col>
                <xdr:colOff>738505</xdr:colOff>
                <xdr:row>1</xdr:row>
                <xdr:rowOff>236220</xdr:rowOff>
              </to>
            </anchor>
          </controlPr>
        </control>
      </mc:Choice>
    </mc:AlternateContent>
    <mc:AlternateContent xmlns:mc="http://schemas.openxmlformats.org/markup-compatibility/2006">
      <mc:Choice Requires="x14">
        <control shapeId="67593" name="Check Box 9" r:id="rId12">
          <controlPr defaultSize="0">
            <anchor moveWithCells="1">
              <from>
                <xdr:col>6</xdr:col>
                <xdr:colOff>435610</xdr:colOff>
                <xdr:row>1</xdr:row>
                <xdr:rowOff>207645</xdr:rowOff>
              </from>
              <to>
                <xdr:col>6</xdr:col>
                <xdr:colOff>738505</xdr:colOff>
                <xdr:row>1</xdr:row>
                <xdr:rowOff>426720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00B0F0"/>
    <pageSetUpPr fitToPage="1"/>
  </sheetPr>
  <dimension ref="A1:BO327"/>
  <sheetViews>
    <sheetView showGridLines="0" showRowColHeaders="0" zoomScaleSheetLayoutView="70" workbookViewId="0">
      <pane ySplit="1" topLeftCell="A2" activePane="bottomLeft" state="frozen"/>
      <selection/>
      <selection pane="bottomLeft" activeCell="G168" sqref="G168"/>
    </sheetView>
  </sheetViews>
  <sheetFormatPr defaultColWidth="9.14166666666667" defaultRowHeight="12.95" customHeight="1"/>
  <cols>
    <col min="1" max="1" width="14.5666666666667" style="379" customWidth="1"/>
    <col min="2" max="2" width="16.425" style="379" customWidth="1"/>
    <col min="3" max="3" width="12.425" style="379" customWidth="1"/>
    <col min="4" max="9" width="10.5666666666667" style="379" customWidth="1"/>
    <col min="10" max="10" width="10.5666666666667" style="676" customWidth="1"/>
    <col min="11" max="11" width="12.8583333333333" style="676" customWidth="1"/>
    <col min="12" max="12" width="9.56666666666667" style="676" customWidth="1"/>
    <col min="13" max="13" width="10.1416666666667" style="676" customWidth="1"/>
    <col min="14" max="14" width="8" style="676" customWidth="1"/>
    <col min="15" max="15" width="8.425" style="676" customWidth="1"/>
    <col min="16" max="16" width="8.56666666666667" style="676" customWidth="1"/>
    <col min="17" max="17" width="13.5666666666667" style="676" customWidth="1"/>
    <col min="18" max="25" width="10" style="676" customWidth="1"/>
    <col min="26" max="66" width="9.14166666666667" style="676"/>
    <col min="67" max="16384" width="9.14166666666667" style="379"/>
  </cols>
  <sheetData>
    <row r="1" s="25" customFormat="1" ht="32.1" customHeight="1" spans="11:25">
      <c r="K1" s="787" t="str">
        <f>"Current Cycle "&amp;CurrentCycle</f>
        <v>Current Cycle 12</v>
      </c>
      <c r="L1" s="788" t="str">
        <f>"Calculating "&amp;CycleInCalculation</f>
        <v>Calculating 12</v>
      </c>
      <c r="M1" s="29"/>
      <c r="N1" s="29"/>
      <c r="O1" s="29"/>
      <c r="Q1" s="140"/>
      <c r="R1" s="140"/>
      <c r="S1" s="140"/>
      <c r="T1" s="140"/>
      <c r="U1" s="140"/>
      <c r="V1" s="140"/>
      <c r="W1" s="140"/>
      <c r="X1" s="140"/>
      <c r="Y1" s="140"/>
    </row>
    <row r="2" s="25" customFormat="1" ht="41.25" customHeight="1" spans="12:25">
      <c r="L2" s="140"/>
      <c r="Q2" s="140"/>
      <c r="R2" s="140"/>
      <c r="S2" s="140"/>
      <c r="T2" s="140"/>
      <c r="U2" s="140"/>
      <c r="V2" s="140"/>
      <c r="W2" s="140"/>
      <c r="X2" s="140"/>
      <c r="Y2" s="140"/>
    </row>
    <row r="3" s="25" customFormat="1" customHeight="1" spans="17:25">
      <c r="Q3" s="140"/>
      <c r="R3" s="140"/>
      <c r="S3" s="140"/>
      <c r="T3" s="140"/>
      <c r="U3" s="140"/>
      <c r="V3" s="140"/>
      <c r="W3" s="140"/>
      <c r="X3" s="140"/>
      <c r="Y3" s="140"/>
    </row>
    <row r="4" s="25" customFormat="1" customHeight="1" spans="17:25">
      <c r="Q4" s="140"/>
      <c r="R4" s="140"/>
      <c r="S4" s="140"/>
      <c r="T4" s="140"/>
      <c r="U4" s="140"/>
      <c r="V4" s="140"/>
      <c r="W4" s="140"/>
      <c r="X4" s="140"/>
      <c r="Y4" s="140"/>
    </row>
    <row r="5" ht="15.75" spans="1:24">
      <c r="A5" s="677">
        <v>1</v>
      </c>
      <c r="B5" s="678" t="s">
        <v>59</v>
      </c>
      <c r="C5" s="678"/>
      <c r="D5" s="677"/>
      <c r="E5" s="26"/>
      <c r="G5" s="77"/>
      <c r="H5" s="77"/>
      <c r="I5" s="26"/>
      <c r="J5" s="26"/>
      <c r="K5" s="127"/>
      <c r="L5" s="127"/>
      <c r="M5" s="178"/>
      <c r="N5" s="178"/>
      <c r="O5" s="127"/>
      <c r="P5" s="83"/>
      <c r="Q5" s="38"/>
      <c r="R5" s="38"/>
      <c r="S5" s="38"/>
      <c r="T5" s="38"/>
      <c r="U5" s="38"/>
      <c r="V5" s="38"/>
      <c r="W5" s="127"/>
      <c r="X5" s="127"/>
    </row>
    <row r="6" s="676" customFormat="1" customHeight="1" spans="1:24">
      <c r="A6" s="679"/>
      <c r="B6" s="680"/>
      <c r="C6" s="681"/>
      <c r="D6" s="681"/>
      <c r="E6" s="680"/>
      <c r="F6" s="680"/>
      <c r="G6" s="682"/>
      <c r="H6" s="682"/>
      <c r="I6" s="682"/>
      <c r="J6" s="682"/>
      <c r="K6" s="682"/>
      <c r="L6" s="127"/>
      <c r="M6" s="178"/>
      <c r="N6" s="178"/>
      <c r="O6" s="127"/>
      <c r="P6" s="83"/>
      <c r="Q6" s="38"/>
      <c r="R6" s="38"/>
      <c r="S6" s="38"/>
      <c r="T6" s="38"/>
      <c r="U6" s="38"/>
      <c r="V6" s="38"/>
      <c r="W6" s="127"/>
      <c r="X6" s="127"/>
    </row>
    <row r="7" s="676" customFormat="1" customHeight="1" spans="1:24">
      <c r="A7" s="683" t="s">
        <v>402</v>
      </c>
      <c r="B7" s="684"/>
      <c r="C7" s="685"/>
      <c r="D7" s="685"/>
      <c r="E7" s="685"/>
      <c r="F7" s="686"/>
      <c r="G7" s="687" t="s">
        <v>102</v>
      </c>
      <c r="H7" s="687" t="s">
        <v>103</v>
      </c>
      <c r="I7" s="687" t="s">
        <v>104</v>
      </c>
      <c r="J7" s="687" t="s">
        <v>105</v>
      </c>
      <c r="K7" s="789" t="s">
        <v>106</v>
      </c>
      <c r="L7" s="127"/>
      <c r="M7" s="178"/>
      <c r="N7" s="178"/>
      <c r="O7" s="127"/>
      <c r="P7" s="83"/>
      <c r="Q7" s="38"/>
      <c r="R7" s="38"/>
      <c r="S7" s="38"/>
      <c r="T7" s="38"/>
      <c r="U7" s="38"/>
      <c r="V7" s="38"/>
      <c r="W7" s="127"/>
      <c r="X7" s="127"/>
    </row>
    <row r="8" s="676" customFormat="1" customHeight="1" spans="1:24">
      <c r="A8" s="679"/>
      <c r="B8" s="688" t="s">
        <v>108</v>
      </c>
      <c r="C8" s="689"/>
      <c r="D8" s="689"/>
      <c r="E8" s="690"/>
      <c r="F8" s="691" t="s">
        <v>109</v>
      </c>
      <c r="G8" s="692"/>
      <c r="H8" s="693">
        <f>'Project-Start'!H8</f>
        <v>0.5555116875</v>
      </c>
      <c r="I8" s="693">
        <f>'Project-Start'!I8</f>
        <v>0.591351151209678</v>
      </c>
      <c r="J8" s="693">
        <f>'Project-Start'!J8</f>
        <v>0.645110346774194</v>
      </c>
      <c r="K8" s="790">
        <f>'Project-Start'!K8</f>
        <v>0.59732439516129</v>
      </c>
      <c r="L8" s="127"/>
      <c r="M8" s="178"/>
      <c r="N8" s="178"/>
      <c r="O8" s="127"/>
      <c r="P8" s="83"/>
      <c r="Q8" s="38"/>
      <c r="R8" s="38"/>
      <c r="S8" s="38"/>
      <c r="T8" s="38"/>
      <c r="U8" s="38"/>
      <c r="V8" s="38"/>
      <c r="W8" s="127"/>
      <c r="X8" s="127"/>
    </row>
    <row r="9" s="676" customFormat="1" customHeight="1" spans="1:24">
      <c r="A9" s="679"/>
      <c r="B9" s="694" t="s">
        <v>403</v>
      </c>
      <c r="C9" s="695"/>
      <c r="D9" s="695"/>
      <c r="E9" s="696"/>
      <c r="F9" s="697" t="s">
        <v>112</v>
      </c>
      <c r="G9" s="698"/>
      <c r="H9" s="698">
        <f>'Project-Start'!H9</f>
        <v>1</v>
      </c>
      <c r="I9" s="698">
        <f>'Project-Start'!I9</f>
        <v>1</v>
      </c>
      <c r="J9" s="698">
        <f>'Project-Start'!J9</f>
        <v>1</v>
      </c>
      <c r="K9" s="791">
        <f>AVERAGE(H9:J9)</f>
        <v>1</v>
      </c>
      <c r="L9" s="127"/>
      <c r="M9" s="178"/>
      <c r="N9" s="178"/>
      <c r="O9" s="127"/>
      <c r="P9" s="83"/>
      <c r="Q9" s="38"/>
      <c r="R9" s="38"/>
      <c r="S9" s="38"/>
      <c r="T9" s="38"/>
      <c r="U9" s="38"/>
      <c r="V9" s="38"/>
      <c r="W9" s="127"/>
      <c r="X9" s="127"/>
    </row>
    <row r="10" s="676" customFormat="1" customHeight="1" spans="1:24">
      <c r="A10" s="679"/>
      <c r="B10" s="699" t="s">
        <v>404</v>
      </c>
      <c r="C10" s="700"/>
      <c r="D10" s="700"/>
      <c r="E10" s="701"/>
      <c r="F10" s="702" t="s">
        <v>112</v>
      </c>
      <c r="G10" s="703"/>
      <c r="H10" s="703">
        <f>'Project-Start'!H10</f>
        <v>1</v>
      </c>
      <c r="I10" s="703">
        <f>'Project-Start'!I10</f>
        <v>1</v>
      </c>
      <c r="J10" s="703">
        <f>'Project-Start'!J10</f>
        <v>1</v>
      </c>
      <c r="K10" s="792">
        <f>AVERAGE(H10:J10)</f>
        <v>1</v>
      </c>
      <c r="L10" s="127"/>
      <c r="M10" s="178"/>
      <c r="N10" s="178"/>
      <c r="O10" s="127"/>
      <c r="P10" s="83"/>
      <c r="Q10" s="38"/>
      <c r="R10" s="38"/>
      <c r="S10" s="38"/>
      <c r="T10" s="38"/>
      <c r="U10" s="38"/>
      <c r="V10" s="38"/>
      <c r="W10" s="127"/>
      <c r="X10" s="127"/>
    </row>
    <row r="11" s="676" customFormat="1" customHeight="1" spans="1:24">
      <c r="A11" s="679"/>
      <c r="B11" s="704"/>
      <c r="C11" s="704"/>
      <c r="D11" s="679"/>
      <c r="E11" s="127"/>
      <c r="G11" s="178"/>
      <c r="H11" s="178"/>
      <c r="I11" s="127"/>
      <c r="J11" s="127"/>
      <c r="K11" s="127"/>
      <c r="L11" s="127"/>
      <c r="M11" s="178"/>
      <c r="N11" s="178"/>
      <c r="O11" s="127"/>
      <c r="P11" s="83"/>
      <c r="Q11" s="38"/>
      <c r="R11" s="38"/>
      <c r="S11" s="38"/>
      <c r="T11" s="38"/>
      <c r="U11" s="38"/>
      <c r="V11" s="38"/>
      <c r="W11" s="127"/>
      <c r="X11" s="127"/>
    </row>
    <row r="12" s="676" customFormat="1" customHeight="1" spans="1:24">
      <c r="A12" s="705" t="s">
        <v>405</v>
      </c>
      <c r="B12" s="706"/>
      <c r="C12" s="707"/>
      <c r="D12" s="707"/>
      <c r="E12" s="707"/>
      <c r="F12" s="707"/>
      <c r="G12" s="708" t="s">
        <v>102</v>
      </c>
      <c r="H12" s="708" t="s">
        <v>103</v>
      </c>
      <c r="I12" s="708" t="s">
        <v>104</v>
      </c>
      <c r="J12" s="708" t="s">
        <v>105</v>
      </c>
      <c r="K12" s="793" t="s">
        <v>106</v>
      </c>
      <c r="L12" s="127"/>
      <c r="M12" s="178"/>
      <c r="N12" s="178"/>
      <c r="O12" s="127"/>
      <c r="P12" s="83"/>
      <c r="Q12" s="38"/>
      <c r="R12" s="38"/>
      <c r="S12" s="38"/>
      <c r="T12" s="38"/>
      <c r="U12" s="38"/>
      <c r="V12" s="38"/>
      <c r="W12" s="127"/>
      <c r="X12" s="127"/>
    </row>
    <row r="13" s="676" customFormat="1" customHeight="1" spans="2:24">
      <c r="B13" s="709" t="s">
        <v>108</v>
      </c>
      <c r="C13" s="710"/>
      <c r="D13" s="710"/>
      <c r="E13" s="710"/>
      <c r="F13" s="711" t="s">
        <v>109</v>
      </c>
      <c r="G13" s="712"/>
      <c r="H13" s="713">
        <f>'36-Mo-Fin-Pr'!P38/H52</f>
        <v>0.519083255144708</v>
      </c>
      <c r="I13" s="713">
        <f>'36-Mo-Fin-Pr'!P39/I52</f>
        <v>0.549479166666667</v>
      </c>
      <c r="J13" s="713">
        <f>'36-Mo-Fin-Pr'!P40/J52</f>
        <v>0.619791666666667</v>
      </c>
      <c r="K13" s="794">
        <f>'36-Mo-Fin-Pr'!P41/SUM(H52:J52)</f>
        <v>0.562784696159347</v>
      </c>
      <c r="L13" s="127"/>
      <c r="M13" s="178"/>
      <c r="N13" s="178"/>
      <c r="O13" s="127"/>
      <c r="P13" s="83"/>
      <c r="Q13" s="38"/>
      <c r="R13" s="38"/>
      <c r="S13" s="38"/>
      <c r="T13" s="38"/>
      <c r="U13" s="38"/>
      <c r="V13" s="38"/>
      <c r="W13" s="127"/>
      <c r="X13" s="127"/>
    </row>
    <row r="14" s="676" customFormat="1" customHeight="1" spans="1:24">
      <c r="A14" s="679"/>
      <c r="B14" s="714" t="s">
        <v>111</v>
      </c>
      <c r="C14" s="715"/>
      <c r="D14" s="715"/>
      <c r="E14" s="715"/>
      <c r="F14" s="716" t="s">
        <v>112</v>
      </c>
      <c r="G14" s="717"/>
      <c r="H14" s="717">
        <v>1</v>
      </c>
      <c r="I14" s="717">
        <v>1</v>
      </c>
      <c r="J14" s="717">
        <v>1</v>
      </c>
      <c r="K14" s="795">
        <f>AVERAGE(H14:J14)</f>
        <v>1</v>
      </c>
      <c r="L14" s="127"/>
      <c r="M14" s="178"/>
      <c r="N14" s="178"/>
      <c r="O14" s="127"/>
      <c r="P14" s="83"/>
      <c r="Q14" s="38"/>
      <c r="R14" s="38"/>
      <c r="S14" s="38"/>
      <c r="T14" s="38"/>
      <c r="U14" s="38"/>
      <c r="V14" s="38"/>
      <c r="W14" s="127"/>
      <c r="X14" s="127"/>
    </row>
    <row r="15" s="676" customFormat="1" customHeight="1" spans="1:24">
      <c r="A15" s="679"/>
      <c r="B15" s="718" t="s">
        <v>114</v>
      </c>
      <c r="C15" s="719"/>
      <c r="D15" s="719"/>
      <c r="E15" s="719"/>
      <c r="F15" s="720" t="s">
        <v>112</v>
      </c>
      <c r="G15" s="721"/>
      <c r="H15" s="721">
        <v>1</v>
      </c>
      <c r="I15" s="721">
        <v>1</v>
      </c>
      <c r="J15" s="721">
        <v>1</v>
      </c>
      <c r="K15" s="796">
        <f>AVERAGE(H15:J15)</f>
        <v>1</v>
      </c>
      <c r="L15" s="127"/>
      <c r="M15" s="178"/>
      <c r="N15" s="178"/>
      <c r="O15" s="127"/>
      <c r="P15" s="83"/>
      <c r="Q15" s="38"/>
      <c r="R15" s="38"/>
      <c r="S15" s="38"/>
      <c r="T15" s="38"/>
      <c r="U15" s="38"/>
      <c r="V15" s="38"/>
      <c r="W15" s="127"/>
      <c r="X15" s="127"/>
    </row>
    <row r="16" s="676" customFormat="1" customHeight="1" spans="1:24">
      <c r="A16" s="679"/>
      <c r="B16" s="41"/>
      <c r="C16" s="41"/>
      <c r="D16" s="41"/>
      <c r="E16" s="59"/>
      <c r="F16" s="59"/>
      <c r="G16" s="83"/>
      <c r="H16" s="83"/>
      <c r="I16" s="83"/>
      <c r="J16" s="83"/>
      <c r="K16" s="41"/>
      <c r="L16" s="127"/>
      <c r="M16" s="178"/>
      <c r="N16" s="178"/>
      <c r="O16" s="127"/>
      <c r="P16" s="83"/>
      <c r="Q16" s="38"/>
      <c r="R16" s="38"/>
      <c r="S16" s="38"/>
      <c r="T16" s="38"/>
      <c r="U16" s="38"/>
      <c r="V16" s="38"/>
      <c r="W16" s="127"/>
      <c r="X16" s="127"/>
    </row>
    <row r="17" s="676" customFormat="1" customHeight="1" spans="1:24">
      <c r="A17" s="679"/>
      <c r="B17" s="41"/>
      <c r="C17" s="41"/>
      <c r="D17" s="41"/>
      <c r="E17" s="59"/>
      <c r="F17" s="59"/>
      <c r="G17" s="83"/>
      <c r="H17" s="83"/>
      <c r="I17" s="83"/>
      <c r="J17" s="83"/>
      <c r="K17" s="41"/>
      <c r="L17" s="127"/>
      <c r="M17" s="178"/>
      <c r="N17" s="178"/>
      <c r="O17" s="127"/>
      <c r="P17" s="83"/>
      <c r="Q17" s="38"/>
      <c r="R17" s="38"/>
      <c r="S17" s="38"/>
      <c r="T17" s="38"/>
      <c r="U17" s="38"/>
      <c r="V17" s="38"/>
      <c r="W17" s="127"/>
      <c r="X17" s="127"/>
    </row>
    <row r="18" s="676" customFormat="1" customHeight="1" spans="1:24">
      <c r="A18" s="679"/>
      <c r="B18" s="41"/>
      <c r="C18" s="41"/>
      <c r="D18" s="41"/>
      <c r="E18" s="59"/>
      <c r="F18" s="59"/>
      <c r="G18" s="83"/>
      <c r="H18" s="83"/>
      <c r="I18" s="83"/>
      <c r="J18" s="83"/>
      <c r="K18" s="41"/>
      <c r="L18" s="127"/>
      <c r="M18" s="178"/>
      <c r="N18" s="178"/>
      <c r="O18" s="127"/>
      <c r="P18" s="83"/>
      <c r="Q18" s="38"/>
      <c r="R18" s="38"/>
      <c r="S18" s="38"/>
      <c r="T18" s="38"/>
      <c r="U18" s="38"/>
      <c r="V18" s="38"/>
      <c r="W18" s="127"/>
      <c r="X18" s="127"/>
    </row>
    <row r="19" s="676" customFormat="1" customHeight="1" spans="1:24">
      <c r="A19" s="679"/>
      <c r="B19" s="41"/>
      <c r="C19" s="41"/>
      <c r="D19" s="41"/>
      <c r="E19" s="59"/>
      <c r="F19" s="59"/>
      <c r="G19" s="83"/>
      <c r="H19" s="83"/>
      <c r="I19" s="83"/>
      <c r="J19" s="83"/>
      <c r="K19" s="41"/>
      <c r="L19" s="127"/>
      <c r="M19" s="178"/>
      <c r="N19" s="178"/>
      <c r="O19" s="127"/>
      <c r="P19" s="83"/>
      <c r="Q19" s="38"/>
      <c r="R19" s="38"/>
      <c r="S19" s="38"/>
      <c r="T19" s="38"/>
      <c r="U19" s="38"/>
      <c r="V19" s="38"/>
      <c r="W19" s="127"/>
      <c r="X19" s="127"/>
    </row>
    <row r="20" s="676" customFormat="1" customHeight="1" spans="1:24">
      <c r="A20" s="679"/>
      <c r="B20" s="41"/>
      <c r="C20" s="41"/>
      <c r="D20" s="41"/>
      <c r="E20" s="59"/>
      <c r="F20" s="59"/>
      <c r="G20" s="83"/>
      <c r="H20" s="83"/>
      <c r="I20" s="83"/>
      <c r="J20" s="83"/>
      <c r="K20" s="41"/>
      <c r="L20" s="127"/>
      <c r="M20" s="178"/>
      <c r="N20" s="178"/>
      <c r="O20" s="127"/>
      <c r="P20" s="83"/>
      <c r="Q20" s="38"/>
      <c r="R20" s="38"/>
      <c r="S20" s="38"/>
      <c r="T20" s="38"/>
      <c r="U20" s="38"/>
      <c r="V20" s="38"/>
      <c r="W20" s="127"/>
      <c r="X20" s="127"/>
    </row>
    <row r="21" s="676" customFormat="1" customHeight="1" spans="1:24">
      <c r="A21" s="679"/>
      <c r="B21" s="41"/>
      <c r="C21" s="41"/>
      <c r="D21" s="41"/>
      <c r="E21" s="59"/>
      <c r="F21" s="59"/>
      <c r="G21" s="83"/>
      <c r="H21" s="83"/>
      <c r="I21" s="83"/>
      <c r="J21" s="83"/>
      <c r="K21" s="41"/>
      <c r="L21" s="127"/>
      <c r="M21" s="178"/>
      <c r="N21" s="178"/>
      <c r="O21" s="127"/>
      <c r="P21" s="83"/>
      <c r="Q21" s="38"/>
      <c r="R21" s="38"/>
      <c r="S21" s="38"/>
      <c r="T21" s="38"/>
      <c r="U21" s="38"/>
      <c r="V21" s="38"/>
      <c r="W21" s="127"/>
      <c r="X21" s="127"/>
    </row>
    <row r="22" s="676" customFormat="1" customHeight="1" spans="1:24">
      <c r="A22" s="679"/>
      <c r="B22" s="41"/>
      <c r="C22" s="41"/>
      <c r="D22" s="41"/>
      <c r="E22" s="59"/>
      <c r="F22" s="59"/>
      <c r="G22" s="83"/>
      <c r="H22" s="83"/>
      <c r="I22" s="83"/>
      <c r="J22" s="83"/>
      <c r="K22" s="41"/>
      <c r="L22" s="127"/>
      <c r="M22" s="178"/>
      <c r="N22" s="178"/>
      <c r="O22" s="127"/>
      <c r="P22" s="83"/>
      <c r="Q22" s="38"/>
      <c r="R22" s="38"/>
      <c r="S22" s="38"/>
      <c r="T22" s="38"/>
      <c r="U22" s="38"/>
      <c r="V22" s="38"/>
      <c r="W22" s="127"/>
      <c r="X22" s="127"/>
    </row>
    <row r="23" s="676" customFormat="1" customHeight="1" spans="1:24">
      <c r="A23" s="679"/>
      <c r="B23" s="41"/>
      <c r="C23" s="41"/>
      <c r="D23" s="41"/>
      <c r="E23" s="59"/>
      <c r="F23" s="59"/>
      <c r="G23" s="83"/>
      <c r="H23" s="83"/>
      <c r="I23" s="83"/>
      <c r="J23" s="83"/>
      <c r="K23" s="41"/>
      <c r="L23" s="127"/>
      <c r="M23" s="178"/>
      <c r="N23" s="178"/>
      <c r="O23" s="127"/>
      <c r="P23" s="83"/>
      <c r="Q23" s="38"/>
      <c r="R23" s="38"/>
      <c r="S23" s="38"/>
      <c r="T23" s="38"/>
      <c r="U23" s="38"/>
      <c r="V23" s="38"/>
      <c r="W23" s="127"/>
      <c r="X23" s="127"/>
    </row>
    <row r="24" s="676" customFormat="1" customHeight="1" spans="1:24">
      <c r="A24" s="679"/>
      <c r="B24" s="41"/>
      <c r="C24" s="41"/>
      <c r="D24" s="41"/>
      <c r="E24" s="59"/>
      <c r="F24" s="59"/>
      <c r="G24" s="83"/>
      <c r="H24" s="83"/>
      <c r="I24" s="83"/>
      <c r="J24" s="83"/>
      <c r="K24" s="41"/>
      <c r="L24" s="127"/>
      <c r="M24" s="178"/>
      <c r="N24" s="178"/>
      <c r="O24" s="127"/>
      <c r="P24" s="83"/>
      <c r="Q24" s="38"/>
      <c r="R24" s="38"/>
      <c r="S24" s="38"/>
      <c r="T24" s="38"/>
      <c r="U24" s="38"/>
      <c r="V24" s="38"/>
      <c r="W24" s="127"/>
      <c r="X24" s="127"/>
    </row>
    <row r="25" s="676" customFormat="1" customHeight="1" spans="1:24">
      <c r="A25" s="679"/>
      <c r="B25" s="41"/>
      <c r="C25" s="41"/>
      <c r="D25" s="41"/>
      <c r="E25" s="59"/>
      <c r="F25" s="59"/>
      <c r="G25" s="83"/>
      <c r="H25" s="83"/>
      <c r="I25" s="83"/>
      <c r="J25" s="83"/>
      <c r="K25" s="41"/>
      <c r="L25" s="127"/>
      <c r="M25" s="178"/>
      <c r="N25" s="178"/>
      <c r="O25" s="127"/>
      <c r="P25" s="83"/>
      <c r="Q25" s="38"/>
      <c r="R25" s="38"/>
      <c r="S25" s="38"/>
      <c r="T25" s="38"/>
      <c r="U25" s="38"/>
      <c r="V25" s="38"/>
      <c r="W25" s="127"/>
      <c r="X25" s="127"/>
    </row>
    <row r="26" s="676" customFormat="1" customHeight="1" spans="1:24">
      <c r="A26" s="679"/>
      <c r="B26" s="41"/>
      <c r="C26" s="41"/>
      <c r="D26" s="41"/>
      <c r="E26" s="59"/>
      <c r="F26" s="59"/>
      <c r="G26" s="83"/>
      <c r="H26" s="83"/>
      <c r="I26" s="83"/>
      <c r="J26" s="83"/>
      <c r="K26" s="41"/>
      <c r="L26" s="127"/>
      <c r="M26" s="178"/>
      <c r="N26" s="178"/>
      <c r="O26" s="127"/>
      <c r="P26" s="83"/>
      <c r="Q26" s="38"/>
      <c r="R26" s="38"/>
      <c r="S26" s="38"/>
      <c r="T26" s="38"/>
      <c r="U26" s="38"/>
      <c r="V26" s="38"/>
      <c r="W26" s="127"/>
      <c r="X26" s="127"/>
    </row>
    <row r="27" s="676" customFormat="1" customHeight="1" spans="1:24">
      <c r="A27" s="679"/>
      <c r="B27" s="41"/>
      <c r="C27" s="41"/>
      <c r="D27" s="41"/>
      <c r="E27" s="59"/>
      <c r="F27" s="59"/>
      <c r="G27" s="83"/>
      <c r="H27" s="83"/>
      <c r="I27" s="83"/>
      <c r="J27" s="83"/>
      <c r="K27" s="41"/>
      <c r="L27" s="127"/>
      <c r="M27" s="178"/>
      <c r="N27" s="178"/>
      <c r="O27" s="127"/>
      <c r="P27" s="83"/>
      <c r="Q27" s="38"/>
      <c r="R27" s="38"/>
      <c r="S27" s="38"/>
      <c r="T27" s="38"/>
      <c r="U27" s="38"/>
      <c r="V27" s="38"/>
      <c r="W27" s="127"/>
      <c r="X27" s="127"/>
    </row>
    <row r="28" s="676" customFormat="1" customHeight="1" spans="1:24">
      <c r="A28" s="679"/>
      <c r="B28" s="41"/>
      <c r="C28" s="41"/>
      <c r="D28" s="41"/>
      <c r="E28" s="59"/>
      <c r="F28" s="59"/>
      <c r="G28" s="83"/>
      <c r="H28" s="83"/>
      <c r="I28" s="83"/>
      <c r="J28" s="83"/>
      <c r="K28" s="41"/>
      <c r="L28" s="127"/>
      <c r="M28" s="178"/>
      <c r="N28" s="178"/>
      <c r="O28" s="127"/>
      <c r="P28" s="83"/>
      <c r="Q28" s="38"/>
      <c r="R28" s="38"/>
      <c r="S28" s="38"/>
      <c r="T28" s="38"/>
      <c r="U28" s="38"/>
      <c r="V28" s="38"/>
      <c r="W28" s="127"/>
      <c r="X28" s="127"/>
    </row>
    <row r="29" s="676" customFormat="1" customHeight="1" spans="1:24">
      <c r="A29" s="679"/>
      <c r="B29" s="41"/>
      <c r="C29" s="41"/>
      <c r="D29" s="41"/>
      <c r="E29" s="59"/>
      <c r="F29" s="59"/>
      <c r="G29" s="83"/>
      <c r="H29" s="83"/>
      <c r="I29" s="83"/>
      <c r="J29" s="83"/>
      <c r="K29" s="41"/>
      <c r="L29" s="127"/>
      <c r="M29" s="178"/>
      <c r="N29" s="178"/>
      <c r="O29" s="127"/>
      <c r="P29" s="83"/>
      <c r="Q29" s="38"/>
      <c r="R29" s="38"/>
      <c r="S29" s="38"/>
      <c r="T29" s="38"/>
      <c r="U29" s="38"/>
      <c r="V29" s="38"/>
      <c r="W29" s="127"/>
      <c r="X29" s="127"/>
    </row>
    <row r="30" s="676" customFormat="1" customHeight="1" spans="1:24">
      <c r="A30" s="679"/>
      <c r="B30" s="41"/>
      <c r="C30" s="41"/>
      <c r="D30" s="41"/>
      <c r="E30" s="59"/>
      <c r="F30" s="59"/>
      <c r="G30" s="83"/>
      <c r="H30" s="83"/>
      <c r="I30" s="83"/>
      <c r="J30" s="83"/>
      <c r="K30" s="41"/>
      <c r="L30" s="127"/>
      <c r="M30" s="178"/>
      <c r="N30" s="178"/>
      <c r="O30" s="127"/>
      <c r="P30" s="83"/>
      <c r="Q30" s="38"/>
      <c r="R30" s="38"/>
      <c r="S30" s="38"/>
      <c r="T30" s="38"/>
      <c r="U30" s="38"/>
      <c r="V30" s="38"/>
      <c r="W30" s="127"/>
      <c r="X30" s="127"/>
    </row>
    <row r="31" s="676" customFormat="1" customHeight="1" spans="1:24">
      <c r="A31" s="679"/>
      <c r="B31" s="41"/>
      <c r="C31" s="41"/>
      <c r="D31" s="41"/>
      <c r="E31" s="59"/>
      <c r="F31" s="59"/>
      <c r="G31" s="83"/>
      <c r="H31" s="83"/>
      <c r="I31" s="83"/>
      <c r="J31" s="83"/>
      <c r="K31" s="41"/>
      <c r="L31" s="127"/>
      <c r="M31" s="178"/>
      <c r="N31" s="178"/>
      <c r="O31" s="127"/>
      <c r="P31" s="83"/>
      <c r="Q31" s="38"/>
      <c r="R31" s="38"/>
      <c r="S31" s="38"/>
      <c r="T31" s="38"/>
      <c r="U31" s="38"/>
      <c r="V31" s="38"/>
      <c r="W31" s="127"/>
      <c r="X31" s="127"/>
    </row>
    <row r="32" s="676" customFormat="1" customHeight="1" spans="1:24">
      <c r="A32" s="679"/>
      <c r="B32" s="41"/>
      <c r="C32" s="41"/>
      <c r="D32" s="41"/>
      <c r="E32" s="59"/>
      <c r="F32" s="59"/>
      <c r="G32" s="83"/>
      <c r="H32" s="83"/>
      <c r="I32" s="83"/>
      <c r="J32" s="83"/>
      <c r="K32" s="41"/>
      <c r="L32" s="127"/>
      <c r="M32" s="178"/>
      <c r="N32" s="178"/>
      <c r="O32" s="127"/>
      <c r="P32" s="83"/>
      <c r="Q32" s="38"/>
      <c r="R32" s="38"/>
      <c r="S32" s="38"/>
      <c r="T32" s="38"/>
      <c r="U32" s="38"/>
      <c r="V32" s="38"/>
      <c r="W32" s="127"/>
      <c r="X32" s="127"/>
    </row>
    <row r="33" s="676" customFormat="1" customHeight="1" spans="1:24">
      <c r="A33" s="679"/>
      <c r="B33" s="41"/>
      <c r="C33" s="41"/>
      <c r="D33" s="41"/>
      <c r="E33" s="59"/>
      <c r="F33" s="59"/>
      <c r="G33" s="83"/>
      <c r="H33" s="83"/>
      <c r="I33" s="83"/>
      <c r="J33" s="83"/>
      <c r="K33" s="41"/>
      <c r="L33" s="127"/>
      <c r="M33" s="178"/>
      <c r="N33" s="178"/>
      <c r="O33" s="127"/>
      <c r="P33" s="83"/>
      <c r="Q33" s="38"/>
      <c r="R33" s="38"/>
      <c r="S33" s="38"/>
      <c r="T33" s="38"/>
      <c r="U33" s="38"/>
      <c r="V33" s="38"/>
      <c r="W33" s="127"/>
      <c r="X33" s="127"/>
    </row>
    <row r="34" s="676" customFormat="1" customHeight="1" spans="1:24">
      <c r="A34" s="679"/>
      <c r="B34" s="41"/>
      <c r="C34" s="41"/>
      <c r="D34" s="41"/>
      <c r="E34" s="59"/>
      <c r="F34" s="59"/>
      <c r="G34" s="83"/>
      <c r="H34" s="83"/>
      <c r="I34" s="83"/>
      <c r="J34" s="83"/>
      <c r="K34" s="41"/>
      <c r="L34" s="127"/>
      <c r="M34" s="178"/>
      <c r="N34" s="178"/>
      <c r="O34" s="127"/>
      <c r="P34" s="83"/>
      <c r="Q34" s="38"/>
      <c r="R34" s="38"/>
      <c r="S34" s="38"/>
      <c r="T34" s="38"/>
      <c r="U34" s="38"/>
      <c r="V34" s="38"/>
      <c r="W34" s="127"/>
      <c r="X34" s="127"/>
    </row>
    <row r="35" s="676" customFormat="1" customHeight="1" spans="1:24">
      <c r="A35" s="679"/>
      <c r="B35" s="41"/>
      <c r="C35" s="41"/>
      <c r="D35" s="41"/>
      <c r="E35" s="59"/>
      <c r="F35" s="59"/>
      <c r="G35" s="83"/>
      <c r="H35" s="83"/>
      <c r="I35" s="83"/>
      <c r="J35" s="83"/>
      <c r="K35" s="41"/>
      <c r="L35" s="127"/>
      <c r="M35" s="178"/>
      <c r="N35" s="178"/>
      <c r="O35" s="127"/>
      <c r="P35" s="83"/>
      <c r="Q35" s="38"/>
      <c r="R35" s="38"/>
      <c r="S35" s="38"/>
      <c r="T35" s="38"/>
      <c r="U35" s="38"/>
      <c r="V35" s="38"/>
      <c r="W35" s="127"/>
      <c r="X35" s="127"/>
    </row>
    <row r="36" s="377" customFormat="1" ht="15.75" spans="1:67">
      <c r="A36" s="677">
        <v>2</v>
      </c>
      <c r="B36" s="722" t="s">
        <v>60</v>
      </c>
      <c r="C36" s="677"/>
      <c r="D36" s="677"/>
      <c r="E36" s="26"/>
      <c r="F36" s="26"/>
      <c r="G36" s="77"/>
      <c r="H36" s="77"/>
      <c r="I36" s="26"/>
      <c r="J36" s="26"/>
      <c r="K36" s="127"/>
      <c r="L36" s="127"/>
      <c r="M36" s="178"/>
      <c r="N36" s="178"/>
      <c r="O36" s="178"/>
      <c r="P36" s="127"/>
      <c r="Q36" s="127"/>
      <c r="R36" s="127"/>
      <c r="S36" s="127"/>
      <c r="T36" s="38"/>
      <c r="U36" s="38"/>
      <c r="V36" s="38"/>
      <c r="W36" s="272"/>
      <c r="X36" s="272"/>
      <c r="Y36" s="272"/>
      <c r="Z36" s="378"/>
      <c r="AA36" s="378"/>
      <c r="AB36" s="378"/>
      <c r="AC36" s="378"/>
      <c r="AD36" s="378"/>
      <c r="AE36" s="378"/>
      <c r="AF36" s="378"/>
      <c r="AG36" s="378"/>
      <c r="AH36" s="378"/>
      <c r="AI36" s="378"/>
      <c r="AJ36" s="378"/>
      <c r="AK36" s="378"/>
      <c r="AL36" s="378"/>
      <c r="AM36" s="378"/>
      <c r="AN36" s="378"/>
      <c r="AO36" s="378"/>
      <c r="AP36" s="378"/>
      <c r="AQ36" s="378"/>
      <c r="AR36" s="378"/>
      <c r="AS36" s="378"/>
      <c r="AT36" s="378"/>
      <c r="AU36" s="378"/>
      <c r="AV36" s="378"/>
      <c r="AW36" s="378"/>
      <c r="AX36" s="378"/>
      <c r="AY36" s="378"/>
      <c r="AZ36" s="378"/>
      <c r="BA36" s="378"/>
      <c r="BB36" s="378"/>
      <c r="BC36" s="378"/>
      <c r="BD36" s="378"/>
      <c r="BE36" s="378"/>
      <c r="BF36" s="378"/>
      <c r="BG36" s="378"/>
      <c r="BH36" s="378"/>
      <c r="BI36" s="378"/>
      <c r="BJ36" s="378"/>
      <c r="BK36" s="378"/>
      <c r="BL36" s="378"/>
      <c r="BM36" s="378"/>
      <c r="BN36" s="378"/>
      <c r="BO36" s="378"/>
    </row>
    <row r="37" s="378" customFormat="1" customHeight="1" spans="12:25">
      <c r="L37" s="38"/>
      <c r="M37" s="38"/>
      <c r="N37" s="200"/>
      <c r="O37" s="200"/>
      <c r="P37" s="200"/>
      <c r="Q37" s="38"/>
      <c r="R37" s="38"/>
      <c r="S37" s="38"/>
      <c r="T37" s="38"/>
      <c r="U37" s="38"/>
      <c r="V37" s="38"/>
      <c r="W37" s="272"/>
      <c r="X37" s="272"/>
      <c r="Y37" s="272"/>
    </row>
    <row r="38" s="378" customFormat="1" customHeight="1" spans="1:25">
      <c r="A38" s="683" t="s">
        <v>402</v>
      </c>
      <c r="B38" s="723"/>
      <c r="C38" s="724"/>
      <c r="D38" s="724"/>
      <c r="E38" s="724"/>
      <c r="F38" s="725"/>
      <c r="G38" s="726" t="s">
        <v>102</v>
      </c>
      <c r="H38" s="726" t="s">
        <v>103</v>
      </c>
      <c r="I38" s="726" t="s">
        <v>104</v>
      </c>
      <c r="J38" s="726" t="s">
        <v>105</v>
      </c>
      <c r="K38" s="797" t="s">
        <v>106</v>
      </c>
      <c r="L38" s="38"/>
      <c r="M38" s="38"/>
      <c r="N38" s="128"/>
      <c r="O38" s="128"/>
      <c r="P38" s="128"/>
      <c r="Q38" s="38"/>
      <c r="R38" s="38"/>
      <c r="S38" s="38"/>
      <c r="T38" s="38"/>
      <c r="U38" s="38"/>
      <c r="V38" s="38"/>
      <c r="W38" s="272"/>
      <c r="X38" s="272"/>
      <c r="Y38" s="272"/>
    </row>
    <row r="39" s="378" customFormat="1" customHeight="1" spans="1:25">
      <c r="A39" s="727" t="s">
        <v>115</v>
      </c>
      <c r="B39" s="728" t="s">
        <v>116</v>
      </c>
      <c r="C39" s="729"/>
      <c r="D39" s="729"/>
      <c r="E39" s="729"/>
      <c r="F39" s="730" t="s">
        <v>117</v>
      </c>
      <c r="G39" s="731">
        <f>'Project-Start'!G15</f>
        <v>15000000</v>
      </c>
      <c r="H39" s="732">
        <f>'Project-Start'!H15</f>
        <v>1.03</v>
      </c>
      <c r="I39" s="732">
        <f>'Project-Start'!I15</f>
        <v>1.06</v>
      </c>
      <c r="J39" s="732">
        <f>'Project-Start'!J15</f>
        <v>1.1</v>
      </c>
      <c r="K39" s="798"/>
      <c r="L39" s="38"/>
      <c r="M39" s="38"/>
      <c r="N39" s="83"/>
      <c r="O39" s="83"/>
      <c r="P39" s="83"/>
      <c r="Q39" s="38"/>
      <c r="R39" s="38"/>
      <c r="S39" s="38"/>
      <c r="T39" s="38"/>
      <c r="U39" s="38"/>
      <c r="V39" s="38"/>
      <c r="W39" s="272"/>
      <c r="X39" s="272"/>
      <c r="Y39" s="272"/>
    </row>
    <row r="40" s="378" customFormat="1" customHeight="1" spans="1:25">
      <c r="A40" s="727" t="s">
        <v>118</v>
      </c>
      <c r="B40" s="733" t="s">
        <v>119</v>
      </c>
      <c r="C40" s="734"/>
      <c r="D40" s="734"/>
      <c r="E40" s="734"/>
      <c r="F40" s="735" t="s">
        <v>120</v>
      </c>
      <c r="G40" s="736">
        <f>'Project-Start'!G16</f>
        <v>73920</v>
      </c>
      <c r="H40" s="737"/>
      <c r="I40" s="737"/>
      <c r="J40" s="737"/>
      <c r="K40" s="799"/>
      <c r="L40" s="38"/>
      <c r="M40" s="83"/>
      <c r="N40" s="83"/>
      <c r="O40" s="83"/>
      <c r="P40" s="83"/>
      <c r="Q40" s="83"/>
      <c r="R40" s="38"/>
      <c r="S40" s="38"/>
      <c r="T40" s="38"/>
      <c r="U40" s="38"/>
      <c r="V40" s="38"/>
      <c r="W40" s="272"/>
      <c r="X40" s="272"/>
      <c r="Y40" s="272"/>
    </row>
    <row r="41" s="676" customFormat="1" customHeight="1" spans="1:24">
      <c r="A41" s="727" t="s">
        <v>121</v>
      </c>
      <c r="B41" s="733" t="s">
        <v>122</v>
      </c>
      <c r="C41" s="734"/>
      <c r="D41" s="734"/>
      <c r="E41" s="734"/>
      <c r="F41" s="738" t="s">
        <v>117</v>
      </c>
      <c r="G41" s="739">
        <f>'Project-Start'!G17</f>
        <v>1.5</v>
      </c>
      <c r="H41" s="737"/>
      <c r="I41" s="737"/>
      <c r="J41" s="737"/>
      <c r="K41" s="799"/>
      <c r="L41" s="127"/>
      <c r="M41" s="178"/>
      <c r="N41" s="178"/>
      <c r="O41" s="127"/>
      <c r="P41" s="83"/>
      <c r="Q41" s="38"/>
      <c r="R41" s="38"/>
      <c r="S41" s="38"/>
      <c r="T41" s="38"/>
      <c r="U41" s="38"/>
      <c r="V41" s="38"/>
      <c r="W41" s="127"/>
      <c r="X41" s="127"/>
    </row>
    <row r="42" s="676" customFormat="1" customHeight="1" spans="1:24">
      <c r="A42" s="727" t="s">
        <v>123</v>
      </c>
      <c r="B42" s="733" t="s">
        <v>124</v>
      </c>
      <c r="C42" s="734"/>
      <c r="D42" s="734"/>
      <c r="E42" s="734"/>
      <c r="F42" s="738" t="s">
        <v>109</v>
      </c>
      <c r="G42" s="740">
        <f>'Project-Start'!G18</f>
        <v>0</v>
      </c>
      <c r="H42" s="740">
        <f>'Project-Start'!H18</f>
        <v>1.1</v>
      </c>
      <c r="I42" s="740">
        <f>'Project-Start'!I18</f>
        <v>1.18</v>
      </c>
      <c r="J42" s="740">
        <f>'Project-Start'!J18</f>
        <v>1.25</v>
      </c>
      <c r="K42" s="800"/>
      <c r="L42" s="127"/>
      <c r="M42" s="178"/>
      <c r="N42" s="178"/>
      <c r="O42" s="127"/>
      <c r="P42" s="83"/>
      <c r="Q42" s="38"/>
      <c r="R42" s="38"/>
      <c r="S42" s="38"/>
      <c r="T42" s="38"/>
      <c r="U42" s="38"/>
      <c r="V42" s="38"/>
      <c r="W42" s="127"/>
      <c r="X42" s="127"/>
    </row>
    <row r="43" s="676" customFormat="1" customHeight="1" spans="1:24">
      <c r="A43" s="727"/>
      <c r="B43" s="733"/>
      <c r="C43" s="734"/>
      <c r="D43" s="734"/>
      <c r="E43" s="734"/>
      <c r="F43" s="738" t="s">
        <v>117</v>
      </c>
      <c r="G43" s="736">
        <f>G41*G40</f>
        <v>110880</v>
      </c>
      <c r="H43" s="741">
        <f>G43*H42</f>
        <v>121968</v>
      </c>
      <c r="I43" s="741">
        <f>G43*I42</f>
        <v>130838.4</v>
      </c>
      <c r="J43" s="741">
        <f>G43*J42</f>
        <v>138600</v>
      </c>
      <c r="K43" s="800">
        <f>SUM(H43:J43)</f>
        <v>391406.4</v>
      </c>
      <c r="L43" s="127"/>
      <c r="M43" s="178"/>
      <c r="N43" s="178"/>
      <c r="O43" s="127"/>
      <c r="P43" s="83"/>
      <c r="Q43" s="38"/>
      <c r="R43" s="38"/>
      <c r="S43" s="38"/>
      <c r="T43" s="38"/>
      <c r="U43" s="38"/>
      <c r="V43" s="38"/>
      <c r="W43" s="127"/>
      <c r="X43" s="127"/>
    </row>
    <row r="44" s="676" customFormat="1" customHeight="1" spans="1:24">
      <c r="A44" s="727" t="s">
        <v>126</v>
      </c>
      <c r="B44" s="733" t="s">
        <v>406</v>
      </c>
      <c r="C44" s="734"/>
      <c r="D44" s="734"/>
      <c r="E44" s="734"/>
      <c r="F44" s="738" t="s">
        <v>109</v>
      </c>
      <c r="G44" s="742"/>
      <c r="H44" s="743"/>
      <c r="I44" s="743"/>
      <c r="J44" s="743"/>
      <c r="K44" s="801">
        <f>'Project-Start'!K20</f>
        <v>2.18</v>
      </c>
      <c r="L44" s="127"/>
      <c r="M44" s="178"/>
      <c r="N44" s="178"/>
      <c r="O44" s="127"/>
      <c r="P44" s="83"/>
      <c r="Q44" s="38"/>
      <c r="R44" s="38"/>
      <c r="S44" s="38"/>
      <c r="T44" s="38"/>
      <c r="U44" s="38"/>
      <c r="V44" s="38"/>
      <c r="W44" s="127"/>
      <c r="X44" s="127"/>
    </row>
    <row r="45" s="676" customFormat="1" customHeight="1" spans="1:24">
      <c r="A45" s="727" t="s">
        <v>128</v>
      </c>
      <c r="B45" s="733" t="s">
        <v>129</v>
      </c>
      <c r="C45" s="734"/>
      <c r="D45" s="734"/>
      <c r="E45" s="734"/>
      <c r="F45" s="738" t="s">
        <v>109</v>
      </c>
      <c r="G45" s="744"/>
      <c r="H45" s="745">
        <f>'Project-Start'!H21</f>
        <v>0.31</v>
      </c>
      <c r="I45" s="745">
        <f>'Project-Start'!I21</f>
        <v>0.33</v>
      </c>
      <c r="J45" s="745">
        <f>'Project-Start'!J21</f>
        <v>0.36</v>
      </c>
      <c r="K45" s="802">
        <f>H45+I45+J45</f>
        <v>1</v>
      </c>
      <c r="L45" s="127"/>
      <c r="M45" s="178"/>
      <c r="N45" s="178"/>
      <c r="O45" s="127"/>
      <c r="P45" s="83"/>
      <c r="Q45" s="38"/>
      <c r="R45" s="38"/>
      <c r="S45" s="38"/>
      <c r="T45" s="38"/>
      <c r="U45" s="38"/>
      <c r="V45" s="38"/>
      <c r="W45" s="127"/>
      <c r="X45" s="127"/>
    </row>
    <row r="46" s="676" customFormat="1" customHeight="1" spans="1:24">
      <c r="A46" s="727"/>
      <c r="B46" s="733" t="s">
        <v>130</v>
      </c>
      <c r="C46" s="734"/>
      <c r="D46" s="734"/>
      <c r="E46" s="734"/>
      <c r="F46" s="738" t="s">
        <v>117</v>
      </c>
      <c r="G46" s="744"/>
      <c r="H46" s="746">
        <f>H45*K46</f>
        <v>264512.44512</v>
      </c>
      <c r="I46" s="746">
        <f>I45*K46</f>
        <v>281577.76416</v>
      </c>
      <c r="J46" s="746">
        <f>J45*K46</f>
        <v>307175.74272</v>
      </c>
      <c r="K46" s="803">
        <f>K43*K44</f>
        <v>853265.952</v>
      </c>
      <c r="L46" s="127"/>
      <c r="M46" s="178"/>
      <c r="N46" s="178"/>
      <c r="O46" s="127"/>
      <c r="P46" s="83"/>
      <c r="Q46" s="38"/>
      <c r="R46" s="38"/>
      <c r="S46" s="38"/>
      <c r="T46" s="38"/>
      <c r="U46" s="38"/>
      <c r="V46" s="38"/>
      <c r="W46" s="127"/>
      <c r="X46" s="127"/>
    </row>
    <row r="47" s="676" customFormat="1" customHeight="1" spans="1:24">
      <c r="A47" s="727" t="s">
        <v>131</v>
      </c>
      <c r="B47" s="747" t="s">
        <v>132</v>
      </c>
      <c r="C47" s="748"/>
      <c r="D47" s="748"/>
      <c r="E47" s="749"/>
      <c r="F47" s="738" t="s">
        <v>109</v>
      </c>
      <c r="G47" s="737"/>
      <c r="H47" s="750">
        <f>'Project-Start'!H23</f>
        <v>0.38</v>
      </c>
      <c r="I47" s="750">
        <f>'Project-Start'!I23</f>
        <v>0.38</v>
      </c>
      <c r="J47" s="750">
        <f>'Project-Start'!J23</f>
        <v>0.36</v>
      </c>
      <c r="K47" s="804">
        <f>K48/K46</f>
        <v>0.3728</v>
      </c>
      <c r="L47" s="127"/>
      <c r="M47" s="178"/>
      <c r="N47" s="178"/>
      <c r="O47" s="127"/>
      <c r="P47" s="83"/>
      <c r="Q47" s="38"/>
      <c r="R47" s="38"/>
      <c r="S47" s="38"/>
      <c r="T47" s="38"/>
      <c r="U47" s="38"/>
      <c r="V47" s="38"/>
      <c r="W47" s="127"/>
      <c r="X47" s="127"/>
    </row>
    <row r="48" s="676" customFormat="1" customHeight="1" spans="1:24">
      <c r="A48" s="727"/>
      <c r="B48" s="751"/>
      <c r="C48" s="752"/>
      <c r="D48" s="752"/>
      <c r="E48" s="753"/>
      <c r="F48" s="738" t="s">
        <v>117</v>
      </c>
      <c r="G48" s="737"/>
      <c r="H48" s="754">
        <f>H46*H47</f>
        <v>100514.7291456</v>
      </c>
      <c r="I48" s="754">
        <f>I46*I47</f>
        <v>106999.5503808</v>
      </c>
      <c r="J48" s="754">
        <f>J46*J47</f>
        <v>110583.2673792</v>
      </c>
      <c r="K48" s="803">
        <f>SUM(H48:J48)</f>
        <v>318097.5469056</v>
      </c>
      <c r="L48" s="127"/>
      <c r="M48" s="178"/>
      <c r="N48" s="178"/>
      <c r="O48" s="127"/>
      <c r="P48" s="83"/>
      <c r="Q48" s="38"/>
      <c r="R48" s="38"/>
      <c r="S48" s="38"/>
      <c r="T48" s="38"/>
      <c r="U48" s="38"/>
      <c r="V48" s="38"/>
      <c r="W48" s="127"/>
      <c r="X48" s="127"/>
    </row>
    <row r="49" s="676" customFormat="1" customHeight="1" spans="1:24">
      <c r="A49" s="727"/>
      <c r="B49" s="733" t="s">
        <v>134</v>
      </c>
      <c r="C49" s="734"/>
      <c r="D49" s="734"/>
      <c r="E49" s="734"/>
      <c r="F49" s="738" t="s">
        <v>109</v>
      </c>
      <c r="G49" s="737"/>
      <c r="H49" s="740">
        <f>H48/H43</f>
        <v>0.824107381818182</v>
      </c>
      <c r="I49" s="740">
        <f>I48/I43</f>
        <v>0.817799288135594</v>
      </c>
      <c r="J49" s="740">
        <f>J48/J43</f>
        <v>0.797859072</v>
      </c>
      <c r="K49" s="799"/>
      <c r="L49" s="127"/>
      <c r="M49" s="178"/>
      <c r="N49" s="178"/>
      <c r="O49" s="127"/>
      <c r="P49" s="83"/>
      <c r="Q49" s="38"/>
      <c r="R49" s="38"/>
      <c r="S49" s="38"/>
      <c r="T49" s="38"/>
      <c r="U49" s="38"/>
      <c r="V49" s="38"/>
      <c r="W49" s="127"/>
      <c r="X49" s="127"/>
    </row>
    <row r="50" s="676" customFormat="1" customHeight="1" spans="1:24">
      <c r="A50" s="727"/>
      <c r="B50" s="747" t="s">
        <v>135</v>
      </c>
      <c r="C50" s="748"/>
      <c r="D50" s="748"/>
      <c r="E50" s="749"/>
      <c r="F50" s="738" t="s">
        <v>109</v>
      </c>
      <c r="G50" s="737"/>
      <c r="H50" s="755">
        <f>1-H47</f>
        <v>0.62</v>
      </c>
      <c r="I50" s="755">
        <f>1-I47</f>
        <v>0.62</v>
      </c>
      <c r="J50" s="755">
        <f>1-J47</f>
        <v>0.64</v>
      </c>
      <c r="K50" s="804">
        <f>K51/K46</f>
        <v>0.6272</v>
      </c>
      <c r="L50" s="127"/>
      <c r="M50" s="178"/>
      <c r="N50" s="178"/>
      <c r="O50" s="127"/>
      <c r="P50" s="83"/>
      <c r="Q50" s="38"/>
      <c r="R50" s="38"/>
      <c r="S50" s="38"/>
      <c r="T50" s="38"/>
      <c r="U50" s="38"/>
      <c r="V50" s="38"/>
      <c r="W50" s="127"/>
      <c r="X50" s="127"/>
    </row>
    <row r="51" s="676" customFormat="1" customHeight="1" spans="1:24">
      <c r="A51" s="727"/>
      <c r="B51" s="751"/>
      <c r="C51" s="752"/>
      <c r="D51" s="752"/>
      <c r="E51" s="753"/>
      <c r="F51" s="738" t="s">
        <v>117</v>
      </c>
      <c r="G51" s="737"/>
      <c r="H51" s="754">
        <f>H50*H46</f>
        <v>163997.7159744</v>
      </c>
      <c r="I51" s="754">
        <f>I50*I46</f>
        <v>174578.2137792</v>
      </c>
      <c r="J51" s="754">
        <f>J50*J46</f>
        <v>196592.4753408</v>
      </c>
      <c r="K51" s="803">
        <f>SUM(H51:J51)</f>
        <v>535168.4050944</v>
      </c>
      <c r="L51" s="127"/>
      <c r="M51" s="178"/>
      <c r="N51" s="178"/>
      <c r="O51" s="127"/>
      <c r="P51" s="83"/>
      <c r="Q51" s="38"/>
      <c r="R51" s="38"/>
      <c r="S51" s="38"/>
      <c r="T51" s="38"/>
      <c r="U51" s="38"/>
      <c r="V51" s="38"/>
      <c r="W51" s="127"/>
      <c r="X51" s="127"/>
    </row>
    <row r="52" s="676" customFormat="1" customHeight="1" spans="1:24">
      <c r="A52" s="727" t="s">
        <v>137</v>
      </c>
      <c r="B52" s="756" t="s">
        <v>138</v>
      </c>
      <c r="C52" s="757"/>
      <c r="D52" s="757"/>
      <c r="E52" s="757"/>
      <c r="F52" s="758" t="s">
        <v>117</v>
      </c>
      <c r="G52" s="759">
        <f>'Project-Start'!G28</f>
        <v>476160</v>
      </c>
      <c r="H52" s="759">
        <f>'Project-Start'!H28</f>
        <v>476160</v>
      </c>
      <c r="I52" s="759">
        <f>'Project-Start'!I28</f>
        <v>476160</v>
      </c>
      <c r="J52" s="759">
        <f>'Project-Start'!J28</f>
        <v>476160</v>
      </c>
      <c r="K52" s="805"/>
      <c r="L52" s="127"/>
      <c r="M52" s="178"/>
      <c r="N52" s="178"/>
      <c r="O52" s="127"/>
      <c r="P52" s="83"/>
      <c r="Q52" s="38"/>
      <c r="R52" s="38"/>
      <c r="S52" s="38"/>
      <c r="T52" s="38"/>
      <c r="U52" s="38"/>
      <c r="V52" s="38"/>
      <c r="W52" s="127"/>
      <c r="X52" s="127"/>
    </row>
    <row r="53" s="676" customFormat="1" customHeight="1" spans="1:24">
      <c r="A53" s="679"/>
      <c r="B53" s="704"/>
      <c r="C53" s="704"/>
      <c r="D53" s="679"/>
      <c r="E53" s="127"/>
      <c r="G53" s="178"/>
      <c r="H53" s="178"/>
      <c r="I53" s="127"/>
      <c r="J53" s="127"/>
      <c r="K53" s="127"/>
      <c r="L53" s="127"/>
      <c r="M53" s="178"/>
      <c r="N53" s="178"/>
      <c r="O53" s="127"/>
      <c r="P53" s="83"/>
      <c r="Q53" s="38"/>
      <c r="R53" s="38"/>
      <c r="S53" s="38"/>
      <c r="T53" s="38"/>
      <c r="U53" s="38"/>
      <c r="V53" s="38"/>
      <c r="W53" s="127"/>
      <c r="X53" s="127"/>
    </row>
    <row r="54" s="676" customFormat="1" customHeight="1" spans="1:24">
      <c r="A54" s="760" t="s">
        <v>405</v>
      </c>
      <c r="B54" s="761"/>
      <c r="C54" s="762"/>
      <c r="D54" s="762"/>
      <c r="E54" s="762"/>
      <c r="F54" s="762"/>
      <c r="G54" s="708" t="s">
        <v>102</v>
      </c>
      <c r="H54" s="708" t="s">
        <v>103</v>
      </c>
      <c r="I54" s="708" t="s">
        <v>104</v>
      </c>
      <c r="J54" s="708" t="s">
        <v>105</v>
      </c>
      <c r="K54" s="793" t="s">
        <v>106</v>
      </c>
      <c r="L54" s="127"/>
      <c r="M54" s="178"/>
      <c r="N54" s="178"/>
      <c r="O54" s="127"/>
      <c r="P54" s="83"/>
      <c r="Q54" s="38"/>
      <c r="R54" s="38"/>
      <c r="S54" s="38"/>
      <c r="T54" s="38"/>
      <c r="U54" s="38"/>
      <c r="V54" s="38"/>
      <c r="W54" s="127"/>
      <c r="X54" s="127"/>
    </row>
    <row r="55" s="676" customFormat="1" customHeight="1" spans="1:24">
      <c r="A55" s="763" t="s">
        <v>115</v>
      </c>
      <c r="B55" s="764" t="s">
        <v>116</v>
      </c>
      <c r="C55" s="765"/>
      <c r="D55" s="765"/>
      <c r="E55" s="765"/>
      <c r="F55" s="766" t="s">
        <v>117</v>
      </c>
      <c r="G55" s="767">
        <f>G39</f>
        <v>15000000</v>
      </c>
      <c r="H55" s="768">
        <f>H39</f>
        <v>1.03</v>
      </c>
      <c r="I55" s="768">
        <f>I39</f>
        <v>1.06</v>
      </c>
      <c r="J55" s="768">
        <f>J39</f>
        <v>1.1</v>
      </c>
      <c r="K55" s="806"/>
      <c r="L55" s="127"/>
      <c r="M55" s="178"/>
      <c r="N55" s="178"/>
      <c r="O55" s="127"/>
      <c r="P55" s="83"/>
      <c r="Q55" s="38"/>
      <c r="R55" s="38"/>
      <c r="S55" s="38"/>
      <c r="T55" s="38"/>
      <c r="U55" s="38"/>
      <c r="V55" s="38"/>
      <c r="W55" s="127"/>
      <c r="X55" s="127"/>
    </row>
    <row r="56" s="676" customFormat="1" customHeight="1" spans="1:24">
      <c r="A56" s="763" t="s">
        <v>118</v>
      </c>
      <c r="B56" s="769" t="s">
        <v>407</v>
      </c>
      <c r="C56" s="770"/>
      <c r="D56" s="770"/>
      <c r="E56" s="770"/>
      <c r="F56" s="771" t="s">
        <v>120</v>
      </c>
      <c r="G56" s="767">
        <f t="shared" ref="G56:J58" si="0">G40</f>
        <v>73920</v>
      </c>
      <c r="H56" s="772"/>
      <c r="I56" s="772"/>
      <c r="J56" s="772"/>
      <c r="K56" s="807"/>
      <c r="L56" s="127"/>
      <c r="M56" s="178"/>
      <c r="N56" s="178"/>
      <c r="O56" s="127"/>
      <c r="P56" s="83"/>
      <c r="Q56" s="38"/>
      <c r="R56" s="38"/>
      <c r="S56" s="38"/>
      <c r="T56" s="38"/>
      <c r="U56" s="38"/>
      <c r="V56" s="38"/>
      <c r="W56" s="127"/>
      <c r="X56" s="127"/>
    </row>
    <row r="57" s="676" customFormat="1" customHeight="1" spans="1:24">
      <c r="A57" s="763" t="s">
        <v>121</v>
      </c>
      <c r="B57" s="769" t="s">
        <v>122</v>
      </c>
      <c r="C57" s="770"/>
      <c r="D57" s="770"/>
      <c r="E57" s="770"/>
      <c r="F57" s="773" t="s">
        <v>117</v>
      </c>
      <c r="G57" s="767">
        <f t="shared" si="0"/>
        <v>1.5</v>
      </c>
      <c r="H57" s="772"/>
      <c r="I57" s="772"/>
      <c r="J57" s="772"/>
      <c r="K57" s="807"/>
      <c r="L57" s="127"/>
      <c r="M57" s="178"/>
      <c r="N57" s="178"/>
      <c r="O57" s="127"/>
      <c r="P57" s="83"/>
      <c r="Q57" s="38"/>
      <c r="R57" s="38"/>
      <c r="S57" s="38"/>
      <c r="T57" s="38"/>
      <c r="U57" s="38"/>
      <c r="V57" s="38"/>
      <c r="W57" s="127"/>
      <c r="X57" s="127"/>
    </row>
    <row r="58" s="676" customFormat="1" customHeight="1" spans="1:24">
      <c r="A58" s="763" t="s">
        <v>123</v>
      </c>
      <c r="B58" s="769" t="s">
        <v>124</v>
      </c>
      <c r="C58" s="770"/>
      <c r="D58" s="770"/>
      <c r="E58" s="770"/>
      <c r="F58" s="773" t="s">
        <v>109</v>
      </c>
      <c r="G58" s="768">
        <f t="shared" si="0"/>
        <v>0</v>
      </c>
      <c r="H58" s="768">
        <f t="shared" si="0"/>
        <v>1.1</v>
      </c>
      <c r="I58" s="768">
        <f t="shared" si="0"/>
        <v>1.18</v>
      </c>
      <c r="J58" s="768">
        <f t="shared" si="0"/>
        <v>1.25</v>
      </c>
      <c r="K58" s="808"/>
      <c r="L58" s="127"/>
      <c r="M58" s="178"/>
      <c r="N58" s="178"/>
      <c r="O58" s="127"/>
      <c r="P58" s="83"/>
      <c r="Q58" s="38"/>
      <c r="R58" s="38"/>
      <c r="S58" s="38"/>
      <c r="T58" s="38"/>
      <c r="U58" s="38"/>
      <c r="V58" s="38"/>
      <c r="W58" s="127"/>
      <c r="X58" s="127"/>
    </row>
    <row r="59" s="676" customFormat="1" customHeight="1" spans="1:24">
      <c r="A59" s="763"/>
      <c r="B59" s="769"/>
      <c r="C59" s="770"/>
      <c r="D59" s="770"/>
      <c r="E59" s="770"/>
      <c r="F59" s="773" t="s">
        <v>117</v>
      </c>
      <c r="G59" s="774">
        <f>G57*G56</f>
        <v>110880</v>
      </c>
      <c r="H59" s="775">
        <f>G59*H58</f>
        <v>121968</v>
      </c>
      <c r="I59" s="775">
        <f>G59*I58</f>
        <v>130838.4</v>
      </c>
      <c r="J59" s="775">
        <f>G59*J58</f>
        <v>138600</v>
      </c>
      <c r="K59" s="808">
        <f>SUM(H59:J59)</f>
        <v>391406.4</v>
      </c>
      <c r="L59" s="127"/>
      <c r="M59" s="178"/>
      <c r="N59" s="178"/>
      <c r="O59" s="127"/>
      <c r="P59" s="83"/>
      <c r="Q59" s="38"/>
      <c r="R59" s="38"/>
      <c r="S59" s="38"/>
      <c r="T59" s="38"/>
      <c r="U59" s="38"/>
      <c r="V59" s="38"/>
      <c r="W59" s="127"/>
      <c r="X59" s="127"/>
    </row>
    <row r="60" s="676" customFormat="1" customHeight="1" spans="1:24">
      <c r="A60" s="763" t="s">
        <v>126</v>
      </c>
      <c r="B60" s="769" t="s">
        <v>406</v>
      </c>
      <c r="C60" s="770"/>
      <c r="D60" s="770"/>
      <c r="E60" s="770"/>
      <c r="F60" s="773" t="s">
        <v>109</v>
      </c>
      <c r="G60" s="776"/>
      <c r="H60" s="777"/>
      <c r="I60" s="777"/>
      <c r="J60" s="777"/>
      <c r="K60" s="809">
        <f>K44</f>
        <v>2.18</v>
      </c>
      <c r="L60" s="127"/>
      <c r="M60" s="178"/>
      <c r="N60" s="178"/>
      <c r="O60" s="127"/>
      <c r="P60" s="83"/>
      <c r="Q60" s="38"/>
      <c r="R60" s="38"/>
      <c r="S60" s="38"/>
      <c r="T60" s="38"/>
      <c r="U60" s="38"/>
      <c r="V60" s="38"/>
      <c r="W60" s="127"/>
      <c r="X60" s="127"/>
    </row>
    <row r="61" s="676" customFormat="1" customHeight="1" spans="1:24">
      <c r="A61" s="763" t="s">
        <v>128</v>
      </c>
      <c r="B61" s="769" t="s">
        <v>129</v>
      </c>
      <c r="C61" s="770"/>
      <c r="D61" s="770"/>
      <c r="E61" s="770"/>
      <c r="F61" s="773" t="s">
        <v>109</v>
      </c>
      <c r="G61" s="778"/>
      <c r="H61" s="779"/>
      <c r="I61" s="779"/>
      <c r="J61" s="779"/>
      <c r="K61" s="810">
        <f>H61+I61+J61</f>
        <v>0</v>
      </c>
      <c r="L61" s="127"/>
      <c r="M61" s="178"/>
      <c r="N61" s="178"/>
      <c r="O61" s="127"/>
      <c r="P61" s="83"/>
      <c r="Q61" s="38"/>
      <c r="R61" s="38"/>
      <c r="S61" s="38"/>
      <c r="T61" s="38"/>
      <c r="U61" s="38"/>
      <c r="V61" s="38"/>
      <c r="W61" s="127"/>
      <c r="X61" s="127"/>
    </row>
    <row r="62" s="676" customFormat="1" customHeight="1" spans="1:24">
      <c r="A62" s="763"/>
      <c r="B62" s="769" t="s">
        <v>130</v>
      </c>
      <c r="C62" s="770"/>
      <c r="D62" s="770"/>
      <c r="E62" s="770"/>
      <c r="F62" s="773" t="s">
        <v>117</v>
      </c>
      <c r="G62" s="778"/>
      <c r="H62" s="775">
        <f>'36-Mo-Fin-Pr'!P38</f>
        <v>247166.682769704</v>
      </c>
      <c r="I62" s="775">
        <f>'36-Mo-Fin-Pr'!P39</f>
        <v>261640</v>
      </c>
      <c r="J62" s="775">
        <f>'36-Mo-Fin-Pr'!P40</f>
        <v>295120</v>
      </c>
      <c r="K62" s="811">
        <f>SUM(H62:J62)</f>
        <v>803926.682769704</v>
      </c>
      <c r="L62" s="127"/>
      <c r="M62" s="178"/>
      <c r="N62" s="178"/>
      <c r="O62" s="127"/>
      <c r="P62" s="83"/>
      <c r="Q62" s="38"/>
      <c r="R62" s="38"/>
      <c r="S62" s="38"/>
      <c r="T62" s="38"/>
      <c r="U62" s="38"/>
      <c r="V62" s="38"/>
      <c r="W62" s="127"/>
      <c r="X62" s="127"/>
    </row>
    <row r="63" s="676" customFormat="1" customHeight="1" spans="1:24">
      <c r="A63" s="763" t="s">
        <v>131</v>
      </c>
      <c r="B63" s="780" t="s">
        <v>132</v>
      </c>
      <c r="C63" s="781"/>
      <c r="D63" s="781"/>
      <c r="E63" s="782"/>
      <c r="F63" s="773" t="s">
        <v>109</v>
      </c>
      <c r="G63" s="772"/>
      <c r="H63" s="783">
        <f>H64/H62</f>
        <v>0.375669532705572</v>
      </c>
      <c r="I63" s="812">
        <f>I64/I62</f>
        <v>0.373643818836622</v>
      </c>
      <c r="J63" s="783">
        <f>J64/J62</f>
        <v>0.356668225649954</v>
      </c>
      <c r="K63" s="813">
        <f>K64/K62</f>
        <v>0.368034914218</v>
      </c>
      <c r="L63" s="127"/>
      <c r="M63" s="178"/>
      <c r="N63" s="178"/>
      <c r="O63" s="127"/>
      <c r="P63" s="83"/>
      <c r="Q63" s="38"/>
      <c r="R63" s="38"/>
      <c r="S63" s="38"/>
      <c r="T63" s="38"/>
      <c r="U63" s="38"/>
      <c r="V63" s="38"/>
      <c r="W63" s="127"/>
      <c r="X63" s="127"/>
    </row>
    <row r="64" s="676" customFormat="1" customHeight="1" spans="1:24">
      <c r="A64" s="763"/>
      <c r="B64" s="784"/>
      <c r="C64" s="785"/>
      <c r="D64" s="785"/>
      <c r="E64" s="786"/>
      <c r="F64" s="773" t="s">
        <v>117</v>
      </c>
      <c r="G64" s="772"/>
      <c r="H64" s="774">
        <f>FindValue4Performanse("FY-1","[retail]")</f>
        <v>92852.9922164812</v>
      </c>
      <c r="I64" s="774">
        <f>FindValue4Performanse("FY-2","[retail]")</f>
        <v>97760.1687604137</v>
      </c>
      <c r="J64" s="774">
        <f>FindValue4Performanse("FY-3","[retail]")</f>
        <v>105259.926753815</v>
      </c>
      <c r="K64" s="811">
        <f>SUM(H64:J64)</f>
        <v>295873.087730709</v>
      </c>
      <c r="L64" s="127"/>
      <c r="M64" s="178"/>
      <c r="N64" s="178"/>
      <c r="O64" s="127"/>
      <c r="P64" s="83"/>
      <c r="Q64" s="38"/>
      <c r="R64" s="38"/>
      <c r="S64" s="38"/>
      <c r="T64" s="38"/>
      <c r="U64" s="38"/>
      <c r="V64" s="38"/>
      <c r="W64" s="127"/>
      <c r="X64" s="127"/>
    </row>
    <row r="65" s="676" customFormat="1" customHeight="1" spans="1:24">
      <c r="A65" s="763"/>
      <c r="B65" s="769" t="s">
        <v>134</v>
      </c>
      <c r="C65" s="770"/>
      <c r="D65" s="770"/>
      <c r="E65" s="770"/>
      <c r="F65" s="773" t="s">
        <v>109</v>
      </c>
      <c r="G65" s="772"/>
      <c r="H65" s="783">
        <f>H64/H59</f>
        <v>0.761289782701046</v>
      </c>
      <c r="I65" s="783">
        <f>I64/I59</f>
        <v>0.747182545494394</v>
      </c>
      <c r="J65" s="783">
        <f>J64/J59</f>
        <v>0.759451130979903</v>
      </c>
      <c r="K65" s="807"/>
      <c r="L65" s="127"/>
      <c r="M65" s="178"/>
      <c r="N65" s="178"/>
      <c r="O65" s="127"/>
      <c r="P65" s="83"/>
      <c r="Q65" s="38"/>
      <c r="R65" s="38"/>
      <c r="S65" s="38"/>
      <c r="T65" s="38"/>
      <c r="U65" s="38"/>
      <c r="V65" s="38"/>
      <c r="W65" s="127"/>
      <c r="X65" s="127"/>
    </row>
    <row r="66" s="676" customFormat="1" customHeight="1" spans="1:24">
      <c r="A66" s="763"/>
      <c r="B66" s="780" t="s">
        <v>135</v>
      </c>
      <c r="C66" s="781"/>
      <c r="D66" s="781"/>
      <c r="E66" s="782"/>
      <c r="F66" s="773" t="s">
        <v>109</v>
      </c>
      <c r="G66" s="772"/>
      <c r="H66" s="783">
        <f>1-H63</f>
        <v>0.624330467294428</v>
      </c>
      <c r="I66" s="783">
        <f>1-I63</f>
        <v>0.626356181163378</v>
      </c>
      <c r="J66" s="783">
        <f>1-J63</f>
        <v>0.643331774350046</v>
      </c>
      <c r="K66" s="813">
        <f>K67/K62</f>
        <v>0.631965085782</v>
      </c>
      <c r="L66" s="127"/>
      <c r="M66" s="178"/>
      <c r="N66" s="178"/>
      <c r="O66" s="127"/>
      <c r="P66" s="83"/>
      <c r="Q66" s="38"/>
      <c r="R66" s="38"/>
      <c r="S66" s="38"/>
      <c r="T66" s="38"/>
      <c r="U66" s="38"/>
      <c r="V66" s="38"/>
      <c r="W66" s="127"/>
      <c r="X66" s="127"/>
    </row>
    <row r="67" s="676" customFormat="1" customHeight="1" spans="1:24">
      <c r="A67" s="763"/>
      <c r="B67" s="784"/>
      <c r="C67" s="785"/>
      <c r="D67" s="785"/>
      <c r="E67" s="786"/>
      <c r="F67" s="773" t="s">
        <v>117</v>
      </c>
      <c r="G67" s="772"/>
      <c r="H67" s="774">
        <f>FindValue4Performanse("FY-1","[wholesale]")</f>
        <v>154313.690553223</v>
      </c>
      <c r="I67" s="774">
        <f>FindValue4Performanse("FY-2","[wholesale]")</f>
        <v>163879.831239586</v>
      </c>
      <c r="J67" s="774">
        <f>FindValue4Performanse("FY-3","[wholesale]")</f>
        <v>189860.073246186</v>
      </c>
      <c r="K67" s="811">
        <f>SUM(H67:J67)</f>
        <v>508053.595038995</v>
      </c>
      <c r="L67" s="127"/>
      <c r="M67" s="178"/>
      <c r="N67" s="178"/>
      <c r="O67" s="127"/>
      <c r="P67" s="83"/>
      <c r="Q67" s="38"/>
      <c r="R67" s="38"/>
      <c r="S67" s="38"/>
      <c r="T67" s="38"/>
      <c r="U67" s="38"/>
      <c r="V67" s="38"/>
      <c r="W67" s="127"/>
      <c r="X67" s="127"/>
    </row>
    <row r="68" s="676" customFormat="1" customHeight="1" spans="1:24">
      <c r="A68" s="763" t="s">
        <v>137</v>
      </c>
      <c r="B68" s="814" t="s">
        <v>138</v>
      </c>
      <c r="C68" s="815"/>
      <c r="D68" s="815"/>
      <c r="E68" s="815"/>
      <c r="F68" s="816" t="s">
        <v>117</v>
      </c>
      <c r="G68" s="817">
        <f>'Project-Start'!G28</f>
        <v>476160</v>
      </c>
      <c r="H68" s="817">
        <f>'Project-Start'!H28</f>
        <v>476160</v>
      </c>
      <c r="I68" s="817">
        <f>'Project-Start'!I28</f>
        <v>476160</v>
      </c>
      <c r="J68" s="817">
        <f>'Project-Start'!J28</f>
        <v>476160</v>
      </c>
      <c r="K68" s="860"/>
      <c r="L68" s="127"/>
      <c r="M68" s="178"/>
      <c r="N68" s="178"/>
      <c r="O68" s="127"/>
      <c r="P68" s="83"/>
      <c r="Q68" s="38"/>
      <c r="R68" s="38"/>
      <c r="S68" s="38"/>
      <c r="T68" s="38"/>
      <c r="U68" s="38"/>
      <c r="V68" s="38"/>
      <c r="W68" s="127"/>
      <c r="X68" s="127"/>
    </row>
    <row r="69" s="676" customFormat="1" customHeight="1" spans="1:24">
      <c r="A69" s="679"/>
      <c r="B69" s="704"/>
      <c r="C69" s="704"/>
      <c r="D69" s="679"/>
      <c r="E69" s="127"/>
      <c r="G69" s="178"/>
      <c r="H69" s="178"/>
      <c r="I69" s="127"/>
      <c r="J69" s="127"/>
      <c r="K69" s="127"/>
      <c r="L69" s="127"/>
      <c r="M69" s="178"/>
      <c r="N69" s="178"/>
      <c r="O69" s="127"/>
      <c r="P69" s="83"/>
      <c r="Q69" s="38"/>
      <c r="R69" s="38"/>
      <c r="S69" s="38"/>
      <c r="T69" s="38"/>
      <c r="U69" s="38"/>
      <c r="V69" s="38"/>
      <c r="W69" s="127"/>
      <c r="X69" s="127"/>
    </row>
    <row r="70" s="676" customFormat="1" customHeight="1" spans="1:24">
      <c r="A70" s="679"/>
      <c r="B70" s="818" t="s">
        <v>408</v>
      </c>
      <c r="C70" s="819"/>
      <c r="D70" s="819"/>
      <c r="E70" s="820"/>
      <c r="G70" s="818" t="s">
        <v>409</v>
      </c>
      <c r="H70" s="819"/>
      <c r="I70" s="819"/>
      <c r="J70" s="819"/>
      <c r="K70" s="820"/>
      <c r="L70" s="127"/>
      <c r="M70" s="861" t="s">
        <v>410</v>
      </c>
      <c r="N70" s="862"/>
      <c r="O70" s="862"/>
      <c r="P70" s="862"/>
      <c r="Q70" s="885"/>
      <c r="R70" s="38"/>
      <c r="S70" s="38"/>
      <c r="T70" s="38"/>
      <c r="U70" s="38"/>
      <c r="V70" s="38"/>
      <c r="W70" s="127"/>
      <c r="X70" s="127"/>
    </row>
    <row r="71" s="676" customFormat="1" customHeight="1" spans="1:24">
      <c r="A71" s="679"/>
      <c r="B71" s="821"/>
      <c r="C71" s="822" t="s">
        <v>103</v>
      </c>
      <c r="D71" s="822" t="s">
        <v>104</v>
      </c>
      <c r="E71" s="823" t="s">
        <v>105</v>
      </c>
      <c r="F71" s="824"/>
      <c r="G71" s="825"/>
      <c r="H71" s="826"/>
      <c r="I71" s="822" t="s">
        <v>103</v>
      </c>
      <c r="J71" s="822" t="s">
        <v>104</v>
      </c>
      <c r="K71" s="823" t="s">
        <v>105</v>
      </c>
      <c r="L71" s="127"/>
      <c r="M71" s="863"/>
      <c r="N71" s="864"/>
      <c r="O71" s="864" t="s">
        <v>103</v>
      </c>
      <c r="P71" s="864" t="s">
        <v>104</v>
      </c>
      <c r="Q71" s="886" t="s">
        <v>105</v>
      </c>
      <c r="R71" s="38"/>
      <c r="S71" s="38"/>
      <c r="T71" s="38"/>
      <c r="U71" s="38"/>
      <c r="V71" s="38"/>
      <c r="W71" s="127"/>
      <c r="X71" s="127"/>
    </row>
    <row r="72" s="676" customFormat="1" customHeight="1" spans="1:24">
      <c r="A72" s="679"/>
      <c r="B72" s="827" t="s">
        <v>411</v>
      </c>
      <c r="C72" s="828">
        <f>H48</f>
        <v>100514.7291456</v>
      </c>
      <c r="D72" s="828">
        <f>I48</f>
        <v>106999.5503808</v>
      </c>
      <c r="E72" s="829">
        <f>J48</f>
        <v>110583.2673792</v>
      </c>
      <c r="F72" s="824"/>
      <c r="G72" s="830" t="s">
        <v>411</v>
      </c>
      <c r="H72" s="831"/>
      <c r="I72" s="865">
        <f>H51</f>
        <v>163997.7159744</v>
      </c>
      <c r="J72" s="865">
        <f>I51</f>
        <v>174578.2137792</v>
      </c>
      <c r="K72" s="866">
        <f>J51</f>
        <v>196592.4753408</v>
      </c>
      <c r="L72" s="127"/>
      <c r="M72" s="867" t="s">
        <v>412</v>
      </c>
      <c r="N72" s="868"/>
      <c r="O72" s="869">
        <f>H46</f>
        <v>264512.44512</v>
      </c>
      <c r="P72" s="869">
        <f>I46</f>
        <v>281577.76416</v>
      </c>
      <c r="Q72" s="887">
        <f>J46</f>
        <v>307175.74272</v>
      </c>
      <c r="R72" s="38"/>
      <c r="S72" s="38"/>
      <c r="T72" s="38"/>
      <c r="U72" s="38"/>
      <c r="V72" s="38"/>
      <c r="W72" s="127"/>
      <c r="X72" s="127"/>
    </row>
    <row r="73" s="676" customFormat="1" customHeight="1" spans="1:24">
      <c r="A73" s="679"/>
      <c r="B73" s="832" t="s">
        <v>413</v>
      </c>
      <c r="C73" s="833">
        <f>H64</f>
        <v>92852.9922164812</v>
      </c>
      <c r="D73" s="833">
        <f>I64</f>
        <v>97760.1687604137</v>
      </c>
      <c r="E73" s="834">
        <f>J64</f>
        <v>105259.926753815</v>
      </c>
      <c r="G73" s="835" t="s">
        <v>413</v>
      </c>
      <c r="H73" s="836"/>
      <c r="I73" s="870">
        <f>H67</f>
        <v>154313.690553223</v>
      </c>
      <c r="J73" s="870">
        <f>I67</f>
        <v>163879.831239586</v>
      </c>
      <c r="K73" s="871">
        <f>J67</f>
        <v>189860.073246186</v>
      </c>
      <c r="L73" s="127"/>
      <c r="M73" s="872" t="s">
        <v>414</v>
      </c>
      <c r="N73" s="873"/>
      <c r="O73" s="874">
        <f>H62</f>
        <v>247166.682769704</v>
      </c>
      <c r="P73" s="874">
        <f>I62</f>
        <v>261640</v>
      </c>
      <c r="Q73" s="888">
        <f>J62</f>
        <v>295120</v>
      </c>
      <c r="R73" s="38"/>
      <c r="S73" s="38"/>
      <c r="T73" s="38"/>
      <c r="U73" s="38"/>
      <c r="V73" s="38"/>
      <c r="W73" s="127"/>
      <c r="X73" s="127"/>
    </row>
    <row r="74" s="676" customFormat="1" customHeight="1" spans="1:24">
      <c r="A74" s="679"/>
      <c r="B74" s="837"/>
      <c r="C74" s="838">
        <f>C73/C72</f>
        <v>0.923774983087101</v>
      </c>
      <c r="D74" s="838">
        <f>D73/D72</f>
        <v>0.913650276216074</v>
      </c>
      <c r="E74" s="839">
        <f>E73/E72</f>
        <v>0.951861246718897</v>
      </c>
      <c r="G74" s="840"/>
      <c r="H74" s="841"/>
      <c r="I74" s="875">
        <f>I73/I72</f>
        <v>0.940950242119905</v>
      </c>
      <c r="J74" s="875">
        <f>J73/J72</f>
        <v>0.938718684834612</v>
      </c>
      <c r="K74" s="876">
        <f>K73/K72</f>
        <v>0.965754528076705</v>
      </c>
      <c r="L74" s="127"/>
      <c r="M74" s="877" t="s">
        <v>415</v>
      </c>
      <c r="N74" s="878"/>
      <c r="O74" s="879">
        <f>O72-O73</f>
        <v>17345.7623502957</v>
      </c>
      <c r="P74" s="879">
        <f>P72-P73</f>
        <v>19937.7641600001</v>
      </c>
      <c r="Q74" s="889">
        <f>Q72-Q73</f>
        <v>12055.74272</v>
      </c>
      <c r="R74" s="38"/>
      <c r="S74" s="38"/>
      <c r="T74" s="38"/>
      <c r="U74" s="38"/>
      <c r="V74" s="38"/>
      <c r="W74" s="127"/>
      <c r="X74" s="127"/>
    </row>
    <row r="75" s="676" customFormat="1" customHeight="1" spans="1:24">
      <c r="A75" s="679"/>
      <c r="B75" s="704"/>
      <c r="C75" s="704"/>
      <c r="D75" s="679"/>
      <c r="E75" s="127"/>
      <c r="G75" s="178"/>
      <c r="H75" s="178"/>
      <c r="I75" s="127"/>
      <c r="J75" s="127"/>
      <c r="K75" s="127"/>
      <c r="L75" s="127"/>
      <c r="M75" s="178"/>
      <c r="N75" s="178"/>
      <c r="O75" s="127"/>
      <c r="P75" s="83"/>
      <c r="Q75" s="38"/>
      <c r="R75" s="38"/>
      <c r="S75" s="38"/>
      <c r="T75" s="38"/>
      <c r="U75" s="38"/>
      <c r="V75" s="38"/>
      <c r="W75" s="127"/>
      <c r="X75" s="127"/>
    </row>
    <row r="76" s="676" customFormat="1" customHeight="1" spans="1:24">
      <c r="A76" s="679"/>
      <c r="B76" s="704"/>
      <c r="C76" s="704"/>
      <c r="D76" s="679"/>
      <c r="E76" s="127"/>
      <c r="G76" s="178"/>
      <c r="H76" s="178"/>
      <c r="I76" s="127"/>
      <c r="J76" s="127"/>
      <c r="K76" s="127"/>
      <c r="L76" s="127"/>
      <c r="M76" s="178"/>
      <c r="N76" s="178"/>
      <c r="O76" s="127"/>
      <c r="P76" s="83"/>
      <c r="Q76" s="38"/>
      <c r="R76" s="38"/>
      <c r="S76" s="38"/>
      <c r="T76" s="38"/>
      <c r="U76" s="38"/>
      <c r="V76" s="38"/>
      <c r="W76" s="127"/>
      <c r="X76" s="127"/>
    </row>
    <row r="77" s="676" customFormat="1" customHeight="1" spans="1:24">
      <c r="A77" s="679"/>
      <c r="B77" s="704"/>
      <c r="C77" s="704"/>
      <c r="D77" s="679"/>
      <c r="E77" s="127"/>
      <c r="G77" s="178"/>
      <c r="H77" s="178"/>
      <c r="I77" s="127"/>
      <c r="J77" s="127"/>
      <c r="K77" s="127"/>
      <c r="L77" s="127"/>
      <c r="M77" s="178"/>
      <c r="N77" s="178"/>
      <c r="O77" s="127"/>
      <c r="P77" s="83"/>
      <c r="Q77" s="38"/>
      <c r="R77" s="38"/>
      <c r="S77" s="38"/>
      <c r="T77" s="38"/>
      <c r="U77" s="38"/>
      <c r="V77" s="38"/>
      <c r="W77" s="127"/>
      <c r="X77" s="127"/>
    </row>
    <row r="78" s="676" customFormat="1" customHeight="1" spans="1:24">
      <c r="A78" s="679"/>
      <c r="B78" s="704"/>
      <c r="C78" s="704"/>
      <c r="D78" s="679"/>
      <c r="E78" s="127"/>
      <c r="G78" s="178"/>
      <c r="H78" s="178"/>
      <c r="I78" s="127"/>
      <c r="J78" s="127"/>
      <c r="K78" s="127"/>
      <c r="L78" s="127"/>
      <c r="M78" s="178"/>
      <c r="N78" s="178"/>
      <c r="O78" s="127"/>
      <c r="P78" s="83"/>
      <c r="Q78" s="38"/>
      <c r="R78" s="38"/>
      <c r="S78" s="38"/>
      <c r="T78" s="38"/>
      <c r="U78" s="38"/>
      <c r="V78" s="38"/>
      <c r="W78" s="127"/>
      <c r="X78" s="127"/>
    </row>
    <row r="79" s="676" customFormat="1" customHeight="1" spans="1:24">
      <c r="A79" s="679"/>
      <c r="B79" s="704"/>
      <c r="C79" s="704"/>
      <c r="D79" s="679"/>
      <c r="E79" s="127"/>
      <c r="G79" s="178"/>
      <c r="H79" s="178"/>
      <c r="I79" s="127"/>
      <c r="J79" s="127"/>
      <c r="K79" s="127"/>
      <c r="L79" s="127"/>
      <c r="M79" s="178"/>
      <c r="N79" s="178"/>
      <c r="O79" s="127"/>
      <c r="P79" s="83"/>
      <c r="Q79" s="38"/>
      <c r="R79" s="38"/>
      <c r="S79" s="38"/>
      <c r="T79" s="38"/>
      <c r="U79" s="38"/>
      <c r="V79" s="38"/>
      <c r="W79" s="127"/>
      <c r="X79" s="127"/>
    </row>
    <row r="80" s="676" customFormat="1" customHeight="1" spans="1:24">
      <c r="A80" s="679"/>
      <c r="B80" s="704"/>
      <c r="C80" s="704"/>
      <c r="D80" s="679"/>
      <c r="E80" s="127"/>
      <c r="G80" s="178"/>
      <c r="H80" s="178"/>
      <c r="I80" s="127"/>
      <c r="J80" s="127"/>
      <c r="K80" s="127"/>
      <c r="L80" s="127"/>
      <c r="M80" s="178"/>
      <c r="N80" s="178"/>
      <c r="O80" s="127"/>
      <c r="P80" s="83"/>
      <c r="Q80" s="38"/>
      <c r="R80" s="38"/>
      <c r="S80" s="38"/>
      <c r="T80" s="38"/>
      <c r="U80" s="38"/>
      <c r="V80" s="38"/>
      <c r="W80" s="127"/>
      <c r="X80" s="127"/>
    </row>
    <row r="81" s="676" customFormat="1" customHeight="1" spans="1:24">
      <c r="A81" s="679"/>
      <c r="B81" s="704"/>
      <c r="C81" s="704"/>
      <c r="D81" s="679"/>
      <c r="E81" s="127"/>
      <c r="G81" s="178"/>
      <c r="H81" s="178"/>
      <c r="I81" s="127"/>
      <c r="J81" s="127"/>
      <c r="K81" s="127"/>
      <c r="L81" s="127"/>
      <c r="M81" s="178"/>
      <c r="N81" s="178"/>
      <c r="O81" s="127"/>
      <c r="P81" s="83"/>
      <c r="Q81" s="38"/>
      <c r="R81" s="38"/>
      <c r="S81" s="38"/>
      <c r="T81" s="38"/>
      <c r="U81" s="38"/>
      <c r="V81" s="38"/>
      <c r="W81" s="127"/>
      <c r="X81" s="127"/>
    </row>
    <row r="82" s="676" customFormat="1" customHeight="1" spans="1:24">
      <c r="A82" s="679"/>
      <c r="B82" s="704"/>
      <c r="C82" s="704"/>
      <c r="D82" s="679"/>
      <c r="E82" s="127"/>
      <c r="G82" s="178"/>
      <c r="H82" s="178"/>
      <c r="I82" s="127"/>
      <c r="J82" s="127"/>
      <c r="K82" s="127"/>
      <c r="L82" s="127"/>
      <c r="M82" s="178"/>
      <c r="N82" s="178"/>
      <c r="O82" s="127"/>
      <c r="P82" s="83"/>
      <c r="Q82" s="38"/>
      <c r="R82" s="38"/>
      <c r="S82" s="38"/>
      <c r="T82" s="38"/>
      <c r="U82" s="38"/>
      <c r="V82" s="38"/>
      <c r="W82" s="127"/>
      <c r="X82" s="127"/>
    </row>
    <row r="83" s="676" customFormat="1" customHeight="1" spans="1:24">
      <c r="A83" s="679"/>
      <c r="B83" s="704"/>
      <c r="C83" s="704"/>
      <c r="D83" s="679"/>
      <c r="E83" s="127"/>
      <c r="G83" s="178"/>
      <c r="H83" s="178"/>
      <c r="I83" s="127"/>
      <c r="J83" s="127"/>
      <c r="K83" s="127"/>
      <c r="L83" s="127"/>
      <c r="M83" s="178"/>
      <c r="N83" s="178"/>
      <c r="O83" s="127"/>
      <c r="P83" s="83"/>
      <c r="Q83" s="38"/>
      <c r="R83" s="38"/>
      <c r="S83" s="38"/>
      <c r="T83" s="38"/>
      <c r="U83" s="38"/>
      <c r="V83" s="38"/>
      <c r="W83" s="127"/>
      <c r="X83" s="127"/>
    </row>
    <row r="84" s="676" customFormat="1" customHeight="1" spans="1:24">
      <c r="A84" s="679"/>
      <c r="B84" s="704"/>
      <c r="C84" s="704"/>
      <c r="D84" s="679"/>
      <c r="E84" s="127"/>
      <c r="G84" s="178"/>
      <c r="H84" s="178"/>
      <c r="I84" s="127"/>
      <c r="J84" s="127"/>
      <c r="K84" s="127"/>
      <c r="L84" s="127"/>
      <c r="M84" s="178"/>
      <c r="N84" s="178"/>
      <c r="O84" s="127"/>
      <c r="P84" s="83"/>
      <c r="Q84" s="38"/>
      <c r="R84" s="38"/>
      <c r="S84" s="38"/>
      <c r="T84" s="38"/>
      <c r="U84" s="38"/>
      <c r="V84" s="38"/>
      <c r="W84" s="127"/>
      <c r="X84" s="127"/>
    </row>
    <row r="85" s="676" customFormat="1" customHeight="1" spans="1:24">
      <c r="A85" s="679"/>
      <c r="B85" s="704"/>
      <c r="C85" s="704"/>
      <c r="D85" s="679"/>
      <c r="E85" s="127"/>
      <c r="G85" s="178"/>
      <c r="H85" s="178"/>
      <c r="I85" s="127"/>
      <c r="J85" s="127"/>
      <c r="K85" s="127"/>
      <c r="L85" s="127"/>
      <c r="M85" s="178"/>
      <c r="N85" s="178"/>
      <c r="O85" s="127"/>
      <c r="P85" s="83"/>
      <c r="Q85" s="38"/>
      <c r="R85" s="38"/>
      <c r="S85" s="38"/>
      <c r="T85" s="38"/>
      <c r="U85" s="38"/>
      <c r="V85" s="38"/>
      <c r="W85" s="127"/>
      <c r="X85" s="127"/>
    </row>
    <row r="86" s="676" customFormat="1" customHeight="1" spans="1:24">
      <c r="A86" s="679"/>
      <c r="B86" s="704"/>
      <c r="C86" s="704"/>
      <c r="D86" s="679"/>
      <c r="E86" s="127"/>
      <c r="G86" s="178"/>
      <c r="H86" s="178"/>
      <c r="I86" s="127"/>
      <c r="J86" s="127"/>
      <c r="K86" s="127"/>
      <c r="L86" s="127"/>
      <c r="M86" s="178"/>
      <c r="N86" s="178"/>
      <c r="O86" s="127"/>
      <c r="P86" s="83"/>
      <c r="Q86" s="38"/>
      <c r="R86" s="38"/>
      <c r="S86" s="38"/>
      <c r="T86" s="38"/>
      <c r="U86" s="38"/>
      <c r="V86" s="38"/>
      <c r="W86" s="127"/>
      <c r="X86" s="127"/>
    </row>
    <row r="87" s="676" customFormat="1" customHeight="1" spans="1:24">
      <c r="A87" s="679"/>
      <c r="B87" s="704"/>
      <c r="C87" s="704"/>
      <c r="D87" s="679"/>
      <c r="E87" s="127"/>
      <c r="G87" s="178"/>
      <c r="H87" s="178"/>
      <c r="I87" s="127"/>
      <c r="J87" s="127"/>
      <c r="K87" s="127"/>
      <c r="L87" s="127"/>
      <c r="M87" s="178"/>
      <c r="N87" s="178"/>
      <c r="O87" s="127"/>
      <c r="P87" s="83"/>
      <c r="Q87" s="38"/>
      <c r="R87" s="38"/>
      <c r="S87" s="38"/>
      <c r="T87" s="38"/>
      <c r="U87" s="38"/>
      <c r="V87" s="38"/>
      <c r="W87" s="127"/>
      <c r="X87" s="127"/>
    </row>
    <row r="88" s="676" customFormat="1" customHeight="1" spans="1:24">
      <c r="A88" s="679"/>
      <c r="B88" s="704"/>
      <c r="C88" s="704"/>
      <c r="D88" s="679"/>
      <c r="E88" s="127"/>
      <c r="G88" s="178"/>
      <c r="H88" s="178"/>
      <c r="I88" s="127"/>
      <c r="J88" s="127"/>
      <c r="K88" s="127"/>
      <c r="L88" s="127"/>
      <c r="M88" s="178"/>
      <c r="N88" s="178"/>
      <c r="O88" s="127"/>
      <c r="P88" s="83"/>
      <c r="Q88" s="38"/>
      <c r="R88" s="38"/>
      <c r="S88" s="38"/>
      <c r="T88" s="38"/>
      <c r="U88" s="38"/>
      <c r="V88" s="38"/>
      <c r="W88" s="127"/>
      <c r="X88" s="127"/>
    </row>
    <row r="89" s="676" customFormat="1" customHeight="1" spans="1:24">
      <c r="A89" s="679"/>
      <c r="B89" s="704"/>
      <c r="C89" s="704"/>
      <c r="D89" s="679"/>
      <c r="E89" s="127"/>
      <c r="G89" s="178"/>
      <c r="H89" s="178"/>
      <c r="I89" s="127"/>
      <c r="J89" s="127"/>
      <c r="K89" s="127"/>
      <c r="L89" s="127"/>
      <c r="M89" s="178"/>
      <c r="N89" s="178"/>
      <c r="O89" s="127"/>
      <c r="P89" s="83"/>
      <c r="Q89" s="38"/>
      <c r="R89" s="38"/>
      <c r="S89" s="38"/>
      <c r="T89" s="38"/>
      <c r="U89" s="38"/>
      <c r="V89" s="38"/>
      <c r="W89" s="127"/>
      <c r="X89" s="127"/>
    </row>
    <row r="90" s="676" customFormat="1" customHeight="1" spans="1:24">
      <c r="A90" s="679"/>
      <c r="B90" s="704"/>
      <c r="C90" s="704"/>
      <c r="D90" s="679"/>
      <c r="E90" s="127"/>
      <c r="G90" s="178"/>
      <c r="H90" s="178"/>
      <c r="I90" s="127"/>
      <c r="J90" s="127"/>
      <c r="K90" s="127"/>
      <c r="L90" s="127"/>
      <c r="M90" s="178"/>
      <c r="N90" s="178"/>
      <c r="O90" s="127"/>
      <c r="P90" s="83"/>
      <c r="Q90" s="38"/>
      <c r="R90" s="38"/>
      <c r="S90" s="38"/>
      <c r="T90" s="38"/>
      <c r="U90" s="38"/>
      <c r="V90" s="38"/>
      <c r="W90" s="127"/>
      <c r="X90" s="127"/>
    </row>
    <row r="91" s="676" customFormat="1" customHeight="1" spans="1:24">
      <c r="A91" s="679"/>
      <c r="B91" s="704"/>
      <c r="C91" s="704"/>
      <c r="D91" s="679"/>
      <c r="E91" s="127"/>
      <c r="G91" s="178"/>
      <c r="H91" s="178"/>
      <c r="I91" s="127"/>
      <c r="J91" s="127"/>
      <c r="K91" s="127"/>
      <c r="L91" s="127"/>
      <c r="M91" s="178"/>
      <c r="N91" s="178"/>
      <c r="O91" s="127"/>
      <c r="P91" s="83"/>
      <c r="Q91" s="38"/>
      <c r="R91" s="38"/>
      <c r="S91" s="38"/>
      <c r="T91" s="38"/>
      <c r="U91" s="38"/>
      <c r="V91" s="38"/>
      <c r="W91" s="127"/>
      <c r="X91" s="127"/>
    </row>
    <row r="92" s="676" customFormat="1" customHeight="1" spans="1:24">
      <c r="A92" s="679"/>
      <c r="B92" s="704"/>
      <c r="C92" s="704"/>
      <c r="D92" s="679"/>
      <c r="E92" s="127"/>
      <c r="G92" s="178"/>
      <c r="H92" s="178"/>
      <c r="I92" s="127"/>
      <c r="J92" s="127"/>
      <c r="K92" s="127"/>
      <c r="L92" s="127"/>
      <c r="M92" s="178"/>
      <c r="N92" s="178"/>
      <c r="O92" s="127"/>
      <c r="P92" s="83"/>
      <c r="Q92" s="38"/>
      <c r="R92" s="38"/>
      <c r="S92" s="38"/>
      <c r="T92" s="38"/>
      <c r="U92" s="38"/>
      <c r="V92" s="38"/>
      <c r="W92" s="127"/>
      <c r="X92" s="127"/>
    </row>
    <row r="93" s="676" customFormat="1" customHeight="1" spans="1:24">
      <c r="A93" s="679"/>
      <c r="B93" s="704"/>
      <c r="C93" s="704"/>
      <c r="D93" s="679"/>
      <c r="E93" s="127"/>
      <c r="G93" s="178"/>
      <c r="H93" s="178"/>
      <c r="I93" s="127"/>
      <c r="J93" s="127"/>
      <c r="K93" s="127"/>
      <c r="L93" s="127"/>
      <c r="M93" s="178"/>
      <c r="N93" s="178"/>
      <c r="O93" s="127"/>
      <c r="P93" s="83"/>
      <c r="Q93" s="38"/>
      <c r="R93" s="38"/>
      <c r="S93" s="38"/>
      <c r="T93" s="38"/>
      <c r="U93" s="38"/>
      <c r="V93" s="38"/>
      <c r="W93" s="127"/>
      <c r="X93" s="127"/>
    </row>
    <row r="94" ht="15.75" spans="1:24">
      <c r="A94" s="842">
        <v>3</v>
      </c>
      <c r="B94" s="678" t="s">
        <v>416</v>
      </c>
      <c r="C94" s="843"/>
      <c r="D94" s="844"/>
      <c r="E94" s="177"/>
      <c r="F94" s="26"/>
      <c r="G94" s="844"/>
      <c r="H94" s="26"/>
      <c r="I94" s="26"/>
      <c r="J94" s="127"/>
      <c r="K94" s="127"/>
      <c r="L94" s="127"/>
      <c r="M94" s="127"/>
      <c r="N94" s="127"/>
      <c r="O94" s="127"/>
      <c r="P94" s="127"/>
      <c r="Q94" s="127"/>
      <c r="R94" s="127"/>
      <c r="S94" s="127"/>
      <c r="T94" s="127"/>
      <c r="U94" s="38"/>
      <c r="V94" s="38"/>
      <c r="W94" s="127"/>
      <c r="X94" s="127"/>
    </row>
    <row r="95" customHeight="1" spans="1:13">
      <c r="A95" s="26"/>
      <c r="B95" s="26"/>
      <c r="C95" s="26"/>
      <c r="D95" s="26"/>
      <c r="E95" s="26"/>
      <c r="F95" s="26"/>
      <c r="G95" s="26"/>
      <c r="H95" s="26"/>
      <c r="I95" s="26"/>
      <c r="J95" s="26"/>
      <c r="K95" s="26"/>
      <c r="L95" s="26"/>
      <c r="M95" s="26"/>
    </row>
    <row r="96" customHeight="1" spans="2:13">
      <c r="B96" s="77" t="s">
        <v>417</v>
      </c>
      <c r="C96" s="845"/>
      <c r="D96" s="845"/>
      <c r="E96" s="846"/>
      <c r="F96" s="846"/>
      <c r="G96" s="846"/>
      <c r="H96" s="846"/>
      <c r="I96" s="680"/>
      <c r="J96" s="680"/>
      <c r="K96" s="680"/>
      <c r="L96" s="680"/>
      <c r="M96" s="26"/>
    </row>
    <row r="97" customHeight="1" spans="1:25">
      <c r="A97" s="26"/>
      <c r="B97" s="847"/>
      <c r="C97" s="291" t="s">
        <v>293</v>
      </c>
      <c r="D97" s="291" t="s">
        <v>294</v>
      </c>
      <c r="E97" s="291" t="s">
        <v>295</v>
      </c>
      <c r="F97" s="291" t="s">
        <v>296</v>
      </c>
      <c r="G97" s="291" t="s">
        <v>297</v>
      </c>
      <c r="H97" s="291" t="s">
        <v>298</v>
      </c>
      <c r="I97" s="291" t="s">
        <v>299</v>
      </c>
      <c r="J97" s="291" t="s">
        <v>300</v>
      </c>
      <c r="K97" s="291" t="s">
        <v>301</v>
      </c>
      <c r="L97" s="291"/>
      <c r="M97" s="378"/>
      <c r="N97" s="378"/>
      <c r="O97" s="378"/>
      <c r="P97" s="378"/>
      <c r="Q97" s="378"/>
      <c r="R97" s="378"/>
      <c r="S97" s="378"/>
      <c r="T97" s="378"/>
      <c r="U97" s="378"/>
      <c r="V97" s="378"/>
      <c r="W97" s="378"/>
      <c r="X97" s="378"/>
      <c r="Y97" s="378"/>
    </row>
    <row r="98" customHeight="1" spans="1:22">
      <c r="A98" s="26"/>
      <c r="B98" s="848" t="s">
        <v>103</v>
      </c>
      <c r="C98" s="849">
        <v>0.0475100975771122</v>
      </c>
      <c r="D98" s="849">
        <v>0.0715395584050117</v>
      </c>
      <c r="E98" s="849">
        <v>0.0424979494013682</v>
      </c>
      <c r="F98" s="849">
        <v>0.147024055919287</v>
      </c>
      <c r="G98" s="849">
        <v>0.125990571524539</v>
      </c>
      <c r="H98" s="849">
        <v>0.125990571524539</v>
      </c>
      <c r="I98" s="880">
        <v>0.175640888563479</v>
      </c>
      <c r="J98" s="880">
        <v>0.257314116349541</v>
      </c>
      <c r="K98" s="881">
        <v>0.00649219073512311</v>
      </c>
      <c r="L98" s="881"/>
      <c r="M98" s="882"/>
      <c r="N98" s="882"/>
      <c r="O98" s="882"/>
      <c r="P98" s="882"/>
      <c r="Q98" s="882"/>
      <c r="R98" s="882"/>
      <c r="S98" s="882"/>
      <c r="T98" s="882"/>
      <c r="U98" s="882"/>
      <c r="V98" s="882"/>
    </row>
    <row r="99" customHeight="1" spans="1:22">
      <c r="A99" s="26"/>
      <c r="B99" s="848" t="s">
        <v>104</v>
      </c>
      <c r="C99" s="849">
        <v>0.0465900652928687</v>
      </c>
      <c r="D99" s="849">
        <v>0.0726527617955744</v>
      </c>
      <c r="E99" s="849">
        <v>0.0423964308745683</v>
      </c>
      <c r="F99" s="849">
        <v>0.147120358982453</v>
      </c>
      <c r="G99" s="849">
        <v>0.126073097325449</v>
      </c>
      <c r="H99" s="849">
        <v>0.126073097325449</v>
      </c>
      <c r="I99" s="880">
        <v>0.185680612504229</v>
      </c>
      <c r="J99" s="880">
        <v>0.247524349577923</v>
      </c>
      <c r="K99" s="881">
        <v>0.00588922632148539</v>
      </c>
      <c r="L99" s="881"/>
      <c r="M99" s="882"/>
      <c r="N99" s="882"/>
      <c r="O99" s="882"/>
      <c r="P99" s="882"/>
      <c r="Q99" s="882"/>
      <c r="R99" s="882"/>
      <c r="S99" s="882"/>
      <c r="T99" s="882"/>
      <c r="U99" s="882"/>
      <c r="V99" s="882"/>
    </row>
    <row r="100" customHeight="1" spans="1:22">
      <c r="A100" s="26"/>
      <c r="B100" s="848" t="s">
        <v>105</v>
      </c>
      <c r="C100" s="849">
        <v>0.063120475421105</v>
      </c>
      <c r="D100" s="849">
        <v>0.104332909217905</v>
      </c>
      <c r="E100" s="849">
        <v>0.0350144450063049</v>
      </c>
      <c r="F100" s="849">
        <v>0.12412136455018</v>
      </c>
      <c r="G100" s="849">
        <v>0.106364373913531</v>
      </c>
      <c r="H100" s="849">
        <v>0.106364373913531</v>
      </c>
      <c r="I100" s="880">
        <v>0.204885165444918</v>
      </c>
      <c r="J100" s="880">
        <v>0.24829555327449</v>
      </c>
      <c r="K100" s="881">
        <v>0.00750133925803596</v>
      </c>
      <c r="L100" s="881"/>
      <c r="M100" s="882"/>
      <c r="N100" s="882"/>
      <c r="O100" s="882"/>
      <c r="P100" s="882"/>
      <c r="Q100" s="882"/>
      <c r="R100" s="882"/>
      <c r="S100" s="882"/>
      <c r="T100" s="882"/>
      <c r="U100" s="882"/>
      <c r="V100" s="882"/>
    </row>
    <row r="101" customHeight="1" spans="1:22">
      <c r="A101" s="26"/>
      <c r="B101" s="850" t="s">
        <v>418</v>
      </c>
      <c r="C101" s="851">
        <v>0.0528520567110558</v>
      </c>
      <c r="D101" s="852">
        <v>0.0837606947906563</v>
      </c>
      <c r="E101" s="852">
        <v>0.03975908825079</v>
      </c>
      <c r="F101" s="852">
        <v>0.138775474309757</v>
      </c>
      <c r="G101" s="852">
        <v>0.118922044508647</v>
      </c>
      <c r="H101" s="852">
        <v>0.118922044508647</v>
      </c>
      <c r="I101" s="883">
        <v>0.18950678727888</v>
      </c>
      <c r="J101" s="883">
        <v>0.250842545749899</v>
      </c>
      <c r="K101" s="884">
        <v>0.00665926389166715</v>
      </c>
      <c r="L101" s="884"/>
      <c r="M101" s="882"/>
      <c r="N101" s="882"/>
      <c r="O101" s="882"/>
      <c r="P101" s="882"/>
      <c r="Q101" s="882"/>
      <c r="R101" s="882"/>
      <c r="S101" s="882"/>
      <c r="T101" s="882"/>
      <c r="U101" s="882"/>
      <c r="V101" s="882"/>
    </row>
    <row r="102" customHeight="1" spans="1:24">
      <c r="A102" s="26"/>
      <c r="B102" s="26"/>
      <c r="C102" s="59"/>
      <c r="D102" s="853"/>
      <c r="E102" s="849"/>
      <c r="F102" s="849"/>
      <c r="G102" s="849"/>
      <c r="H102" s="849"/>
      <c r="I102" s="849"/>
      <c r="J102" s="26"/>
      <c r="K102" s="26"/>
      <c r="L102" s="26"/>
      <c r="M102" s="26"/>
      <c r="N102" s="26"/>
      <c r="O102" s="127"/>
      <c r="P102" s="127"/>
      <c r="Q102" s="127"/>
      <c r="R102" s="127"/>
      <c r="S102" s="127"/>
      <c r="T102" s="127"/>
      <c r="U102" s="38"/>
      <c r="V102" s="38"/>
      <c r="W102" s="127"/>
      <c r="X102" s="127"/>
    </row>
    <row r="103" customHeight="1" spans="1:24">
      <c r="A103" s="26"/>
      <c r="B103" s="77" t="s">
        <v>419</v>
      </c>
      <c r="C103" s="680"/>
      <c r="D103" s="680"/>
      <c r="E103" s="680"/>
      <c r="F103" s="680"/>
      <c r="G103" s="681"/>
      <c r="H103" s="681"/>
      <c r="I103" s="680"/>
      <c r="J103" s="681"/>
      <c r="K103" s="681"/>
      <c r="L103" s="681"/>
      <c r="M103" s="127"/>
      <c r="N103" s="127"/>
      <c r="O103" s="127"/>
      <c r="P103" s="127"/>
      <c r="Q103" s="127"/>
      <c r="R103" s="127"/>
      <c r="S103" s="127"/>
      <c r="T103" s="127"/>
      <c r="U103" s="38"/>
      <c r="V103" s="38"/>
      <c r="W103" s="127"/>
      <c r="X103" s="127"/>
    </row>
    <row r="104" customHeight="1" spans="1:25">
      <c r="A104" s="41"/>
      <c r="B104" s="847"/>
      <c r="C104" s="854" t="s">
        <v>293</v>
      </c>
      <c r="D104" s="854" t="s">
        <v>294</v>
      </c>
      <c r="E104" s="854" t="s">
        <v>295</v>
      </c>
      <c r="F104" s="854" t="s">
        <v>296</v>
      </c>
      <c r="G104" s="854" t="s">
        <v>297</v>
      </c>
      <c r="H104" s="854" t="s">
        <v>298</v>
      </c>
      <c r="I104" s="854" t="s">
        <v>299</v>
      </c>
      <c r="J104" s="854" t="s">
        <v>300</v>
      </c>
      <c r="K104" s="291" t="s">
        <v>301</v>
      </c>
      <c r="L104" s="291"/>
      <c r="M104" s="291"/>
      <c r="N104" s="291"/>
      <c r="O104" s="291"/>
      <c r="P104" s="291"/>
      <c r="Q104" s="291"/>
      <c r="R104" s="291"/>
      <c r="S104" s="291"/>
      <c r="T104" s="291"/>
      <c r="U104" s="291"/>
      <c r="V104" s="291"/>
      <c r="W104" s="291"/>
      <c r="X104" s="291"/>
      <c r="Y104" s="291"/>
    </row>
    <row r="105" customHeight="1" spans="1:24">
      <c r="A105" s="26"/>
      <c r="B105" s="848" t="s">
        <v>103</v>
      </c>
      <c r="C105" s="849">
        <v>0.0409887676793737</v>
      </c>
      <c r="D105" s="849">
        <v>0.0414038816256686</v>
      </c>
      <c r="E105" s="849">
        <v>0.0303518488495667</v>
      </c>
      <c r="F105" s="849">
        <v>0.083241242223288</v>
      </c>
      <c r="G105" s="849">
        <v>0.0823592593738774</v>
      </c>
      <c r="H105" s="849">
        <v>0.0823592593738774</v>
      </c>
      <c r="I105" s="880">
        <v>0.277705717535645</v>
      </c>
      <c r="J105" s="880">
        <v>0.348842341291847</v>
      </c>
      <c r="K105" s="881">
        <v>0.0127476820468563</v>
      </c>
      <c r="L105" s="881"/>
      <c r="M105" s="882"/>
      <c r="N105" s="882"/>
      <c r="O105" s="882"/>
      <c r="P105" s="882"/>
      <c r="Q105" s="882"/>
      <c r="R105" s="882"/>
      <c r="S105" s="882"/>
      <c r="T105" s="882"/>
      <c r="U105" s="890"/>
      <c r="V105" s="890"/>
      <c r="W105" s="127"/>
      <c r="X105" s="127"/>
    </row>
    <row r="106" customHeight="1" spans="1:24">
      <c r="A106" s="26"/>
      <c r="B106" s="848" t="s">
        <v>104</v>
      </c>
      <c r="C106" s="849">
        <v>0.0401381600258055</v>
      </c>
      <c r="D106" s="849">
        <v>0.0419930443883328</v>
      </c>
      <c r="E106" s="849">
        <v>0.0302365108923102</v>
      </c>
      <c r="F106" s="849">
        <v>0.0831763834039361</v>
      </c>
      <c r="G106" s="849">
        <v>0.0822958468298708</v>
      </c>
      <c r="H106" s="849">
        <v>0.0822958468298708</v>
      </c>
      <c r="I106" s="880">
        <v>0.293164215361891</v>
      </c>
      <c r="J106" s="880">
        <v>0.335115358472327</v>
      </c>
      <c r="K106" s="881">
        <v>0.0115846337956557</v>
      </c>
      <c r="L106" s="881"/>
      <c r="M106" s="882"/>
      <c r="N106" s="882"/>
      <c r="O106" s="882"/>
      <c r="P106" s="882"/>
      <c r="Q106" s="882"/>
      <c r="R106" s="882"/>
      <c r="S106" s="882"/>
      <c r="T106" s="882"/>
      <c r="U106" s="890"/>
      <c r="V106" s="890"/>
      <c r="W106" s="127"/>
      <c r="X106" s="127"/>
    </row>
    <row r="107" customHeight="1" spans="1:24">
      <c r="A107" s="26"/>
      <c r="B107" s="848" t="s">
        <v>105</v>
      </c>
      <c r="C107" s="849">
        <v>0.0531663461244018</v>
      </c>
      <c r="D107" s="849">
        <v>0.0589042167583439</v>
      </c>
      <c r="E107" s="849">
        <v>0.0244147362233452</v>
      </c>
      <c r="F107" s="849">
        <v>0.0686144567301834</v>
      </c>
      <c r="G107" s="849">
        <v>0.0678850303781366</v>
      </c>
      <c r="H107" s="849">
        <v>0.0678850303781366</v>
      </c>
      <c r="I107" s="880">
        <v>0.316269509046213</v>
      </c>
      <c r="J107" s="880">
        <v>0.328472095935401</v>
      </c>
      <c r="K107" s="881">
        <v>0.0143885784258392</v>
      </c>
      <c r="L107" s="881"/>
      <c r="M107" s="882"/>
      <c r="N107" s="882"/>
      <c r="O107" s="882"/>
      <c r="P107" s="882"/>
      <c r="Q107" s="882"/>
      <c r="R107" s="882"/>
      <c r="S107" s="882"/>
      <c r="T107" s="882"/>
      <c r="U107" s="890"/>
      <c r="V107" s="890"/>
      <c r="W107" s="127"/>
      <c r="X107" s="127"/>
    </row>
    <row r="108" customHeight="1" spans="1:24">
      <c r="A108" s="26"/>
      <c r="B108" s="850" t="s">
        <v>418</v>
      </c>
      <c r="C108" s="851">
        <v>0.0451801324109838</v>
      </c>
      <c r="D108" s="852">
        <v>0.0480168565482282</v>
      </c>
      <c r="E108" s="852">
        <v>0.0281358642725984</v>
      </c>
      <c r="F108" s="852">
        <v>0.0778532691376971</v>
      </c>
      <c r="G108" s="852">
        <v>0.0770277330621798</v>
      </c>
      <c r="H108" s="852">
        <v>0.0770277330621798</v>
      </c>
      <c r="I108" s="883">
        <v>0.29688662504392</v>
      </c>
      <c r="J108" s="883">
        <v>0.33690054796061</v>
      </c>
      <c r="K108" s="884">
        <v>0.0129712385016034</v>
      </c>
      <c r="L108" s="884"/>
      <c r="M108" s="882"/>
      <c r="N108" s="882"/>
      <c r="O108" s="882"/>
      <c r="P108" s="882"/>
      <c r="Q108" s="882"/>
      <c r="R108" s="882"/>
      <c r="S108" s="882"/>
      <c r="T108" s="882"/>
      <c r="U108" s="890"/>
      <c r="V108" s="890"/>
      <c r="W108" s="127"/>
      <c r="X108" s="127"/>
    </row>
    <row r="109" customHeight="1" spans="1:24">
      <c r="A109" s="26"/>
      <c r="B109" s="26"/>
      <c r="C109" s="59"/>
      <c r="D109" s="26"/>
      <c r="E109" s="855"/>
      <c r="F109" s="855"/>
      <c r="G109" s="856"/>
      <c r="H109" s="856"/>
      <c r="I109" s="40"/>
      <c r="J109" s="127"/>
      <c r="K109" s="882"/>
      <c r="L109" s="127"/>
      <c r="M109" s="127"/>
      <c r="N109" s="127"/>
      <c r="O109" s="127"/>
      <c r="P109" s="127"/>
      <c r="Q109" s="127"/>
      <c r="R109" s="127"/>
      <c r="S109" s="127"/>
      <c r="T109" s="127"/>
      <c r="U109" s="38"/>
      <c r="V109" s="38"/>
      <c r="W109" s="127"/>
      <c r="X109" s="127"/>
    </row>
    <row r="110" customHeight="1" spans="1:24">
      <c r="A110" s="26"/>
      <c r="B110" s="77" t="s">
        <v>420</v>
      </c>
      <c r="C110" s="680"/>
      <c r="D110" s="680"/>
      <c r="E110" s="680"/>
      <c r="F110" s="680"/>
      <c r="G110" s="681"/>
      <c r="H110" s="681"/>
      <c r="I110" s="680"/>
      <c r="J110" s="681"/>
      <c r="K110" s="681"/>
      <c r="L110" s="681"/>
      <c r="M110" s="127"/>
      <c r="N110" s="127"/>
      <c r="O110" s="127"/>
      <c r="P110" s="127"/>
      <c r="Q110" s="127"/>
      <c r="R110" s="127"/>
      <c r="S110" s="127"/>
      <c r="T110" s="127"/>
      <c r="U110" s="38"/>
      <c r="V110" s="38"/>
      <c r="W110" s="127"/>
      <c r="X110" s="127"/>
    </row>
    <row r="111" customHeight="1" spans="1:25">
      <c r="A111" s="26"/>
      <c r="B111" s="847"/>
      <c r="C111" s="857" t="s">
        <v>293</v>
      </c>
      <c r="D111" s="857" t="s">
        <v>294</v>
      </c>
      <c r="E111" s="857" t="s">
        <v>295</v>
      </c>
      <c r="F111" s="857" t="s">
        <v>296</v>
      </c>
      <c r="G111" s="857" t="s">
        <v>297</v>
      </c>
      <c r="H111" s="857" t="s">
        <v>298</v>
      </c>
      <c r="I111" s="857" t="s">
        <v>299</v>
      </c>
      <c r="J111" s="857" t="s">
        <v>300</v>
      </c>
      <c r="K111" s="857" t="s">
        <v>301</v>
      </c>
      <c r="L111" s="291"/>
      <c r="M111" s="291"/>
      <c r="N111" s="291"/>
      <c r="O111" s="291"/>
      <c r="P111" s="291"/>
      <c r="Q111" s="291"/>
      <c r="R111" s="291"/>
      <c r="S111" s="291"/>
      <c r="T111" s="291"/>
      <c r="U111" s="291"/>
      <c r="V111" s="291"/>
      <c r="W111" s="291"/>
      <c r="X111" s="291"/>
      <c r="Y111" s="291"/>
    </row>
    <row r="112" customHeight="1" spans="1:24">
      <c r="A112" s="26"/>
      <c r="B112" s="848" t="s">
        <v>103</v>
      </c>
      <c r="C112" s="849">
        <v>0.049261252406938</v>
      </c>
      <c r="D112" s="849">
        <v>0.0796318090302279</v>
      </c>
      <c r="E112" s="849">
        <v>0.0457595084665233</v>
      </c>
      <c r="F112" s="849">
        <v>0.164151479928668</v>
      </c>
      <c r="G112" s="849">
        <v>0.137706768098303</v>
      </c>
      <c r="H112" s="849">
        <v>0.137706768098303</v>
      </c>
      <c r="I112" s="880">
        <v>0.148233699997243</v>
      </c>
      <c r="J112" s="880">
        <v>0.232736293162175</v>
      </c>
      <c r="K112" s="881">
        <v>0.00481242081161817</v>
      </c>
      <c r="L112" s="881"/>
      <c r="M112" s="882"/>
      <c r="N112" s="882"/>
      <c r="O112" s="882"/>
      <c r="P112" s="882"/>
      <c r="Q112" s="882"/>
      <c r="R112" s="882"/>
      <c r="S112" s="882"/>
      <c r="T112" s="882"/>
      <c r="U112" s="890"/>
      <c r="V112" s="890"/>
      <c r="W112" s="127"/>
      <c r="X112" s="127"/>
    </row>
    <row r="113" customHeight="1" spans="1:24">
      <c r="A113" s="26"/>
      <c r="B113" s="848" t="s">
        <v>104</v>
      </c>
      <c r="C113" s="849">
        <v>0.0483256922795524</v>
      </c>
      <c r="D113" s="849">
        <v>0.0809005321414537</v>
      </c>
      <c r="E113" s="849">
        <v>0.0456675708562514</v>
      </c>
      <c r="F113" s="849">
        <v>0.164321927365126</v>
      </c>
      <c r="G113" s="849">
        <v>0.137849615147374</v>
      </c>
      <c r="H113" s="849">
        <v>0.137849615147374</v>
      </c>
      <c r="I113" s="880">
        <v>0.156766449319271</v>
      </c>
      <c r="J113" s="880">
        <v>0.223961492943299</v>
      </c>
      <c r="K113" s="881">
        <v>0.00435710480029791</v>
      </c>
      <c r="L113" s="881"/>
      <c r="M113" s="882"/>
      <c r="N113" s="882"/>
      <c r="O113" s="882"/>
      <c r="P113" s="882"/>
      <c r="Q113" s="882"/>
      <c r="R113" s="882"/>
      <c r="S113" s="882"/>
      <c r="T113" s="882"/>
      <c r="U113" s="890"/>
      <c r="V113" s="890"/>
      <c r="W113" s="127"/>
      <c r="X113" s="127"/>
    </row>
    <row r="114" customHeight="1" spans="1:24">
      <c r="A114" s="26"/>
      <c r="B114" s="848" t="s">
        <v>105</v>
      </c>
      <c r="C114" s="849">
        <v>0.0658762462309284</v>
      </c>
      <c r="D114" s="849">
        <v>0.116909706331638</v>
      </c>
      <c r="E114" s="849">
        <v>0.0379489425586307</v>
      </c>
      <c r="F114" s="849">
        <v>0.13948828532793</v>
      </c>
      <c r="G114" s="849">
        <v>0.117017264642118</v>
      </c>
      <c r="H114" s="849">
        <v>0.117017264642118</v>
      </c>
      <c r="I114" s="880">
        <v>0.174048744335795</v>
      </c>
      <c r="J114" s="880">
        <v>0.226098918158379</v>
      </c>
      <c r="K114" s="881">
        <v>0.00559462777246271</v>
      </c>
      <c r="L114" s="881"/>
      <c r="M114" s="882"/>
      <c r="N114" s="882"/>
      <c r="O114" s="882"/>
      <c r="P114" s="882"/>
      <c r="Q114" s="882"/>
      <c r="R114" s="882"/>
      <c r="S114" s="882"/>
      <c r="T114" s="882"/>
      <c r="U114" s="890"/>
      <c r="V114" s="890"/>
      <c r="W114" s="127"/>
      <c r="X114" s="127"/>
    </row>
    <row r="115" customHeight="1" spans="1:24">
      <c r="A115" s="26"/>
      <c r="B115" s="850" t="s">
        <v>418</v>
      </c>
      <c r="C115" s="851">
        <v>0.0549363777802823</v>
      </c>
      <c r="D115" s="852">
        <v>0.093471639819535</v>
      </c>
      <c r="E115" s="852">
        <v>0.0429169049448176</v>
      </c>
      <c r="F115" s="852">
        <v>0.155326919665217</v>
      </c>
      <c r="G115" s="852">
        <v>0.130303960259275</v>
      </c>
      <c r="H115" s="852">
        <v>0.130303960259275</v>
      </c>
      <c r="I115" s="883">
        <v>0.16033365554429</v>
      </c>
      <c r="J115" s="883">
        <v>0.227462165526173</v>
      </c>
      <c r="K115" s="884">
        <v>0.00494441620113535</v>
      </c>
      <c r="L115" s="884"/>
      <c r="M115" s="882"/>
      <c r="N115" s="882"/>
      <c r="O115" s="882"/>
      <c r="P115" s="882"/>
      <c r="Q115" s="882"/>
      <c r="R115" s="882"/>
      <c r="S115" s="882"/>
      <c r="T115" s="882"/>
      <c r="U115" s="890"/>
      <c r="V115" s="890"/>
      <c r="W115" s="127"/>
      <c r="X115" s="127"/>
    </row>
    <row r="116" customHeight="1" spans="1:24">
      <c r="A116" s="26"/>
      <c r="B116" s="26"/>
      <c r="C116" s="59"/>
      <c r="D116" s="26"/>
      <c r="E116" s="40"/>
      <c r="F116" s="40"/>
      <c r="G116" s="858"/>
      <c r="H116" s="859"/>
      <c r="I116" s="41"/>
      <c r="J116" s="127"/>
      <c r="K116" s="127"/>
      <c r="L116" s="127"/>
      <c r="M116" s="127"/>
      <c r="N116" s="127"/>
      <c r="O116" s="127"/>
      <c r="P116" s="127"/>
      <c r="Q116" s="127"/>
      <c r="R116" s="127"/>
      <c r="S116" s="127"/>
      <c r="T116" s="127"/>
      <c r="U116" s="38"/>
      <c r="V116" s="38"/>
      <c r="W116" s="127"/>
      <c r="X116" s="127"/>
    </row>
    <row r="117" customHeight="1" spans="1:24">
      <c r="A117" s="26"/>
      <c r="B117" s="26"/>
      <c r="C117" s="59"/>
      <c r="D117" s="26"/>
      <c r="E117" s="40"/>
      <c r="F117" s="40"/>
      <c r="G117" s="858"/>
      <c r="H117" s="859"/>
      <c r="I117" s="41"/>
      <c r="J117" s="127"/>
      <c r="K117" s="127"/>
      <c r="L117" s="127"/>
      <c r="M117" s="127"/>
      <c r="N117" s="127"/>
      <c r="O117" s="127"/>
      <c r="P117" s="127"/>
      <c r="Q117" s="127"/>
      <c r="R117" s="127"/>
      <c r="S117" s="127"/>
      <c r="T117" s="127"/>
      <c r="U117" s="38"/>
      <c r="V117" s="38"/>
      <c r="W117" s="127"/>
      <c r="X117" s="127"/>
    </row>
    <row r="118" customHeight="1" spans="2:24">
      <c r="B118" s="26"/>
      <c r="C118" s="59"/>
      <c r="D118" s="26"/>
      <c r="E118" s="40"/>
      <c r="F118" s="40"/>
      <c r="G118" s="858"/>
      <c r="H118" s="859"/>
      <c r="I118" s="41"/>
      <c r="J118" s="127"/>
      <c r="K118" s="127"/>
      <c r="L118" s="127"/>
      <c r="M118" s="127"/>
      <c r="N118" s="127"/>
      <c r="O118" s="127"/>
      <c r="P118" s="127"/>
      <c r="Q118" s="127"/>
      <c r="R118" s="127"/>
      <c r="S118" s="127"/>
      <c r="T118" s="127"/>
      <c r="U118" s="38"/>
      <c r="V118" s="38"/>
      <c r="W118" s="127"/>
      <c r="X118" s="127"/>
    </row>
    <row r="119" customHeight="1" spans="2:24">
      <c r="B119" s="26"/>
      <c r="C119" s="59"/>
      <c r="D119" s="26"/>
      <c r="E119" s="40"/>
      <c r="F119" s="40"/>
      <c r="G119" s="858"/>
      <c r="H119" s="859"/>
      <c r="I119" s="41"/>
      <c r="J119" s="127"/>
      <c r="K119" s="127"/>
      <c r="L119" s="127"/>
      <c r="M119" s="127"/>
      <c r="N119" s="127"/>
      <c r="O119" s="127"/>
      <c r="P119" s="127"/>
      <c r="Q119" s="127"/>
      <c r="R119" s="127"/>
      <c r="S119" s="127"/>
      <c r="T119" s="127"/>
      <c r="U119" s="38"/>
      <c r="V119" s="38"/>
      <c r="W119" s="127"/>
      <c r="X119" s="127"/>
    </row>
    <row r="120" customHeight="1" spans="2:24">
      <c r="B120" s="26"/>
      <c r="C120" s="59"/>
      <c r="D120" s="26"/>
      <c r="E120" s="40"/>
      <c r="F120" s="40"/>
      <c r="G120" s="858"/>
      <c r="H120" s="859"/>
      <c r="I120" s="41"/>
      <c r="J120" s="127"/>
      <c r="K120" s="127"/>
      <c r="L120" s="127"/>
      <c r="M120" s="127"/>
      <c r="N120" s="127"/>
      <c r="O120" s="127"/>
      <c r="P120" s="127"/>
      <c r="Q120" s="127"/>
      <c r="R120" s="127"/>
      <c r="S120" s="127"/>
      <c r="T120" s="127"/>
      <c r="U120" s="38"/>
      <c r="V120" s="38"/>
      <c r="W120" s="127"/>
      <c r="X120" s="127"/>
    </row>
    <row r="121" customHeight="1" spans="1:24">
      <c r="A121" s="26"/>
      <c r="B121" s="26"/>
      <c r="C121" s="59"/>
      <c r="D121" s="26"/>
      <c r="E121" s="40"/>
      <c r="F121" s="40"/>
      <c r="G121" s="858"/>
      <c r="H121" s="859"/>
      <c r="I121" s="41"/>
      <c r="J121" s="127"/>
      <c r="K121" s="127"/>
      <c r="L121" s="127"/>
      <c r="M121" s="127"/>
      <c r="N121" s="127"/>
      <c r="O121" s="127"/>
      <c r="P121" s="127"/>
      <c r="Q121" s="127"/>
      <c r="R121" s="127"/>
      <c r="S121" s="127"/>
      <c r="T121" s="127"/>
      <c r="U121" s="38"/>
      <c r="V121" s="38"/>
      <c r="W121" s="127"/>
      <c r="X121" s="127"/>
    </row>
    <row r="122" customHeight="1" spans="1:24">
      <c r="A122" s="26"/>
      <c r="B122" s="26"/>
      <c r="C122" s="59"/>
      <c r="D122" s="26"/>
      <c r="E122" s="40"/>
      <c r="F122" s="40"/>
      <c r="G122" s="858"/>
      <c r="H122" s="859"/>
      <c r="I122" s="41"/>
      <c r="J122" s="127"/>
      <c r="K122" s="127"/>
      <c r="L122" s="127"/>
      <c r="M122" s="127"/>
      <c r="N122" s="127"/>
      <c r="O122" s="127"/>
      <c r="P122" s="127"/>
      <c r="Q122" s="127"/>
      <c r="R122" s="127"/>
      <c r="S122" s="127"/>
      <c r="T122" s="127"/>
      <c r="U122" s="38"/>
      <c r="V122" s="38"/>
      <c r="W122" s="127"/>
      <c r="X122" s="127"/>
    </row>
    <row r="123" customHeight="1" spans="1:24">
      <c r="A123" s="26"/>
      <c r="B123" s="26"/>
      <c r="C123" s="59"/>
      <c r="D123" s="26"/>
      <c r="E123" s="40"/>
      <c r="F123" s="40"/>
      <c r="G123" s="858"/>
      <c r="H123" s="859"/>
      <c r="I123" s="41"/>
      <c r="J123" s="127"/>
      <c r="K123" s="127"/>
      <c r="L123" s="127"/>
      <c r="M123" s="127"/>
      <c r="N123" s="127"/>
      <c r="O123" s="127"/>
      <c r="P123" s="127"/>
      <c r="Q123" s="127"/>
      <c r="R123" s="127"/>
      <c r="S123" s="127"/>
      <c r="T123" s="127"/>
      <c r="U123" s="38"/>
      <c r="V123" s="38"/>
      <c r="W123" s="127"/>
      <c r="X123" s="127"/>
    </row>
    <row r="124" customHeight="1" spans="1:24">
      <c r="A124" s="26"/>
      <c r="B124" s="26"/>
      <c r="C124" s="59"/>
      <c r="D124" s="26"/>
      <c r="E124" s="40"/>
      <c r="F124" s="40"/>
      <c r="G124" s="858"/>
      <c r="H124" s="859"/>
      <c r="I124" s="41"/>
      <c r="J124" s="127"/>
      <c r="K124" s="127"/>
      <c r="L124" s="127"/>
      <c r="M124" s="127"/>
      <c r="N124" s="127"/>
      <c r="O124" s="127"/>
      <c r="P124" s="127"/>
      <c r="Q124" s="127"/>
      <c r="R124" s="127"/>
      <c r="S124" s="127"/>
      <c r="T124" s="127"/>
      <c r="U124" s="38"/>
      <c r="V124" s="38"/>
      <c r="W124" s="127"/>
      <c r="X124" s="127"/>
    </row>
    <row r="125" customHeight="1" spans="1:24">
      <c r="A125" s="26"/>
      <c r="B125" s="26"/>
      <c r="C125" s="59"/>
      <c r="D125" s="26"/>
      <c r="E125" s="40"/>
      <c r="F125" s="40"/>
      <c r="G125" s="858"/>
      <c r="H125" s="859"/>
      <c r="I125" s="41"/>
      <c r="J125" s="127"/>
      <c r="K125" s="127"/>
      <c r="L125" s="127"/>
      <c r="M125" s="127"/>
      <c r="N125" s="127"/>
      <c r="O125" s="127"/>
      <c r="P125" s="127"/>
      <c r="Q125" s="127"/>
      <c r="R125" s="127"/>
      <c r="S125" s="127"/>
      <c r="T125" s="127"/>
      <c r="U125" s="38"/>
      <c r="V125" s="38"/>
      <c r="W125" s="127"/>
      <c r="X125" s="127"/>
    </row>
    <row r="126" customHeight="1" spans="1:24">
      <c r="A126" s="26"/>
      <c r="B126" s="26"/>
      <c r="C126" s="59"/>
      <c r="D126" s="26"/>
      <c r="E126" s="40"/>
      <c r="F126" s="40"/>
      <c r="G126" s="858"/>
      <c r="H126" s="859"/>
      <c r="I126" s="41"/>
      <c r="J126" s="127"/>
      <c r="K126" s="127"/>
      <c r="L126" s="127"/>
      <c r="M126" s="127"/>
      <c r="N126" s="127"/>
      <c r="O126" s="127"/>
      <c r="P126" s="127"/>
      <c r="Q126" s="127"/>
      <c r="R126" s="127"/>
      <c r="S126" s="127"/>
      <c r="T126" s="127"/>
      <c r="U126" s="38"/>
      <c r="V126" s="38"/>
      <c r="W126" s="127"/>
      <c r="X126" s="127"/>
    </row>
    <row r="127" customHeight="1" spans="1:24">
      <c r="A127" s="26"/>
      <c r="B127" s="26"/>
      <c r="C127" s="59"/>
      <c r="D127" s="26"/>
      <c r="E127" s="40"/>
      <c r="F127" s="40"/>
      <c r="G127" s="858"/>
      <c r="H127" s="859"/>
      <c r="I127" s="41"/>
      <c r="J127" s="127"/>
      <c r="K127" s="127"/>
      <c r="L127" s="127"/>
      <c r="M127" s="127"/>
      <c r="N127" s="127"/>
      <c r="O127" s="127"/>
      <c r="P127" s="127"/>
      <c r="Q127" s="127"/>
      <c r="R127" s="127"/>
      <c r="S127" s="127"/>
      <c r="T127" s="127"/>
      <c r="U127" s="38"/>
      <c r="V127" s="38"/>
      <c r="W127" s="127"/>
      <c r="X127" s="127"/>
    </row>
    <row r="128" customHeight="1" spans="1:24">
      <c r="A128" s="26"/>
      <c r="B128" s="26"/>
      <c r="C128" s="59"/>
      <c r="D128" s="26"/>
      <c r="E128" s="40"/>
      <c r="F128" s="40"/>
      <c r="G128" s="858"/>
      <c r="H128" s="859"/>
      <c r="I128" s="41"/>
      <c r="J128" s="127"/>
      <c r="K128" s="127"/>
      <c r="L128" s="127"/>
      <c r="M128" s="127"/>
      <c r="N128" s="127"/>
      <c r="O128" s="127"/>
      <c r="P128" s="127"/>
      <c r="Q128" s="127"/>
      <c r="R128" s="127"/>
      <c r="S128" s="127"/>
      <c r="T128" s="127"/>
      <c r="U128" s="38"/>
      <c r="V128" s="38"/>
      <c r="W128" s="127"/>
      <c r="X128" s="127"/>
    </row>
    <row r="129" customHeight="1" spans="1:24">
      <c r="A129" s="26"/>
      <c r="B129" s="26"/>
      <c r="C129" s="59"/>
      <c r="D129" s="26"/>
      <c r="E129" s="40"/>
      <c r="F129" s="40"/>
      <c r="G129" s="858"/>
      <c r="H129" s="859"/>
      <c r="I129" s="41"/>
      <c r="J129" s="127"/>
      <c r="K129" s="127"/>
      <c r="L129" s="127"/>
      <c r="M129" s="127"/>
      <c r="N129" s="127"/>
      <c r="O129" s="127"/>
      <c r="P129" s="127"/>
      <c r="Q129" s="127"/>
      <c r="R129" s="127"/>
      <c r="S129" s="127"/>
      <c r="T129" s="127"/>
      <c r="U129" s="38"/>
      <c r="V129" s="38"/>
      <c r="W129" s="127"/>
      <c r="X129" s="127"/>
    </row>
    <row r="130" customHeight="1" spans="1:24">
      <c r="A130" s="26"/>
      <c r="B130" s="26"/>
      <c r="C130" s="59"/>
      <c r="D130" s="26"/>
      <c r="E130" s="40"/>
      <c r="F130" s="40"/>
      <c r="G130" s="858"/>
      <c r="H130" s="859"/>
      <c r="I130" s="41"/>
      <c r="J130" s="127"/>
      <c r="K130" s="127"/>
      <c r="L130" s="127"/>
      <c r="M130" s="127"/>
      <c r="N130" s="127"/>
      <c r="O130" s="127"/>
      <c r="P130" s="127"/>
      <c r="Q130" s="127"/>
      <c r="R130" s="127"/>
      <c r="S130" s="127"/>
      <c r="T130" s="127"/>
      <c r="U130" s="38"/>
      <c r="V130" s="38"/>
      <c r="W130" s="127"/>
      <c r="X130" s="127"/>
    </row>
    <row r="131" customHeight="1" spans="1:24">
      <c r="A131" s="26"/>
      <c r="B131" s="26"/>
      <c r="C131" s="59"/>
      <c r="D131" s="26"/>
      <c r="E131" s="40"/>
      <c r="F131" s="40"/>
      <c r="G131" s="858"/>
      <c r="H131" s="859"/>
      <c r="I131" s="41"/>
      <c r="J131" s="127"/>
      <c r="K131" s="127"/>
      <c r="L131" s="127"/>
      <c r="M131" s="127"/>
      <c r="N131" s="127"/>
      <c r="O131" s="127"/>
      <c r="P131" s="127"/>
      <c r="Q131" s="127"/>
      <c r="R131" s="127"/>
      <c r="S131" s="127"/>
      <c r="T131" s="127"/>
      <c r="U131" s="38"/>
      <c r="V131" s="38"/>
      <c r="W131" s="127"/>
      <c r="X131" s="127"/>
    </row>
    <row r="132" customHeight="1" spans="1:24">
      <c r="A132" s="26"/>
      <c r="B132" s="26"/>
      <c r="C132" s="59"/>
      <c r="D132" s="26"/>
      <c r="E132" s="40"/>
      <c r="F132" s="40"/>
      <c r="G132" s="858"/>
      <c r="H132" s="859"/>
      <c r="I132" s="41"/>
      <c r="J132" s="127"/>
      <c r="K132" s="127"/>
      <c r="L132" s="127"/>
      <c r="M132" s="127"/>
      <c r="N132" s="127"/>
      <c r="O132" s="127"/>
      <c r="P132" s="127"/>
      <c r="Q132" s="127"/>
      <c r="R132" s="127"/>
      <c r="S132" s="127"/>
      <c r="T132" s="127"/>
      <c r="U132" s="38"/>
      <c r="V132" s="38"/>
      <c r="W132" s="127"/>
      <c r="X132" s="127"/>
    </row>
    <row r="133" customHeight="1" spans="1:24">
      <c r="A133" s="26"/>
      <c r="B133" s="26"/>
      <c r="C133" s="59"/>
      <c r="D133" s="26"/>
      <c r="E133" s="40"/>
      <c r="F133" s="40"/>
      <c r="G133" s="858"/>
      <c r="H133" s="859"/>
      <c r="I133" s="41"/>
      <c r="J133" s="127"/>
      <c r="K133" s="127"/>
      <c r="L133" s="127"/>
      <c r="M133" s="127"/>
      <c r="N133" s="127"/>
      <c r="O133" s="127"/>
      <c r="P133" s="127"/>
      <c r="Q133" s="127"/>
      <c r="R133" s="127"/>
      <c r="S133" s="127"/>
      <c r="T133" s="127"/>
      <c r="U133" s="38"/>
      <c r="V133" s="38"/>
      <c r="W133" s="127"/>
      <c r="X133" s="127"/>
    </row>
    <row r="134" customHeight="1" spans="1:24">
      <c r="A134" s="26"/>
      <c r="B134" s="26"/>
      <c r="C134" s="59"/>
      <c r="D134" s="26"/>
      <c r="E134" s="40"/>
      <c r="F134" s="40"/>
      <c r="G134" s="858"/>
      <c r="H134" s="859"/>
      <c r="I134" s="41"/>
      <c r="J134" s="127"/>
      <c r="K134" s="127"/>
      <c r="L134" s="127"/>
      <c r="M134" s="127"/>
      <c r="N134" s="127"/>
      <c r="O134" s="127"/>
      <c r="P134" s="127"/>
      <c r="Q134" s="127"/>
      <c r="R134" s="127"/>
      <c r="S134" s="127"/>
      <c r="T134" s="127"/>
      <c r="U134" s="38"/>
      <c r="V134" s="38"/>
      <c r="W134" s="127"/>
      <c r="X134" s="127"/>
    </row>
    <row r="135" customHeight="1" spans="1:24">
      <c r="A135" s="26"/>
      <c r="B135" s="891" t="s">
        <v>36</v>
      </c>
      <c r="C135" s="892"/>
      <c r="D135" s="893"/>
      <c r="E135" s="894" t="s">
        <v>103</v>
      </c>
      <c r="F135" s="894" t="s">
        <v>104</v>
      </c>
      <c r="G135" s="895" t="s">
        <v>105</v>
      </c>
      <c r="H135" s="859"/>
      <c r="I135" s="41"/>
      <c r="J135" s="127"/>
      <c r="K135" s="127"/>
      <c r="L135" s="127"/>
      <c r="M135" s="127"/>
      <c r="N135" s="127"/>
      <c r="O135" s="127"/>
      <c r="P135" s="127"/>
      <c r="Q135" s="127"/>
      <c r="R135" s="127"/>
      <c r="S135" s="127"/>
      <c r="T135" s="127"/>
      <c r="U135" s="38"/>
      <c r="V135" s="38"/>
      <c r="W135" s="127"/>
      <c r="X135" s="127"/>
    </row>
    <row r="136" customHeight="1" spans="1:24">
      <c r="A136" s="26"/>
      <c r="B136" s="896" t="s">
        <v>421</v>
      </c>
      <c r="C136" s="41"/>
      <c r="D136" s="228"/>
      <c r="E136" s="897">
        <f>'36-Mo-Fin-Pr'!P146/'36-Mo-Fin-Pr'!P134</f>
        <v>0.286800845175351</v>
      </c>
      <c r="F136" s="897">
        <f>'36-Mo-Fin-Pr'!P227/'36-Mo-Fin-Pr'!P215</f>
        <v>0.269693985687797</v>
      </c>
      <c r="G136" s="898">
        <f>'36-Mo-Fin-Pr'!P308/'36-Mo-Fin-Pr'!P296</f>
        <v>0.231711911507837</v>
      </c>
      <c r="H136" s="859"/>
      <c r="I136" s="41"/>
      <c r="J136" s="127"/>
      <c r="K136" s="127"/>
      <c r="L136" s="127"/>
      <c r="M136" s="127"/>
      <c r="N136" s="127"/>
      <c r="O136" s="127"/>
      <c r="P136" s="127"/>
      <c r="Q136" s="127"/>
      <c r="R136" s="127"/>
      <c r="S136" s="127"/>
      <c r="T136" s="127"/>
      <c r="U136" s="38"/>
      <c r="V136" s="38"/>
      <c r="W136" s="127"/>
      <c r="X136" s="127"/>
    </row>
    <row r="137" customHeight="1" spans="1:24">
      <c r="A137" s="26"/>
      <c r="B137" s="899" t="s">
        <v>422</v>
      </c>
      <c r="C137" s="900"/>
      <c r="D137" s="900"/>
      <c r="E137" s="901"/>
      <c r="F137" s="901"/>
      <c r="G137" s="902"/>
      <c r="H137" s="859"/>
      <c r="I137" s="41"/>
      <c r="J137" s="127"/>
      <c r="K137" s="127"/>
      <c r="L137" s="127"/>
      <c r="M137" s="127"/>
      <c r="N137" s="127"/>
      <c r="O137" s="127"/>
      <c r="P137" s="127"/>
      <c r="Q137" s="127"/>
      <c r="R137" s="127"/>
      <c r="S137" s="127"/>
      <c r="T137" s="127"/>
      <c r="U137" s="38"/>
      <c r="V137" s="38"/>
      <c r="W137" s="127"/>
      <c r="X137" s="127"/>
    </row>
    <row r="138" customHeight="1" spans="1:24">
      <c r="A138" s="26"/>
      <c r="B138" s="899"/>
      <c r="C138" s="900"/>
      <c r="D138" s="900"/>
      <c r="E138" s="159"/>
      <c r="F138" s="159"/>
      <c r="G138" s="903"/>
      <c r="H138" s="904"/>
      <c r="I138" s="41"/>
      <c r="J138" s="974"/>
      <c r="K138" s="127"/>
      <c r="L138" s="127"/>
      <c r="M138" s="127"/>
      <c r="N138" s="127"/>
      <c r="O138" s="127"/>
      <c r="P138" s="127"/>
      <c r="Q138" s="127"/>
      <c r="R138" s="127"/>
      <c r="S138" s="127"/>
      <c r="T138" s="127"/>
      <c r="U138" s="38"/>
      <c r="V138" s="38"/>
      <c r="W138" s="127"/>
      <c r="X138" s="127"/>
    </row>
    <row r="139" customHeight="1" spans="1:66">
      <c r="A139" s="26"/>
      <c r="B139" s="905"/>
      <c r="C139" s="59"/>
      <c r="D139" s="906"/>
      <c r="E139" s="159"/>
      <c r="F139" s="159"/>
      <c r="G139" s="903"/>
      <c r="H139" s="127"/>
      <c r="I139" s="127"/>
      <c r="J139" s="127"/>
      <c r="K139" s="127"/>
      <c r="L139" s="127"/>
      <c r="M139" s="38"/>
      <c r="N139" s="38"/>
      <c r="O139" s="127"/>
      <c r="P139" s="127"/>
      <c r="BG139" s="379"/>
      <c r="BH139" s="379"/>
      <c r="BI139" s="379"/>
      <c r="BJ139" s="379"/>
      <c r="BK139" s="379"/>
      <c r="BL139" s="379"/>
      <c r="BM139" s="379"/>
      <c r="BN139" s="379"/>
    </row>
    <row r="140" customHeight="1" spans="1:66">
      <c r="A140" s="26"/>
      <c r="B140" s="907" t="s">
        <v>38</v>
      </c>
      <c r="C140" s="59"/>
      <c r="D140" s="906"/>
      <c r="E140" s="159"/>
      <c r="F140" s="159"/>
      <c r="G140" s="903"/>
      <c r="H140" s="127"/>
      <c r="I140" s="127"/>
      <c r="J140" s="127"/>
      <c r="K140" s="127"/>
      <c r="L140" s="127"/>
      <c r="M140" s="38"/>
      <c r="N140" s="38"/>
      <c r="O140" s="127"/>
      <c r="P140" s="127"/>
      <c r="BG140" s="379"/>
      <c r="BH140" s="379"/>
      <c r="BI140" s="379"/>
      <c r="BJ140" s="379"/>
      <c r="BK140" s="379"/>
      <c r="BL140" s="379"/>
      <c r="BM140" s="379"/>
      <c r="BN140" s="379"/>
    </row>
    <row r="141" customHeight="1" spans="1:66">
      <c r="A141" s="26"/>
      <c r="B141" s="896" t="s">
        <v>423</v>
      </c>
      <c r="C141" s="222"/>
      <c r="D141" s="906"/>
      <c r="E141" s="897">
        <f>'36-Mo-Fin-Pr'!C65/'36-Mo-Fin-Pr'!P134</f>
        <v>0.0858696648214976</v>
      </c>
      <c r="F141" s="897">
        <f>'36-Mo-Fin-Pr'!D65/'36-Mo-Fin-Pr'!P215</f>
        <v>0.0774089488905699</v>
      </c>
      <c r="G141" s="898">
        <f>'36-Mo-Fin-Pr'!E65/'36-Mo-Fin-Pr'!P296</f>
        <v>0.0672783932823806</v>
      </c>
      <c r="H141" s="127"/>
      <c r="I141" s="127"/>
      <c r="J141" s="127"/>
      <c r="K141" s="127"/>
      <c r="L141" s="127"/>
      <c r="M141" s="38"/>
      <c r="N141" s="38"/>
      <c r="O141" s="127"/>
      <c r="P141" s="127"/>
      <c r="BG141" s="379"/>
      <c r="BH141" s="379"/>
      <c r="BI141" s="379"/>
      <c r="BJ141" s="379"/>
      <c r="BK141" s="379"/>
      <c r="BL141" s="379"/>
      <c r="BM141" s="379"/>
      <c r="BN141" s="379"/>
    </row>
    <row r="142" customHeight="1" spans="1:66">
      <c r="A142" s="26"/>
      <c r="B142" s="908" t="s">
        <v>424</v>
      </c>
      <c r="C142" s="909"/>
      <c r="D142" s="909"/>
      <c r="E142" s="910"/>
      <c r="F142" s="910"/>
      <c r="G142" s="911"/>
      <c r="H142" s="127"/>
      <c r="I142" s="127"/>
      <c r="J142" s="127"/>
      <c r="K142" s="127"/>
      <c r="L142" s="127"/>
      <c r="M142" s="38"/>
      <c r="N142" s="38"/>
      <c r="O142" s="127"/>
      <c r="P142" s="127"/>
      <c r="BG142" s="379"/>
      <c r="BH142" s="379"/>
      <c r="BI142" s="379"/>
      <c r="BJ142" s="379"/>
      <c r="BK142" s="379"/>
      <c r="BL142" s="379"/>
      <c r="BM142" s="379"/>
      <c r="BN142" s="379"/>
    </row>
    <row r="143" customHeight="1" spans="1:66">
      <c r="A143" s="26"/>
      <c r="B143" s="908"/>
      <c r="C143" s="909"/>
      <c r="D143" s="909"/>
      <c r="E143" s="912"/>
      <c r="F143" s="912"/>
      <c r="G143" s="903"/>
      <c r="H143" s="127"/>
      <c r="I143" s="127"/>
      <c r="J143" s="127"/>
      <c r="K143" s="127"/>
      <c r="L143" s="127"/>
      <c r="M143" s="38"/>
      <c r="N143" s="38"/>
      <c r="O143" s="127"/>
      <c r="P143" s="127"/>
      <c r="BG143" s="379"/>
      <c r="BH143" s="379"/>
      <c r="BI143" s="379"/>
      <c r="BJ143" s="379"/>
      <c r="BK143" s="379"/>
      <c r="BL143" s="379"/>
      <c r="BM143" s="379"/>
      <c r="BN143" s="379"/>
    </row>
    <row r="144" customHeight="1" spans="1:66">
      <c r="A144" s="26"/>
      <c r="B144" s="913"/>
      <c r="C144" s="912"/>
      <c r="D144" s="912"/>
      <c r="E144" s="912"/>
      <c r="F144" s="912"/>
      <c r="G144" s="903"/>
      <c r="H144" s="127"/>
      <c r="I144" s="127"/>
      <c r="J144" s="127"/>
      <c r="K144" s="127"/>
      <c r="L144" s="127"/>
      <c r="M144" s="38"/>
      <c r="N144" s="38"/>
      <c r="O144" s="127"/>
      <c r="P144" s="127"/>
      <c r="BG144" s="379"/>
      <c r="BH144" s="379"/>
      <c r="BI144" s="379"/>
      <c r="BJ144" s="379"/>
      <c r="BK144" s="379"/>
      <c r="BL144" s="379"/>
      <c r="BM144" s="379"/>
      <c r="BN144" s="379"/>
    </row>
    <row r="145" customHeight="1" spans="1:66">
      <c r="A145" s="26"/>
      <c r="B145" s="907" t="s">
        <v>40</v>
      </c>
      <c r="C145" s="59"/>
      <c r="D145" s="906"/>
      <c r="E145" s="159"/>
      <c r="F145" s="159"/>
      <c r="G145" s="903"/>
      <c r="H145" s="127"/>
      <c r="I145" s="127"/>
      <c r="J145" s="127"/>
      <c r="K145" s="127"/>
      <c r="L145" s="127"/>
      <c r="M145" s="38"/>
      <c r="N145" s="38"/>
      <c r="O145" s="127"/>
      <c r="P145" s="127"/>
      <c r="BG145" s="379"/>
      <c r="BH145" s="379"/>
      <c r="BI145" s="379"/>
      <c r="BJ145" s="379"/>
      <c r="BK145" s="379"/>
      <c r="BL145" s="379"/>
      <c r="BM145" s="379"/>
      <c r="BN145" s="379"/>
    </row>
    <row r="146" customHeight="1" spans="1:66">
      <c r="A146" s="26"/>
      <c r="B146" s="896" t="s">
        <v>425</v>
      </c>
      <c r="C146" s="222"/>
      <c r="D146" s="906"/>
      <c r="E146" s="897">
        <f>'36-Mo-Fin-Pr'!C67/'36-Mo-Fin-Pr'!P134</f>
        <v>0.0888342127736683</v>
      </c>
      <c r="F146" s="897">
        <f>'36-Mo-Fin-Pr'!D67/'36-Mo-Fin-Pr'!P215</f>
        <v>0.0704324673718073</v>
      </c>
      <c r="G146" s="898">
        <f>'36-Mo-Fin-Pr'!E67/'36-Mo-Fin-Pr'!P296</f>
        <v>0.0539078660370265</v>
      </c>
      <c r="H146" s="127"/>
      <c r="I146" s="127"/>
      <c r="J146" s="127"/>
      <c r="K146" s="127"/>
      <c r="L146" s="127"/>
      <c r="M146" s="38"/>
      <c r="N146" s="38"/>
      <c r="O146" s="127"/>
      <c r="P146" s="127"/>
      <c r="BG146" s="379"/>
      <c r="BH146" s="379"/>
      <c r="BI146" s="379"/>
      <c r="BJ146" s="379"/>
      <c r="BK146" s="379"/>
      <c r="BL146" s="379"/>
      <c r="BM146" s="379"/>
      <c r="BN146" s="379"/>
    </row>
    <row r="147" customHeight="1" spans="1:66">
      <c r="A147" s="26"/>
      <c r="B147" s="914" t="s">
        <v>426</v>
      </c>
      <c r="C147" s="915"/>
      <c r="D147" s="915"/>
      <c r="E147" s="897"/>
      <c r="F147" s="897"/>
      <c r="G147" s="898"/>
      <c r="H147" s="127"/>
      <c r="I147" s="127"/>
      <c r="J147" s="127"/>
      <c r="K147" s="127"/>
      <c r="L147" s="127"/>
      <c r="M147" s="38"/>
      <c r="N147" s="38"/>
      <c r="O147" s="127"/>
      <c r="P147" s="127"/>
      <c r="BG147" s="379"/>
      <c r="BH147" s="379"/>
      <c r="BI147" s="379"/>
      <c r="BJ147" s="379"/>
      <c r="BK147" s="379"/>
      <c r="BL147" s="379"/>
      <c r="BM147" s="379"/>
      <c r="BN147" s="379"/>
    </row>
    <row r="148" customHeight="1" spans="2:66">
      <c r="B148" s="914"/>
      <c r="C148" s="915"/>
      <c r="D148" s="915"/>
      <c r="E148" s="916"/>
      <c r="F148" s="916"/>
      <c r="G148" s="917"/>
      <c r="H148" s="918"/>
      <c r="I148" s="127"/>
      <c r="J148" s="127"/>
      <c r="K148" s="127"/>
      <c r="L148" s="127"/>
      <c r="M148" s="38"/>
      <c r="N148" s="38"/>
      <c r="O148" s="127"/>
      <c r="P148" s="127"/>
      <c r="BG148" s="379"/>
      <c r="BH148" s="379"/>
      <c r="BI148" s="379"/>
      <c r="BJ148" s="379"/>
      <c r="BK148" s="379"/>
      <c r="BL148" s="379"/>
      <c r="BM148" s="379"/>
      <c r="BN148" s="379"/>
    </row>
    <row r="149" customHeight="1" spans="1:66">
      <c r="A149" s="77"/>
      <c r="B149" s="914"/>
      <c r="C149" s="915"/>
      <c r="D149" s="915"/>
      <c r="E149" s="916"/>
      <c r="F149" s="916"/>
      <c r="G149" s="917"/>
      <c r="H149" s="918"/>
      <c r="I149" s="127"/>
      <c r="J149" s="127"/>
      <c r="K149" s="127"/>
      <c r="L149" s="127"/>
      <c r="M149" s="38"/>
      <c r="N149" s="38"/>
      <c r="O149" s="127"/>
      <c r="P149" s="127"/>
      <c r="BG149" s="379"/>
      <c r="BH149" s="379"/>
      <c r="BI149" s="379"/>
      <c r="BJ149" s="379"/>
      <c r="BK149" s="379"/>
      <c r="BL149" s="379"/>
      <c r="BM149" s="379"/>
      <c r="BN149" s="379"/>
    </row>
    <row r="150" customHeight="1" spans="1:66">
      <c r="A150" s="77"/>
      <c r="B150" s="919"/>
      <c r="C150" s="920"/>
      <c r="D150" s="921"/>
      <c r="E150" s="922"/>
      <c r="F150" s="922"/>
      <c r="G150" s="923"/>
      <c r="H150" s="918"/>
      <c r="I150" s="127"/>
      <c r="J150" s="127"/>
      <c r="K150" s="127"/>
      <c r="L150" s="127"/>
      <c r="M150" s="38"/>
      <c r="N150" s="38"/>
      <c r="O150" s="127"/>
      <c r="P150" s="127"/>
      <c r="BG150" s="379"/>
      <c r="BH150" s="379"/>
      <c r="BI150" s="379"/>
      <c r="BJ150" s="379"/>
      <c r="BK150" s="379"/>
      <c r="BL150" s="379"/>
      <c r="BM150" s="379"/>
      <c r="BN150" s="379"/>
    </row>
    <row r="151" customHeight="1" spans="1:66">
      <c r="A151" s="77"/>
      <c r="B151" s="26"/>
      <c r="C151" s="59"/>
      <c r="D151" s="853"/>
      <c r="E151" s="83"/>
      <c r="F151" s="83"/>
      <c r="G151" s="83"/>
      <c r="H151" s="918"/>
      <c r="I151" s="127"/>
      <c r="J151" s="127"/>
      <c r="K151" s="127"/>
      <c r="L151" s="127"/>
      <c r="M151" s="38"/>
      <c r="N151" s="38"/>
      <c r="O151" s="127"/>
      <c r="P151" s="127"/>
      <c r="BG151" s="379"/>
      <c r="BH151" s="379"/>
      <c r="BI151" s="379"/>
      <c r="BJ151" s="379"/>
      <c r="BK151" s="379"/>
      <c r="BL151" s="379"/>
      <c r="BM151" s="379"/>
      <c r="BN151" s="379"/>
    </row>
    <row r="152" customHeight="1" spans="1:66">
      <c r="A152" s="77"/>
      <c r="H152" s="918"/>
      <c r="I152" s="127"/>
      <c r="J152" s="127"/>
      <c r="K152" s="127"/>
      <c r="L152" s="127"/>
      <c r="M152" s="38"/>
      <c r="N152" s="38"/>
      <c r="O152" s="127"/>
      <c r="P152" s="127"/>
      <c r="BG152" s="379"/>
      <c r="BH152" s="379"/>
      <c r="BI152" s="379"/>
      <c r="BJ152" s="379"/>
      <c r="BK152" s="379"/>
      <c r="BL152" s="379"/>
      <c r="BM152" s="379"/>
      <c r="BN152" s="379"/>
    </row>
    <row r="153" customHeight="1" spans="1:66">
      <c r="A153" s="26"/>
      <c r="H153" s="918"/>
      <c r="I153" s="127"/>
      <c r="J153" s="127"/>
      <c r="K153" s="127"/>
      <c r="L153" s="127"/>
      <c r="M153" s="38"/>
      <c r="N153" s="38"/>
      <c r="O153" s="127"/>
      <c r="P153" s="127"/>
      <c r="BG153" s="379"/>
      <c r="BH153" s="379"/>
      <c r="BI153" s="379"/>
      <c r="BJ153" s="379"/>
      <c r="BK153" s="379"/>
      <c r="BL153" s="379"/>
      <c r="BM153" s="379"/>
      <c r="BN153" s="379"/>
    </row>
    <row r="154" customHeight="1" spans="2:66">
      <c r="B154" s="924" t="s">
        <v>42</v>
      </c>
      <c r="C154" s="925"/>
      <c r="D154" s="926"/>
      <c r="E154" s="927" t="s">
        <v>103</v>
      </c>
      <c r="F154" s="927" t="s">
        <v>104</v>
      </c>
      <c r="G154" s="928" t="s">
        <v>105</v>
      </c>
      <c r="H154" s="918"/>
      <c r="I154" s="127"/>
      <c r="J154" s="127"/>
      <c r="K154" s="127"/>
      <c r="L154" s="127"/>
      <c r="M154" s="38"/>
      <c r="N154" s="38"/>
      <c r="O154" s="127"/>
      <c r="P154" s="127"/>
      <c r="BG154" s="379"/>
      <c r="BH154" s="379"/>
      <c r="BI154" s="379"/>
      <c r="BJ154" s="379"/>
      <c r="BK154" s="379"/>
      <c r="BL154" s="379"/>
      <c r="BM154" s="379"/>
      <c r="BN154" s="379"/>
    </row>
    <row r="155" customHeight="1" spans="1:66">
      <c r="A155" s="26"/>
      <c r="B155" s="929" t="s">
        <v>427</v>
      </c>
      <c r="C155" s="222"/>
      <c r="D155" s="228"/>
      <c r="E155" s="897">
        <f>'36-Mo-Fin-Pr'!P149/'36-Mo-Fin-Pr'!P134</f>
        <v>0.501514892176107</v>
      </c>
      <c r="F155" s="897">
        <f>'36-Mo-Fin-Pr'!P230/'36-Mo-Fin-Pr'!P215</f>
        <v>0.518321873927355</v>
      </c>
      <c r="G155" s="930">
        <f>'36-Mo-Fin-Pr'!P311/'36-Mo-Fin-Pr'!P296</f>
        <v>0.551467280560843</v>
      </c>
      <c r="H155" s="918"/>
      <c r="I155" s="127"/>
      <c r="J155" s="127"/>
      <c r="K155" s="127"/>
      <c r="L155" s="127"/>
      <c r="M155" s="38"/>
      <c r="N155" s="38"/>
      <c r="O155" s="127"/>
      <c r="P155" s="127"/>
      <c r="BG155" s="379"/>
      <c r="BH155" s="379"/>
      <c r="BI155" s="379"/>
      <c r="BJ155" s="379"/>
      <c r="BK155" s="379"/>
      <c r="BL155" s="379"/>
      <c r="BM155" s="379"/>
      <c r="BN155" s="379"/>
    </row>
    <row r="156" customHeight="1" spans="1:66">
      <c r="A156" s="26"/>
      <c r="B156" s="931" t="s">
        <v>428</v>
      </c>
      <c r="C156" s="900"/>
      <c r="D156" s="900"/>
      <c r="E156" s="932"/>
      <c r="F156" s="932"/>
      <c r="G156" s="933"/>
      <c r="H156" s="918"/>
      <c r="I156" s="127"/>
      <c r="J156" s="127"/>
      <c r="K156" s="127"/>
      <c r="L156" s="127"/>
      <c r="M156" s="38"/>
      <c r="N156" s="38"/>
      <c r="O156" s="127"/>
      <c r="P156" s="127"/>
      <c r="BG156" s="379"/>
      <c r="BH156" s="379"/>
      <c r="BI156" s="379"/>
      <c r="BJ156" s="379"/>
      <c r="BK156" s="379"/>
      <c r="BL156" s="379"/>
      <c r="BM156" s="379"/>
      <c r="BN156" s="379"/>
    </row>
    <row r="157" customHeight="1" spans="1:66">
      <c r="A157" s="77"/>
      <c r="B157" s="934"/>
      <c r="C157" s="935"/>
      <c r="D157" s="935"/>
      <c r="E157" s="936"/>
      <c r="F157" s="936"/>
      <c r="G157" s="937"/>
      <c r="H157" s="918"/>
      <c r="I157" s="127"/>
      <c r="J157" s="127"/>
      <c r="K157" s="127"/>
      <c r="L157" s="127"/>
      <c r="M157" s="38"/>
      <c r="N157" s="38"/>
      <c r="O157" s="127"/>
      <c r="P157" s="127"/>
      <c r="BG157" s="379"/>
      <c r="BH157" s="379"/>
      <c r="BI157" s="379"/>
      <c r="BJ157" s="379"/>
      <c r="BK157" s="379"/>
      <c r="BL157" s="379"/>
      <c r="BM157" s="379"/>
      <c r="BN157" s="379"/>
    </row>
    <row r="158" customHeight="1" spans="1:66">
      <c r="A158" s="77"/>
      <c r="B158" s="127"/>
      <c r="C158" s="918"/>
      <c r="D158" s="918"/>
      <c r="E158" s="918"/>
      <c r="F158" s="918"/>
      <c r="G158" s="127"/>
      <c r="H158" s="127"/>
      <c r="I158" s="127"/>
      <c r="J158" s="127"/>
      <c r="K158" s="127"/>
      <c r="L158" s="127"/>
      <c r="M158" s="38"/>
      <c r="N158" s="38"/>
      <c r="O158" s="127"/>
      <c r="P158" s="127"/>
      <c r="BG158" s="379"/>
      <c r="BH158" s="379"/>
      <c r="BI158" s="379"/>
      <c r="BJ158" s="379"/>
      <c r="BK158" s="379"/>
      <c r="BL158" s="379"/>
      <c r="BM158" s="379"/>
      <c r="BN158" s="379"/>
    </row>
    <row r="159" customHeight="1" spans="1:66">
      <c r="A159" s="26"/>
      <c r="B159" s="127"/>
      <c r="C159" s="127"/>
      <c r="D159" s="127"/>
      <c r="E159" s="127"/>
      <c r="F159" s="127"/>
      <c r="G159" s="127"/>
      <c r="H159" s="127"/>
      <c r="I159" s="127"/>
      <c r="J159" s="127"/>
      <c r="K159" s="127"/>
      <c r="L159" s="127"/>
      <c r="M159" s="38"/>
      <c r="N159" s="38"/>
      <c r="O159" s="127"/>
      <c r="P159" s="127"/>
      <c r="BG159" s="379"/>
      <c r="BH159" s="379"/>
      <c r="BI159" s="379"/>
      <c r="BJ159" s="379"/>
      <c r="BK159" s="379"/>
      <c r="BL159" s="379"/>
      <c r="BM159" s="379"/>
      <c r="BN159" s="379"/>
    </row>
    <row r="160" customHeight="1" spans="2:66">
      <c r="B160" s="127"/>
      <c r="C160" s="127"/>
      <c r="D160" s="127"/>
      <c r="E160" s="127"/>
      <c r="F160" s="127"/>
      <c r="G160" s="127"/>
      <c r="H160" s="127"/>
      <c r="I160" s="127"/>
      <c r="J160" s="127"/>
      <c r="K160" s="127"/>
      <c r="L160" s="127"/>
      <c r="M160" s="38"/>
      <c r="N160" s="38"/>
      <c r="O160" s="127"/>
      <c r="P160" s="127"/>
      <c r="BG160" s="379"/>
      <c r="BH160" s="379"/>
      <c r="BI160" s="379"/>
      <c r="BJ160" s="379"/>
      <c r="BK160" s="379"/>
      <c r="BL160" s="379"/>
      <c r="BM160" s="379"/>
      <c r="BN160" s="379"/>
    </row>
    <row r="161" customHeight="1" spans="1:24">
      <c r="A161" s="77"/>
      <c r="B161" s="26"/>
      <c r="C161" s="26"/>
      <c r="D161" s="26"/>
      <c r="E161" s="26"/>
      <c r="F161" s="26"/>
      <c r="G161" s="26"/>
      <c r="H161" s="26"/>
      <c r="I161" s="26"/>
      <c r="J161" s="127"/>
      <c r="K161" s="127"/>
      <c r="L161" s="127"/>
      <c r="M161" s="127"/>
      <c r="N161" s="127"/>
      <c r="O161" s="127"/>
      <c r="P161" s="127"/>
      <c r="Q161" s="127"/>
      <c r="R161" s="127"/>
      <c r="S161" s="127"/>
      <c r="T161" s="127"/>
      <c r="U161" s="38"/>
      <c r="V161" s="38"/>
      <c r="W161" s="127"/>
      <c r="X161" s="127"/>
    </row>
    <row r="162" customHeight="1" spans="1:24">
      <c r="A162" s="77"/>
      <c r="B162" s="26"/>
      <c r="C162" s="26"/>
      <c r="D162" s="26"/>
      <c r="E162" s="26"/>
      <c r="F162" s="26"/>
      <c r="G162" s="26"/>
      <c r="H162" s="26"/>
      <c r="I162" s="26"/>
      <c r="J162" s="127"/>
      <c r="K162" s="127"/>
      <c r="L162" s="127"/>
      <c r="M162" s="127"/>
      <c r="N162" s="127"/>
      <c r="O162" s="127"/>
      <c r="P162" s="127"/>
      <c r="Q162" s="127"/>
      <c r="R162" s="127"/>
      <c r="S162" s="127"/>
      <c r="T162" s="127"/>
      <c r="U162" s="38"/>
      <c r="V162" s="38"/>
      <c r="W162" s="127"/>
      <c r="X162" s="127"/>
    </row>
    <row r="163" customHeight="1" spans="1:24">
      <c r="A163" s="77"/>
      <c r="B163" s="26"/>
      <c r="C163" s="26"/>
      <c r="D163" s="26"/>
      <c r="E163" s="26"/>
      <c r="F163" s="26"/>
      <c r="G163" s="26"/>
      <c r="H163" s="26"/>
      <c r="I163" s="26"/>
      <c r="J163" s="127"/>
      <c r="K163" s="127"/>
      <c r="L163" s="127"/>
      <c r="M163" s="127"/>
      <c r="N163" s="127"/>
      <c r="O163" s="127"/>
      <c r="P163" s="127"/>
      <c r="Q163" s="127"/>
      <c r="R163" s="127"/>
      <c r="S163" s="127"/>
      <c r="T163" s="127"/>
      <c r="U163" s="38"/>
      <c r="V163" s="38"/>
      <c r="W163" s="127"/>
      <c r="X163" s="127"/>
    </row>
    <row r="164" customHeight="1" spans="1:24">
      <c r="A164" s="77"/>
      <c r="B164" s="26"/>
      <c r="C164" s="26"/>
      <c r="D164" s="26"/>
      <c r="E164" s="26"/>
      <c r="F164" s="26"/>
      <c r="G164" s="26"/>
      <c r="H164" s="26"/>
      <c r="I164" s="26"/>
      <c r="J164" s="127"/>
      <c r="K164" s="127"/>
      <c r="L164" s="127"/>
      <c r="M164" s="127"/>
      <c r="N164" s="127"/>
      <c r="O164" s="127"/>
      <c r="P164" s="127"/>
      <c r="Q164" s="127"/>
      <c r="R164" s="127"/>
      <c r="S164" s="127"/>
      <c r="T164" s="127"/>
      <c r="U164" s="38"/>
      <c r="V164" s="38"/>
      <c r="W164" s="127"/>
      <c r="X164" s="127"/>
    </row>
    <row r="165" customHeight="1" spans="1:24">
      <c r="A165" s="83"/>
      <c r="B165" s="228"/>
      <c r="C165" s="291"/>
      <c r="D165" s="938"/>
      <c r="E165" s="159"/>
      <c r="F165" s="199"/>
      <c r="G165" s="159"/>
      <c r="H165" s="159"/>
      <c r="I165" s="291"/>
      <c r="J165" s="38"/>
      <c r="K165" s="975"/>
      <c r="L165" s="975"/>
      <c r="M165" s="38"/>
      <c r="N165" s="38"/>
      <c r="O165" s="38"/>
      <c r="P165" s="975"/>
      <c r="Q165" s="38"/>
      <c r="R165" s="38"/>
      <c r="S165" s="38"/>
      <c r="T165" s="38"/>
      <c r="U165" s="38"/>
      <c r="V165" s="977"/>
      <c r="W165" s="977"/>
      <c r="X165" s="127"/>
    </row>
    <row r="166" customHeight="1" spans="1:24">
      <c r="A166" s="83"/>
      <c r="B166" s="228"/>
      <c r="C166" s="291"/>
      <c r="D166" s="938"/>
      <c r="E166" s="159"/>
      <c r="F166" s="199"/>
      <c r="G166" s="159"/>
      <c r="H166" s="159"/>
      <c r="I166" s="291"/>
      <c r="J166" s="38"/>
      <c r="K166" s="975"/>
      <c r="L166" s="975"/>
      <c r="M166" s="38"/>
      <c r="N166" s="38"/>
      <c r="O166" s="38"/>
      <c r="P166" s="38"/>
      <c r="Q166" s="38"/>
      <c r="R166" s="38"/>
      <c r="S166" s="38"/>
      <c r="T166" s="38"/>
      <c r="U166" s="38"/>
      <c r="V166" s="977"/>
      <c r="W166" s="977"/>
      <c r="X166" s="127"/>
    </row>
    <row r="167" customHeight="1" spans="1:24">
      <c r="A167" s="83"/>
      <c r="B167" s="228"/>
      <c r="C167" s="291"/>
      <c r="D167" s="938"/>
      <c r="E167" s="159"/>
      <c r="F167" s="199"/>
      <c r="G167" s="159"/>
      <c r="H167" s="159"/>
      <c r="I167" s="291"/>
      <c r="J167" s="38"/>
      <c r="K167" s="975"/>
      <c r="L167" s="975"/>
      <c r="M167" s="38"/>
      <c r="N167" s="38"/>
      <c r="O167" s="38"/>
      <c r="P167" s="38"/>
      <c r="Q167" s="38"/>
      <c r="R167" s="38"/>
      <c r="S167" s="38"/>
      <c r="T167" s="38"/>
      <c r="U167" s="38"/>
      <c r="V167" s="977"/>
      <c r="W167" s="977"/>
      <c r="X167" s="127"/>
    </row>
    <row r="168" customHeight="1" spans="1:24">
      <c r="A168" s="83"/>
      <c r="B168" s="228"/>
      <c r="C168" s="291"/>
      <c r="D168" s="938"/>
      <c r="E168" s="159"/>
      <c r="F168" s="199"/>
      <c r="G168" s="159"/>
      <c r="H168" s="159"/>
      <c r="I168" s="291"/>
      <c r="J168" s="38"/>
      <c r="K168" s="38"/>
      <c r="L168" s="291"/>
      <c r="M168" s="38"/>
      <c r="N168" s="38"/>
      <c r="O168" s="38"/>
      <c r="P168" s="38"/>
      <c r="Q168" s="38"/>
      <c r="R168" s="38"/>
      <c r="S168" s="38"/>
      <c r="T168" s="38"/>
      <c r="U168" s="38"/>
      <c r="V168" s="977"/>
      <c r="W168" s="977"/>
      <c r="X168" s="127"/>
    </row>
    <row r="169" customHeight="1" spans="1:24">
      <c r="A169" s="83"/>
      <c r="B169" s="38"/>
      <c r="C169" s="38"/>
      <c r="D169" s="222"/>
      <c r="E169" s="128"/>
      <c r="F169" s="83"/>
      <c r="G169" s="83"/>
      <c r="H169" s="83"/>
      <c r="I169" s="38"/>
      <c r="J169" s="38"/>
      <c r="K169" s="38"/>
      <c r="L169" s="38"/>
      <c r="M169" s="38"/>
      <c r="N169" s="38"/>
      <c r="O169" s="38"/>
      <c r="P169" s="38"/>
      <c r="Q169" s="38"/>
      <c r="R169" s="38"/>
      <c r="S169" s="38"/>
      <c r="T169" s="38"/>
      <c r="U169" s="38"/>
      <c r="V169" s="977"/>
      <c r="W169" s="977"/>
      <c r="X169" s="127"/>
    </row>
    <row r="170" ht="15.75" spans="1:24">
      <c r="A170" s="939">
        <v>4</v>
      </c>
      <c r="B170" s="940" t="s">
        <v>62</v>
      </c>
      <c r="C170" s="940"/>
      <c r="D170" s="38"/>
      <c r="E170" s="222"/>
      <c r="F170" s="128"/>
      <c r="G170" s="83"/>
      <c r="H170" s="83"/>
      <c r="I170" s="83"/>
      <c r="J170" s="38"/>
      <c r="K170" s="38"/>
      <c r="L170" s="38"/>
      <c r="M170" s="38"/>
      <c r="N170" s="38"/>
      <c r="O170" s="38"/>
      <c r="P170" s="38"/>
      <c r="Q170" s="38"/>
      <c r="R170" s="38"/>
      <c r="S170" s="38"/>
      <c r="T170" s="38"/>
      <c r="U170" s="38"/>
      <c r="V170" s="977"/>
      <c r="W170" s="977"/>
      <c r="X170" s="127"/>
    </row>
    <row r="171" customHeight="1" spans="1:24">
      <c r="A171" s="83"/>
      <c r="B171" s="83"/>
      <c r="C171" s="38"/>
      <c r="D171" s="38"/>
      <c r="E171" s="222"/>
      <c r="F171" s="128"/>
      <c r="G171" s="77"/>
      <c r="H171" s="83"/>
      <c r="I171" s="83"/>
      <c r="J171" s="38"/>
      <c r="K171" s="38"/>
      <c r="L171" s="38"/>
      <c r="M171" s="178"/>
      <c r="N171" s="38"/>
      <c r="O171" s="38"/>
      <c r="P171" s="38"/>
      <c r="Q171" s="38"/>
      <c r="R171" s="38"/>
      <c r="S171" s="38"/>
      <c r="T171" s="38"/>
      <c r="U171" s="38"/>
      <c r="V171" s="977"/>
      <c r="W171" s="977"/>
      <c r="X171" s="127"/>
    </row>
    <row r="172" customHeight="1" spans="1:24">
      <c r="A172" s="83"/>
      <c r="B172" s="38"/>
      <c r="C172" s="941"/>
      <c r="D172" s="942" t="s">
        <v>103</v>
      </c>
      <c r="E172" s="942" t="s">
        <v>104</v>
      </c>
      <c r="F172" s="942" t="s">
        <v>105</v>
      </c>
      <c r="G172" s="943" t="s">
        <v>106</v>
      </c>
      <c r="H172" s="38"/>
      <c r="I172" s="976"/>
      <c r="J172" s="38"/>
      <c r="K172" s="38"/>
      <c r="L172" s="38"/>
      <c r="M172" s="38"/>
      <c r="N172" s="38"/>
      <c r="O172" s="38"/>
      <c r="P172" s="38"/>
      <c r="Q172" s="38"/>
      <c r="R172" s="38"/>
      <c r="S172" s="38"/>
      <c r="T172" s="38"/>
      <c r="U172" s="38"/>
      <c r="V172" s="977"/>
      <c r="W172" s="977"/>
      <c r="X172" s="127"/>
    </row>
    <row r="173" customHeight="1" spans="1:66">
      <c r="A173" s="83"/>
      <c r="B173" s="38"/>
      <c r="C173" s="944" t="s">
        <v>320</v>
      </c>
      <c r="D173" s="945">
        <f>'36-Mo-Fin-Pr'!P134</f>
        <v>978226.713410561</v>
      </c>
      <c r="E173" s="945">
        <f>'36-Mo-Fin-Pr'!P215</f>
        <v>1033472.24250639</v>
      </c>
      <c r="F173" s="945">
        <f>'36-Mo-Fin-Pr'!P296</f>
        <v>1139147.2991682</v>
      </c>
      <c r="G173" s="946">
        <f>SUM(D173:F173)</f>
        <v>3150846.25508516</v>
      </c>
      <c r="H173" s="38"/>
      <c r="I173" s="976"/>
      <c r="J173" s="38"/>
      <c r="K173" s="38"/>
      <c r="L173" s="38"/>
      <c r="M173" s="38"/>
      <c r="N173" s="38"/>
      <c r="O173" s="38"/>
      <c r="P173" s="977"/>
      <c r="Q173" s="977"/>
      <c r="R173" s="127"/>
      <c r="BI173" s="379"/>
      <c r="BJ173" s="379"/>
      <c r="BK173" s="379"/>
      <c r="BL173" s="379"/>
      <c r="BM173" s="379"/>
      <c r="BN173" s="379"/>
    </row>
    <row r="174" customHeight="1" spans="2:66">
      <c r="B174" s="38"/>
      <c r="C174" s="947" t="s">
        <v>321</v>
      </c>
      <c r="D174" s="948">
        <f>'36-Mo-Fin-Pr'!P135</f>
        <v>207075.200531422</v>
      </c>
      <c r="E174" s="948">
        <f>'36-Mo-Fin-Pr'!P216</f>
        <v>219079.724939319</v>
      </c>
      <c r="F174" s="948">
        <f>'36-Mo-Fin-Pr'!P297</f>
        <v>246990.837758431</v>
      </c>
      <c r="G174" s="949">
        <f>SUM(D174:F174)</f>
        <v>673145.763229172</v>
      </c>
      <c r="H174" s="38"/>
      <c r="I174" s="976"/>
      <c r="J174" s="38"/>
      <c r="K174" s="38"/>
      <c r="L174" s="38"/>
      <c r="M174" s="38"/>
      <c r="N174" s="38"/>
      <c r="O174" s="38"/>
      <c r="P174" s="38"/>
      <c r="Q174" s="127"/>
      <c r="R174" s="127"/>
      <c r="BI174" s="379"/>
      <c r="BJ174" s="379"/>
      <c r="BK174" s="379"/>
      <c r="BL174" s="379"/>
      <c r="BM174" s="379"/>
      <c r="BN174" s="379"/>
    </row>
    <row r="175" customHeight="1" spans="1:66">
      <c r="A175" s="950"/>
      <c r="B175" s="38"/>
      <c r="C175" s="951" t="s">
        <v>429</v>
      </c>
      <c r="D175" s="952">
        <f>'36-Mo-Fin-Pr'!P136</f>
        <v>771151.512879139</v>
      </c>
      <c r="E175" s="952">
        <f>'36-Mo-Fin-Pr'!P217</f>
        <v>814392.517567073</v>
      </c>
      <c r="F175" s="952">
        <f>'36-Mo-Fin-Pr'!P298</f>
        <v>892156.461409772</v>
      </c>
      <c r="G175" s="953">
        <f>SUM(D175:F175)</f>
        <v>2477700.49185598</v>
      </c>
      <c r="H175" s="954"/>
      <c r="I175" s="976"/>
      <c r="J175" s="38"/>
      <c r="K175" s="38"/>
      <c r="L175" s="38"/>
      <c r="M175" s="38"/>
      <c r="N175" s="38"/>
      <c r="O175" s="38"/>
      <c r="P175" s="38"/>
      <c r="Q175" s="127"/>
      <c r="R175" s="127"/>
      <c r="BI175" s="379"/>
      <c r="BJ175" s="379"/>
      <c r="BK175" s="379"/>
      <c r="BL175" s="379"/>
      <c r="BM175" s="379"/>
      <c r="BN175" s="379"/>
    </row>
    <row r="176" customHeight="1" spans="1:66">
      <c r="A176" s="950"/>
      <c r="B176" s="954"/>
      <c r="J176" s="38"/>
      <c r="K176" s="38"/>
      <c r="L176" s="38"/>
      <c r="M176" s="38"/>
      <c r="N176" s="38"/>
      <c r="O176" s="38"/>
      <c r="P176" s="38"/>
      <c r="Q176" s="127"/>
      <c r="R176" s="127"/>
      <c r="BI176" s="379"/>
      <c r="BJ176" s="379"/>
      <c r="BK176" s="379"/>
      <c r="BL176" s="379"/>
      <c r="BM176" s="379"/>
      <c r="BN176" s="379"/>
    </row>
    <row r="177" customHeight="1" spans="1:66">
      <c r="A177" s="950"/>
      <c r="B177" s="200"/>
      <c r="D177" s="955"/>
      <c r="E177" s="956" t="s">
        <v>103</v>
      </c>
      <c r="F177" s="956" t="s">
        <v>104</v>
      </c>
      <c r="G177" s="956" t="s">
        <v>105</v>
      </c>
      <c r="H177" s="957" t="s">
        <v>106</v>
      </c>
      <c r="I177" s="200"/>
      <c r="J177" s="38"/>
      <c r="K177" s="38"/>
      <c r="L177" s="38"/>
      <c r="M177" s="38"/>
      <c r="N177" s="38"/>
      <c r="O177" s="38"/>
      <c r="P177" s="38"/>
      <c r="Q177" s="127"/>
      <c r="R177" s="127"/>
      <c r="BI177" s="379"/>
      <c r="BJ177" s="379"/>
      <c r="BK177" s="379"/>
      <c r="BL177" s="379"/>
      <c r="BM177" s="379"/>
      <c r="BN177" s="379"/>
    </row>
    <row r="178" customHeight="1" spans="2:66">
      <c r="B178" s="200"/>
      <c r="C178" s="958"/>
      <c r="D178" s="959" t="s">
        <v>430</v>
      </c>
      <c r="E178" s="960">
        <f>'36-Mo-Fin-Pr'!P149</f>
        <v>490595.264699885</v>
      </c>
      <c r="F178" s="960">
        <f>'36-Mo-Fin-Pr'!P230</f>
        <v>535671.269387819</v>
      </c>
      <c r="G178" s="960">
        <f>'36-Mo-Fin-Pr'!P311</f>
        <v>628202.463230518</v>
      </c>
      <c r="H178" s="961">
        <f>SUM(E178:G178)</f>
        <v>1654468.99731822</v>
      </c>
      <c r="J178" s="38"/>
      <c r="K178" s="38"/>
      <c r="L178" s="38"/>
      <c r="M178" s="38"/>
      <c r="N178" s="38"/>
      <c r="O178" s="38"/>
      <c r="P178" s="38"/>
      <c r="Q178" s="38"/>
      <c r="R178" s="127"/>
      <c r="S178" s="127"/>
      <c r="BJ178" s="379"/>
      <c r="BK178" s="379"/>
      <c r="BL178" s="379"/>
      <c r="BM178" s="379"/>
      <c r="BN178" s="379"/>
    </row>
    <row r="179" customHeight="1" spans="2:66">
      <c r="B179" s="200"/>
      <c r="D179" s="962" t="s">
        <v>337</v>
      </c>
      <c r="E179" s="963">
        <f>'36-Mo-Fin-Pr'!P146</f>
        <v>280556.248179254</v>
      </c>
      <c r="F179" s="963">
        <f>'36-Mo-Fin-Pr'!P227</f>
        <v>278721.248179254</v>
      </c>
      <c r="G179" s="963">
        <f>'36-Mo-Fin-Pr'!P308</f>
        <v>263953.998179254</v>
      </c>
      <c r="H179" s="964">
        <f>SUM(E179:G179)</f>
        <v>823231.494537763</v>
      </c>
      <c r="J179" s="38"/>
      <c r="K179" s="38"/>
      <c r="L179" s="38"/>
      <c r="M179" s="38"/>
      <c r="N179" s="38"/>
      <c r="O179" s="38"/>
      <c r="P179" s="38"/>
      <c r="Q179" s="38"/>
      <c r="R179" s="127"/>
      <c r="S179" s="127"/>
      <c r="BJ179" s="379"/>
      <c r="BK179" s="379"/>
      <c r="BL179" s="379"/>
      <c r="BM179" s="379"/>
      <c r="BN179" s="379"/>
    </row>
    <row r="180" customHeight="1" spans="2:66">
      <c r="B180" s="200"/>
      <c r="J180" s="38"/>
      <c r="K180" s="38"/>
      <c r="L180" s="38"/>
      <c r="M180" s="38"/>
      <c r="N180" s="38"/>
      <c r="O180" s="38"/>
      <c r="P180" s="38"/>
      <c r="Q180" s="26"/>
      <c r="R180" s="26"/>
      <c r="S180" s="127"/>
      <c r="BJ180" s="379"/>
      <c r="BK180" s="379"/>
      <c r="BL180" s="379"/>
      <c r="BM180" s="379"/>
      <c r="BN180" s="379"/>
    </row>
    <row r="181" customHeight="1" spans="2:66">
      <c r="B181" s="38"/>
      <c r="E181" s="955"/>
      <c r="F181" s="942" t="s">
        <v>103</v>
      </c>
      <c r="G181" s="942" t="s">
        <v>104</v>
      </c>
      <c r="H181" s="942" t="s">
        <v>105</v>
      </c>
      <c r="I181" s="943" t="s">
        <v>106</v>
      </c>
      <c r="J181" s="38"/>
      <c r="K181" s="38"/>
      <c r="L181" s="38"/>
      <c r="M181" s="38"/>
      <c r="N181" s="38"/>
      <c r="O181" s="38"/>
      <c r="P181" s="38"/>
      <c r="Q181" s="26"/>
      <c r="R181" s="26"/>
      <c r="S181" s="127"/>
      <c r="BJ181" s="379"/>
      <c r="BK181" s="379"/>
      <c r="BL181" s="379"/>
      <c r="BM181" s="379"/>
      <c r="BN181" s="379"/>
    </row>
    <row r="182" customHeight="1" spans="2:66">
      <c r="B182" s="38"/>
      <c r="E182" s="965" t="s">
        <v>431</v>
      </c>
      <c r="F182" s="966">
        <f>'36-Mo-Fin-Pr'!C67</f>
        <v>86900</v>
      </c>
      <c r="G182" s="966">
        <f>'36-Mo-Fin-Pr'!D67</f>
        <v>72790</v>
      </c>
      <c r="H182" s="966">
        <f>'36-Mo-Fin-Pr'!E67</f>
        <v>61409</v>
      </c>
      <c r="I182" s="978">
        <f>SUM(F182:H182)</f>
        <v>221099</v>
      </c>
      <c r="J182" s="38"/>
      <c r="K182" s="38"/>
      <c r="L182" s="38"/>
      <c r="M182" s="38"/>
      <c r="N182" s="38"/>
      <c r="O182" s="38"/>
      <c r="P182" s="38"/>
      <c r="Q182" s="38"/>
      <c r="R182" s="127"/>
      <c r="S182" s="127"/>
      <c r="BJ182" s="379"/>
      <c r="BK182" s="379"/>
      <c r="BL182" s="379"/>
      <c r="BM182" s="379"/>
      <c r="BN182" s="379"/>
    </row>
    <row r="183" customHeight="1" spans="2:66">
      <c r="B183" s="38"/>
      <c r="C183" s="958"/>
      <c r="D183" s="967"/>
      <c r="E183" s="968" t="s">
        <v>432</v>
      </c>
      <c r="F183" s="969">
        <f>'36-Mo-Fin-Pr'!C65</f>
        <v>84000</v>
      </c>
      <c r="G183" s="969">
        <f>'36-Mo-Fin-Pr'!D65</f>
        <v>80000</v>
      </c>
      <c r="H183" s="969">
        <f>'36-Mo-Fin-Pr'!E65</f>
        <v>76640</v>
      </c>
      <c r="I183" s="979">
        <f>SUM(F183:H183)</f>
        <v>240640</v>
      </c>
      <c r="J183" s="38"/>
      <c r="K183" s="38"/>
      <c r="L183" s="38"/>
      <c r="M183" s="38"/>
      <c r="N183" s="38"/>
      <c r="O183" s="38"/>
      <c r="P183" s="38"/>
      <c r="Q183" s="38"/>
      <c r="R183" s="127"/>
      <c r="S183" s="127"/>
      <c r="BJ183" s="379"/>
      <c r="BK183" s="379"/>
      <c r="BL183" s="379"/>
      <c r="BM183" s="379"/>
      <c r="BN183" s="379"/>
    </row>
    <row r="184" customHeight="1" spans="2:66">
      <c r="B184" s="38"/>
      <c r="E184" s="962" t="s">
        <v>433</v>
      </c>
      <c r="F184" s="970">
        <f>E179-F182-F183+'36-Mo-Fin-Pr'!P148</f>
        <v>117156.248179254</v>
      </c>
      <c r="G184" s="970">
        <f>F179-G182-G183+'36-Mo-Fin-Pr'!P229</f>
        <v>140181.248179254</v>
      </c>
      <c r="H184" s="970">
        <f>G179-H182-H183+'36-Mo-Fin-Pr'!P310</f>
        <v>138729.998179254</v>
      </c>
      <c r="I184" s="980">
        <f>SUM(F184:H184)</f>
        <v>396067.494537763</v>
      </c>
      <c r="J184" s="38"/>
      <c r="K184" s="38"/>
      <c r="L184" s="38"/>
      <c r="M184" s="38"/>
      <c r="N184" s="38"/>
      <c r="O184" s="38"/>
      <c r="P184" s="38"/>
      <c r="Q184" s="38"/>
      <c r="R184" s="127"/>
      <c r="S184" s="127"/>
      <c r="BJ184" s="379"/>
      <c r="BK184" s="379"/>
      <c r="BL184" s="379"/>
      <c r="BM184" s="379"/>
      <c r="BN184" s="379"/>
    </row>
    <row r="185" customHeight="1" spans="2:66">
      <c r="B185" s="38"/>
      <c r="C185" s="38"/>
      <c r="D185" s="83"/>
      <c r="E185" s="38"/>
      <c r="F185" s="38"/>
      <c r="G185" s="38"/>
      <c r="H185" s="38"/>
      <c r="I185" s="38"/>
      <c r="J185" s="38"/>
      <c r="K185" s="38"/>
      <c r="L185" s="38"/>
      <c r="M185" s="38"/>
      <c r="N185" s="38"/>
      <c r="O185" s="38"/>
      <c r="P185" s="38"/>
      <c r="Q185" s="38"/>
      <c r="R185" s="127"/>
      <c r="S185" s="127"/>
      <c r="BJ185" s="379"/>
      <c r="BK185" s="379"/>
      <c r="BL185" s="379"/>
      <c r="BM185" s="379"/>
      <c r="BN185" s="379"/>
    </row>
    <row r="186" customHeight="1" spans="2:66">
      <c r="B186" s="38"/>
      <c r="C186" s="38"/>
      <c r="D186" s="83"/>
      <c r="E186" s="38"/>
      <c r="F186" s="38"/>
      <c r="G186" s="38"/>
      <c r="H186" s="38"/>
      <c r="I186" s="38"/>
      <c r="J186" s="38"/>
      <c r="K186" s="38"/>
      <c r="L186" s="38"/>
      <c r="M186" s="38"/>
      <c r="N186" s="38"/>
      <c r="O186" s="38"/>
      <c r="P186" s="38"/>
      <c r="Q186" s="38"/>
      <c r="R186" s="127"/>
      <c r="S186" s="127"/>
      <c r="BJ186" s="379"/>
      <c r="BK186" s="379"/>
      <c r="BL186" s="379"/>
      <c r="BM186" s="379"/>
      <c r="BN186" s="379"/>
    </row>
    <row r="187" customHeight="1" spans="2:66">
      <c r="B187" s="38"/>
      <c r="C187" s="38"/>
      <c r="D187" s="83"/>
      <c r="E187" s="38"/>
      <c r="F187" s="38"/>
      <c r="G187" s="38"/>
      <c r="H187" s="38"/>
      <c r="I187" s="38"/>
      <c r="J187" s="38"/>
      <c r="K187" s="38"/>
      <c r="L187" s="38"/>
      <c r="M187" s="38"/>
      <c r="N187" s="38"/>
      <c r="O187" s="38"/>
      <c r="P187" s="38"/>
      <c r="Q187" s="38"/>
      <c r="R187" s="127"/>
      <c r="S187" s="127"/>
      <c r="BJ187" s="379"/>
      <c r="BK187" s="379"/>
      <c r="BL187" s="379"/>
      <c r="BM187" s="379"/>
      <c r="BN187" s="379"/>
    </row>
    <row r="188" customHeight="1" spans="2:66">
      <c r="B188" s="38"/>
      <c r="C188" s="38"/>
      <c r="D188" s="38"/>
      <c r="E188" s="38"/>
      <c r="F188" s="38"/>
      <c r="G188" s="38"/>
      <c r="H188" s="38"/>
      <c r="I188" s="38"/>
      <c r="J188" s="38"/>
      <c r="K188" s="38"/>
      <c r="L188" s="38"/>
      <c r="M188" s="38"/>
      <c r="N188" s="38"/>
      <c r="O188" s="38"/>
      <c r="P188" s="38"/>
      <c r="Q188" s="38"/>
      <c r="R188" s="127"/>
      <c r="S188" s="127"/>
      <c r="BJ188" s="379"/>
      <c r="BK188" s="379"/>
      <c r="BL188" s="379"/>
      <c r="BM188" s="379"/>
      <c r="BN188" s="379"/>
    </row>
    <row r="189" customHeight="1" spans="2:66">
      <c r="B189" s="38"/>
      <c r="C189" s="971"/>
      <c r="D189" s="38"/>
      <c r="E189" s="38"/>
      <c r="F189" s="38"/>
      <c r="G189" s="291"/>
      <c r="H189" s="38"/>
      <c r="I189" s="38"/>
      <c r="J189" s="38"/>
      <c r="K189" s="38"/>
      <c r="L189" s="38"/>
      <c r="M189" s="38"/>
      <c r="N189" s="38"/>
      <c r="O189" s="38"/>
      <c r="P189" s="38"/>
      <c r="Q189" s="38"/>
      <c r="R189" s="127"/>
      <c r="S189" s="127"/>
      <c r="BJ189" s="379"/>
      <c r="BK189" s="379"/>
      <c r="BL189" s="379"/>
      <c r="BM189" s="379"/>
      <c r="BN189" s="379"/>
    </row>
    <row r="190" customHeight="1" spans="2:67">
      <c r="B190" s="125"/>
      <c r="C190" s="291"/>
      <c r="D190" s="38"/>
      <c r="E190" s="83"/>
      <c r="F190" s="38"/>
      <c r="G190" s="972"/>
      <c r="H190" s="38"/>
      <c r="I190" s="38"/>
      <c r="J190" s="38"/>
      <c r="K190" s="38"/>
      <c r="L190" s="38"/>
      <c r="M190" s="38"/>
      <c r="N190" s="38"/>
      <c r="O190" s="291"/>
      <c r="P190" s="38"/>
      <c r="Q190" s="38"/>
      <c r="R190" s="38"/>
      <c r="S190" s="38"/>
      <c r="T190" s="38"/>
      <c r="U190" s="38"/>
      <c r="V190" s="38"/>
      <c r="W190" s="38"/>
      <c r="X190" s="127"/>
      <c r="Y190" s="127"/>
      <c r="BO190" s="676"/>
    </row>
    <row r="191" customHeight="1" spans="2:67">
      <c r="B191" s="291"/>
      <c r="C191" s="291"/>
      <c r="D191" s="38"/>
      <c r="E191" s="83"/>
      <c r="F191" s="38"/>
      <c r="G191" s="972"/>
      <c r="H191" s="38"/>
      <c r="I191" s="38"/>
      <c r="J191" s="38"/>
      <c r="K191" s="38"/>
      <c r="L191" s="38"/>
      <c r="M191" s="38"/>
      <c r="N191" s="38"/>
      <c r="O191" s="291"/>
      <c r="P191" s="38"/>
      <c r="Q191" s="38"/>
      <c r="R191" s="38"/>
      <c r="S191" s="38"/>
      <c r="T191" s="38"/>
      <c r="U191" s="38"/>
      <c r="V191" s="38"/>
      <c r="W191" s="38"/>
      <c r="X191" s="127"/>
      <c r="Y191" s="127"/>
      <c r="BO191" s="676"/>
    </row>
    <row r="192" customHeight="1" spans="2:67">
      <c r="B192" s="125"/>
      <c r="C192" s="291"/>
      <c r="D192" s="38"/>
      <c r="E192" s="83"/>
      <c r="F192" s="38"/>
      <c r="G192" s="973"/>
      <c r="H192" s="38"/>
      <c r="I192" s="38"/>
      <c r="J192" s="38"/>
      <c r="K192" s="38"/>
      <c r="L192" s="38"/>
      <c r="M192" s="38"/>
      <c r="N192" s="38"/>
      <c r="O192" s="291"/>
      <c r="P192" s="38"/>
      <c r="Q192" s="38"/>
      <c r="R192" s="38"/>
      <c r="S192" s="38"/>
      <c r="T192" s="38"/>
      <c r="U192" s="38"/>
      <c r="V192" s="38"/>
      <c r="W192" s="38"/>
      <c r="X192" s="127"/>
      <c r="Y192" s="127"/>
      <c r="BO192" s="676"/>
    </row>
    <row r="193" customHeight="1" spans="2:67">
      <c r="B193" s="38"/>
      <c r="C193" s="38"/>
      <c r="D193" s="38"/>
      <c r="E193" s="38"/>
      <c r="F193" s="38"/>
      <c r="G193" s="973"/>
      <c r="H193" s="38"/>
      <c r="I193" s="38"/>
      <c r="J193" s="38"/>
      <c r="K193" s="38"/>
      <c r="L193" s="38"/>
      <c r="M193" s="38"/>
      <c r="N193" s="38"/>
      <c r="O193" s="38"/>
      <c r="P193" s="38"/>
      <c r="Q193" s="38"/>
      <c r="R193" s="38"/>
      <c r="S193" s="38"/>
      <c r="T193" s="38"/>
      <c r="U193" s="38"/>
      <c r="V193" s="38"/>
      <c r="W193" s="38"/>
      <c r="X193" s="127"/>
      <c r="Y193" s="127"/>
      <c r="BO193" s="676"/>
    </row>
    <row r="194" customHeight="1" spans="2:67">
      <c r="B194" s="291"/>
      <c r="C194" s="38"/>
      <c r="D194" s="38"/>
      <c r="E194" s="38"/>
      <c r="F194" s="38"/>
      <c r="G194" s="38"/>
      <c r="H194" s="38"/>
      <c r="I194" s="38"/>
      <c r="J194" s="38"/>
      <c r="K194" s="38"/>
      <c r="L194" s="38"/>
      <c r="M194" s="38"/>
      <c r="N194" s="38"/>
      <c r="O194" s="38"/>
      <c r="P194" s="38"/>
      <c r="Q194" s="38"/>
      <c r="R194" s="38"/>
      <c r="S194" s="38"/>
      <c r="T194" s="38"/>
      <c r="U194" s="38"/>
      <c r="V194" s="38"/>
      <c r="W194" s="38"/>
      <c r="X194" s="127"/>
      <c r="Y194" s="127"/>
      <c r="BO194" s="676"/>
    </row>
    <row r="195" customHeight="1" spans="2:67">
      <c r="B195" s="291"/>
      <c r="C195" s="38"/>
      <c r="D195" s="38"/>
      <c r="E195" s="38"/>
      <c r="F195" s="38"/>
      <c r="G195" s="38"/>
      <c r="H195" s="38"/>
      <c r="I195" s="38"/>
      <c r="J195" s="38"/>
      <c r="K195" s="38"/>
      <c r="L195" s="38"/>
      <c r="M195" s="38"/>
      <c r="N195" s="38"/>
      <c r="O195" s="38"/>
      <c r="P195" s="38"/>
      <c r="Q195" s="38"/>
      <c r="R195" s="38"/>
      <c r="S195" s="38"/>
      <c r="T195" s="38"/>
      <c r="U195" s="38"/>
      <c r="V195" s="38"/>
      <c r="W195" s="38"/>
      <c r="X195" s="127"/>
      <c r="Y195" s="127"/>
      <c r="BO195" s="676"/>
    </row>
    <row r="196" customHeight="1" spans="2:67">
      <c r="B196" s="291"/>
      <c r="C196" s="38"/>
      <c r="D196" s="38"/>
      <c r="E196" s="38"/>
      <c r="F196" s="38"/>
      <c r="G196" s="38"/>
      <c r="H196" s="38"/>
      <c r="I196" s="38"/>
      <c r="J196" s="38"/>
      <c r="K196" s="38"/>
      <c r="L196" s="38"/>
      <c r="M196" s="38"/>
      <c r="N196" s="38"/>
      <c r="O196" s="38"/>
      <c r="P196" s="38"/>
      <c r="Q196" s="38"/>
      <c r="R196" s="38"/>
      <c r="S196" s="38"/>
      <c r="T196" s="38"/>
      <c r="U196" s="38"/>
      <c r="V196" s="38"/>
      <c r="W196" s="38"/>
      <c r="X196" s="127"/>
      <c r="Y196" s="127"/>
      <c r="BO196" s="676"/>
    </row>
    <row r="197" customHeight="1" spans="2:67">
      <c r="B197" s="291"/>
      <c r="C197" s="38"/>
      <c r="D197" s="38"/>
      <c r="E197" s="38"/>
      <c r="F197" s="38"/>
      <c r="G197" s="38"/>
      <c r="H197" s="38"/>
      <c r="I197" s="38"/>
      <c r="J197" s="38"/>
      <c r="K197" s="38"/>
      <c r="L197" s="38"/>
      <c r="M197" s="38"/>
      <c r="N197" s="38"/>
      <c r="O197" s="38"/>
      <c r="P197" s="38"/>
      <c r="Q197" s="38"/>
      <c r="R197" s="38"/>
      <c r="S197" s="38"/>
      <c r="T197" s="38"/>
      <c r="U197" s="38"/>
      <c r="V197" s="38"/>
      <c r="W197" s="38"/>
      <c r="X197" s="127"/>
      <c r="Y197" s="127"/>
      <c r="BO197" s="676"/>
    </row>
    <row r="198" customHeight="1" spans="2:67">
      <c r="B198" s="291"/>
      <c r="C198" s="38"/>
      <c r="D198" s="38"/>
      <c r="E198" s="38"/>
      <c r="F198" s="38"/>
      <c r="G198" s="38"/>
      <c r="H198" s="38"/>
      <c r="I198" s="38"/>
      <c r="J198" s="38"/>
      <c r="K198" s="38"/>
      <c r="L198" s="38"/>
      <c r="M198" s="38"/>
      <c r="N198" s="38"/>
      <c r="O198" s="38"/>
      <c r="P198" s="38"/>
      <c r="Q198" s="38"/>
      <c r="R198" s="38"/>
      <c r="S198" s="38"/>
      <c r="T198" s="38"/>
      <c r="U198" s="38"/>
      <c r="V198" s="38"/>
      <c r="W198" s="38"/>
      <c r="X198" s="127"/>
      <c r="Y198" s="127"/>
      <c r="BO198" s="676"/>
    </row>
    <row r="199" customHeight="1" spans="2:67">
      <c r="B199" s="291"/>
      <c r="C199" s="38"/>
      <c r="D199" s="38"/>
      <c r="E199" s="38"/>
      <c r="F199" s="38"/>
      <c r="G199" s="38"/>
      <c r="H199" s="38"/>
      <c r="I199" s="38"/>
      <c r="J199" s="38"/>
      <c r="K199" s="38"/>
      <c r="L199" s="38"/>
      <c r="M199" s="38"/>
      <c r="N199" s="38"/>
      <c r="O199" s="38"/>
      <c r="P199" s="38"/>
      <c r="Q199" s="38"/>
      <c r="R199" s="38"/>
      <c r="S199" s="38"/>
      <c r="T199" s="38"/>
      <c r="U199" s="38"/>
      <c r="V199" s="38"/>
      <c r="W199" s="38"/>
      <c r="X199" s="127"/>
      <c r="Y199" s="127"/>
      <c r="BO199" s="676"/>
    </row>
    <row r="200" customHeight="1" spans="2:67">
      <c r="B200" s="291"/>
      <c r="C200" s="38"/>
      <c r="D200" s="38"/>
      <c r="E200" s="38"/>
      <c r="F200" s="38"/>
      <c r="G200" s="38"/>
      <c r="H200" s="38"/>
      <c r="I200" s="38"/>
      <c r="J200" s="38"/>
      <c r="K200" s="38"/>
      <c r="L200" s="38"/>
      <c r="M200" s="38"/>
      <c r="N200" s="38"/>
      <c r="O200" s="38"/>
      <c r="P200" s="38"/>
      <c r="Q200" s="38"/>
      <c r="R200" s="38"/>
      <c r="S200" s="38"/>
      <c r="T200" s="38"/>
      <c r="U200" s="38"/>
      <c r="V200" s="38"/>
      <c r="W200" s="38"/>
      <c r="X200" s="127"/>
      <c r="Y200" s="127"/>
      <c r="BO200" s="676"/>
    </row>
    <row r="201" customHeight="1" spans="2:67">
      <c r="B201" s="291"/>
      <c r="C201" s="38"/>
      <c r="D201" s="38"/>
      <c r="E201" s="38"/>
      <c r="F201" s="38"/>
      <c r="G201" s="38"/>
      <c r="H201" s="38"/>
      <c r="I201" s="38"/>
      <c r="J201" s="38"/>
      <c r="K201" s="38"/>
      <c r="L201" s="38"/>
      <c r="M201" s="38"/>
      <c r="N201" s="38"/>
      <c r="O201" s="38"/>
      <c r="P201" s="38"/>
      <c r="Q201" s="38"/>
      <c r="R201" s="38"/>
      <c r="S201" s="38"/>
      <c r="T201" s="38"/>
      <c r="U201" s="38"/>
      <c r="V201" s="38"/>
      <c r="W201" s="38"/>
      <c r="X201" s="127"/>
      <c r="Y201" s="127"/>
      <c r="BO201" s="676"/>
    </row>
    <row r="202" customHeight="1" spans="2:67">
      <c r="B202" s="291"/>
      <c r="C202" s="38"/>
      <c r="D202" s="38"/>
      <c r="E202" s="38"/>
      <c r="F202" s="38"/>
      <c r="G202" s="38"/>
      <c r="H202" s="38"/>
      <c r="I202" s="38"/>
      <c r="J202" s="38"/>
      <c r="K202" s="38"/>
      <c r="L202" s="38"/>
      <c r="M202" s="38"/>
      <c r="N202" s="38"/>
      <c r="O202" s="38"/>
      <c r="P202" s="38"/>
      <c r="Q202" s="38"/>
      <c r="R202" s="38"/>
      <c r="S202" s="38"/>
      <c r="T202" s="38"/>
      <c r="U202" s="38"/>
      <c r="V202" s="38"/>
      <c r="W202" s="38"/>
      <c r="X202" s="127"/>
      <c r="Y202" s="127"/>
      <c r="BO202" s="676"/>
    </row>
    <row r="203" customHeight="1" spans="2:67">
      <c r="B203" s="291"/>
      <c r="C203" s="38"/>
      <c r="D203" s="38"/>
      <c r="E203" s="38"/>
      <c r="F203" s="38"/>
      <c r="G203" s="38"/>
      <c r="H203" s="38"/>
      <c r="I203" s="38"/>
      <c r="J203" s="38"/>
      <c r="K203" s="38"/>
      <c r="L203" s="38"/>
      <c r="M203" s="38"/>
      <c r="N203" s="38"/>
      <c r="O203" s="38"/>
      <c r="P203" s="38"/>
      <c r="Q203" s="38"/>
      <c r="R203" s="38"/>
      <c r="S203" s="38"/>
      <c r="T203" s="38"/>
      <c r="U203" s="38"/>
      <c r="V203" s="38"/>
      <c r="W203" s="38"/>
      <c r="X203" s="127"/>
      <c r="Y203" s="127"/>
      <c r="BO203" s="676"/>
    </row>
    <row r="204" customHeight="1" spans="2:67">
      <c r="B204" s="291"/>
      <c r="C204" s="38"/>
      <c r="D204" s="38"/>
      <c r="E204" s="38"/>
      <c r="F204" s="38"/>
      <c r="G204" s="38"/>
      <c r="H204" s="38"/>
      <c r="I204" s="38"/>
      <c r="J204" s="38"/>
      <c r="K204" s="38"/>
      <c r="L204" s="38"/>
      <c r="M204" s="38"/>
      <c r="N204" s="38"/>
      <c r="O204" s="38"/>
      <c r="P204" s="38"/>
      <c r="Q204" s="38"/>
      <c r="R204" s="38"/>
      <c r="S204" s="38"/>
      <c r="T204" s="38"/>
      <c r="U204" s="38"/>
      <c r="V204" s="38"/>
      <c r="W204" s="38"/>
      <c r="X204" s="127"/>
      <c r="Y204" s="127"/>
      <c r="BO204" s="676"/>
    </row>
    <row r="205" customHeight="1" spans="2:67">
      <c r="B205" s="291"/>
      <c r="C205" s="38"/>
      <c r="D205" s="38"/>
      <c r="E205" s="38"/>
      <c r="F205" s="38"/>
      <c r="G205" s="38"/>
      <c r="H205" s="38"/>
      <c r="I205" s="38"/>
      <c r="J205" s="38"/>
      <c r="K205" s="38"/>
      <c r="L205" s="38"/>
      <c r="M205" s="38"/>
      <c r="N205" s="38"/>
      <c r="O205" s="38"/>
      <c r="P205" s="38"/>
      <c r="Q205" s="38"/>
      <c r="R205" s="38"/>
      <c r="S205" s="38"/>
      <c r="T205" s="38"/>
      <c r="U205" s="38"/>
      <c r="V205" s="38"/>
      <c r="W205" s="38"/>
      <c r="X205" s="127"/>
      <c r="Y205" s="127"/>
      <c r="BO205" s="676"/>
    </row>
    <row r="206" customHeight="1" spans="2:67">
      <c r="B206" s="291"/>
      <c r="C206" s="38"/>
      <c r="D206" s="38"/>
      <c r="E206" s="38"/>
      <c r="F206" s="38"/>
      <c r="G206" s="38"/>
      <c r="H206" s="38"/>
      <c r="I206" s="38"/>
      <c r="J206" s="38"/>
      <c r="K206" s="38"/>
      <c r="L206" s="38"/>
      <c r="M206" s="38"/>
      <c r="N206" s="38"/>
      <c r="O206" s="38"/>
      <c r="P206" s="38"/>
      <c r="Q206" s="38"/>
      <c r="R206" s="38"/>
      <c r="S206" s="38"/>
      <c r="T206" s="38"/>
      <c r="U206" s="38"/>
      <c r="V206" s="38"/>
      <c r="W206" s="38"/>
      <c r="X206" s="127"/>
      <c r="Y206" s="127"/>
      <c r="BO206" s="676"/>
    </row>
    <row r="207" customHeight="1" spans="2:67">
      <c r="B207" s="291"/>
      <c r="C207" s="38"/>
      <c r="D207" s="38"/>
      <c r="E207" s="38"/>
      <c r="F207" s="38"/>
      <c r="G207" s="38"/>
      <c r="H207" s="38"/>
      <c r="I207" s="38"/>
      <c r="J207" s="38"/>
      <c r="K207" s="38"/>
      <c r="L207" s="38"/>
      <c r="M207" s="38"/>
      <c r="N207" s="38"/>
      <c r="O207" s="38"/>
      <c r="P207" s="38"/>
      <c r="Q207" s="38"/>
      <c r="R207" s="38"/>
      <c r="S207" s="38"/>
      <c r="T207" s="38"/>
      <c r="U207" s="38"/>
      <c r="V207" s="38"/>
      <c r="W207" s="38"/>
      <c r="X207" s="127"/>
      <c r="Y207" s="127"/>
      <c r="BO207" s="676"/>
    </row>
    <row r="208" customHeight="1" spans="2:67">
      <c r="B208" s="291"/>
      <c r="C208" s="38"/>
      <c r="D208" s="38"/>
      <c r="E208" s="38"/>
      <c r="F208" s="38"/>
      <c r="G208" s="38"/>
      <c r="H208" s="38"/>
      <c r="I208" s="38"/>
      <c r="J208" s="38"/>
      <c r="K208" s="38"/>
      <c r="L208" s="38"/>
      <c r="M208" s="38"/>
      <c r="N208" s="38"/>
      <c r="O208" s="38"/>
      <c r="P208" s="38"/>
      <c r="Q208" s="38"/>
      <c r="R208" s="38"/>
      <c r="S208" s="38"/>
      <c r="T208" s="38"/>
      <c r="U208" s="38"/>
      <c r="V208" s="38"/>
      <c r="W208" s="38"/>
      <c r="X208" s="127"/>
      <c r="Y208" s="127"/>
      <c r="BO208" s="676"/>
    </row>
    <row r="209" customHeight="1" spans="2:67">
      <c r="B209" s="291"/>
      <c r="C209" s="38"/>
      <c r="D209" s="38"/>
      <c r="E209" s="38"/>
      <c r="F209" s="38"/>
      <c r="G209" s="38"/>
      <c r="H209" s="38"/>
      <c r="I209" s="38"/>
      <c r="J209" s="38"/>
      <c r="K209" s="38"/>
      <c r="L209" s="38"/>
      <c r="M209" s="38"/>
      <c r="N209" s="38"/>
      <c r="O209" s="38"/>
      <c r="P209" s="38"/>
      <c r="Q209" s="38"/>
      <c r="R209" s="38"/>
      <c r="S209" s="38"/>
      <c r="T209" s="38"/>
      <c r="U209" s="38"/>
      <c r="V209" s="38"/>
      <c r="W209" s="38"/>
      <c r="X209" s="127"/>
      <c r="Y209" s="127"/>
      <c r="BO209" s="676"/>
    </row>
    <row r="210" customHeight="1" spans="2:67">
      <c r="B210" s="291"/>
      <c r="C210" s="38"/>
      <c r="D210" s="38"/>
      <c r="E210" s="38"/>
      <c r="F210" s="38"/>
      <c r="G210" s="38"/>
      <c r="H210" s="38"/>
      <c r="I210" s="38"/>
      <c r="J210" s="38"/>
      <c r="K210" s="38"/>
      <c r="L210" s="38"/>
      <c r="M210" s="38"/>
      <c r="N210" s="38"/>
      <c r="O210" s="38"/>
      <c r="P210" s="38"/>
      <c r="Q210" s="38"/>
      <c r="R210" s="38"/>
      <c r="S210" s="38"/>
      <c r="T210" s="38"/>
      <c r="U210" s="38"/>
      <c r="V210" s="38"/>
      <c r="W210" s="38"/>
      <c r="X210" s="127"/>
      <c r="Y210" s="127"/>
      <c r="BO210" s="676"/>
    </row>
    <row r="211" customHeight="1" spans="2:67">
      <c r="B211" s="291"/>
      <c r="C211" s="38"/>
      <c r="D211" s="38"/>
      <c r="E211" s="38"/>
      <c r="F211" s="83"/>
      <c r="G211" s="38"/>
      <c r="H211" s="38"/>
      <c r="I211" s="26"/>
      <c r="J211" s="83"/>
      <c r="K211" s="38"/>
      <c r="L211" s="38"/>
      <c r="M211" s="38"/>
      <c r="N211" s="38"/>
      <c r="O211" s="38"/>
      <c r="P211" s="38"/>
      <c r="Q211" s="38"/>
      <c r="R211" s="38"/>
      <c r="S211" s="38"/>
      <c r="T211" s="38"/>
      <c r="U211" s="38"/>
      <c r="V211" s="38"/>
      <c r="W211" s="38"/>
      <c r="X211" s="127"/>
      <c r="Y211" s="127"/>
      <c r="BO211" s="676"/>
    </row>
    <row r="212" customHeight="1" spans="2:67">
      <c r="B212" s="291"/>
      <c r="C212" s="38"/>
      <c r="D212" s="38"/>
      <c r="E212" s="38"/>
      <c r="F212" s="83"/>
      <c r="G212" s="38"/>
      <c r="H212" s="38"/>
      <c r="I212" s="26"/>
      <c r="J212" s="83"/>
      <c r="K212" s="38"/>
      <c r="L212" s="38"/>
      <c r="M212" s="38"/>
      <c r="N212" s="38"/>
      <c r="O212" s="38"/>
      <c r="P212" s="38"/>
      <c r="Q212" s="38"/>
      <c r="R212" s="38"/>
      <c r="S212" s="38"/>
      <c r="T212" s="38"/>
      <c r="U212" s="38"/>
      <c r="V212" s="38"/>
      <c r="W212" s="38"/>
      <c r="X212" s="127"/>
      <c r="Y212" s="127"/>
      <c r="BO212" s="676"/>
    </row>
    <row r="213" customHeight="1" spans="2:67">
      <c r="B213" s="38"/>
      <c r="C213" s="38"/>
      <c r="D213" s="38"/>
      <c r="E213" s="38"/>
      <c r="F213" s="83"/>
      <c r="G213" s="38"/>
      <c r="H213" s="38"/>
      <c r="I213" s="38"/>
      <c r="J213" s="83"/>
      <c r="K213" s="38"/>
      <c r="L213" s="38"/>
      <c r="M213" s="38"/>
      <c r="N213" s="38"/>
      <c r="O213" s="38"/>
      <c r="P213" s="38"/>
      <c r="Q213" s="38"/>
      <c r="R213" s="38"/>
      <c r="S213" s="38"/>
      <c r="T213" s="38"/>
      <c r="U213" s="38"/>
      <c r="V213" s="38"/>
      <c r="W213" s="38"/>
      <c r="X213" s="127"/>
      <c r="Y213" s="127"/>
      <c r="BO213" s="676"/>
    </row>
    <row r="214" customHeight="1" spans="2:67">
      <c r="B214" s="38"/>
      <c r="C214" s="38"/>
      <c r="D214" s="38"/>
      <c r="E214" s="38"/>
      <c r="F214" s="38"/>
      <c r="G214" s="38"/>
      <c r="H214" s="38"/>
      <c r="I214" s="38"/>
      <c r="J214" s="38"/>
      <c r="K214" s="38"/>
      <c r="L214" s="38"/>
      <c r="M214" s="38"/>
      <c r="N214" s="38"/>
      <c r="O214" s="38"/>
      <c r="P214" s="38"/>
      <c r="Q214" s="38"/>
      <c r="R214" s="38"/>
      <c r="S214" s="38"/>
      <c r="T214" s="38"/>
      <c r="U214" s="38"/>
      <c r="V214" s="38"/>
      <c r="W214" s="38"/>
      <c r="X214" s="127"/>
      <c r="Y214" s="127"/>
      <c r="BO214" s="676"/>
    </row>
    <row r="215" customHeight="1" spans="2:67">
      <c r="B215" s="38"/>
      <c r="C215" s="126"/>
      <c r="D215" s="222"/>
      <c r="E215" s="222"/>
      <c r="F215" s="83"/>
      <c r="G215" s="38"/>
      <c r="H215" s="38"/>
      <c r="I215" s="38"/>
      <c r="J215" s="38"/>
      <c r="K215" s="38"/>
      <c r="L215" s="38"/>
      <c r="M215" s="38"/>
      <c r="N215" s="38"/>
      <c r="O215" s="38"/>
      <c r="P215" s="38"/>
      <c r="Q215" s="38"/>
      <c r="R215" s="38"/>
      <c r="S215" s="38"/>
      <c r="T215" s="38"/>
      <c r="U215" s="38"/>
      <c r="V215" s="38"/>
      <c r="W215" s="38"/>
      <c r="X215" s="127"/>
      <c r="Y215" s="127"/>
      <c r="BO215" s="676"/>
    </row>
    <row r="216" customHeight="1" spans="2:67">
      <c r="B216" s="83"/>
      <c r="C216" s="38"/>
      <c r="D216" s="222"/>
      <c r="E216" s="83"/>
      <c r="F216" s="222"/>
      <c r="G216" s="38"/>
      <c r="H216" s="38"/>
      <c r="I216" s="26"/>
      <c r="J216" s="38"/>
      <c r="K216" s="38"/>
      <c r="L216" s="38"/>
      <c r="M216" s="38"/>
      <c r="N216" s="38"/>
      <c r="O216" s="38"/>
      <c r="P216" s="38"/>
      <c r="Q216" s="38"/>
      <c r="R216" s="38"/>
      <c r="S216" s="38"/>
      <c r="T216" s="38"/>
      <c r="U216" s="38"/>
      <c r="V216" s="38"/>
      <c r="W216" s="38"/>
      <c r="X216" s="127"/>
      <c r="Y216" s="127"/>
      <c r="BO216" s="676"/>
    </row>
    <row r="217" customHeight="1" spans="2:67">
      <c r="B217" s="38"/>
      <c r="C217" s="38"/>
      <c r="D217" s="222"/>
      <c r="E217" s="222"/>
      <c r="F217" s="83"/>
      <c r="G217" s="38"/>
      <c r="H217" s="38"/>
      <c r="I217" s="38"/>
      <c r="J217" s="38"/>
      <c r="K217" s="38"/>
      <c r="L217" s="38"/>
      <c r="M217" s="38"/>
      <c r="N217" s="38"/>
      <c r="O217" s="38"/>
      <c r="P217" s="38"/>
      <c r="Q217" s="38"/>
      <c r="R217" s="38"/>
      <c r="S217" s="38"/>
      <c r="T217" s="38"/>
      <c r="U217" s="38"/>
      <c r="V217" s="38"/>
      <c r="W217" s="38"/>
      <c r="X217" s="127"/>
      <c r="Y217" s="127"/>
      <c r="BO217" s="676"/>
    </row>
    <row r="218" customHeight="1" spans="2:67">
      <c r="B218" s="38"/>
      <c r="C218" s="38"/>
      <c r="D218" s="38"/>
      <c r="E218" s="38"/>
      <c r="F218" s="38"/>
      <c r="G218" s="38"/>
      <c r="H218" s="38"/>
      <c r="I218" s="38"/>
      <c r="J218" s="38"/>
      <c r="K218" s="38"/>
      <c r="L218" s="38"/>
      <c r="M218" s="38"/>
      <c r="N218" s="38"/>
      <c r="O218" s="38"/>
      <c r="P218" s="38"/>
      <c r="Q218" s="38"/>
      <c r="R218" s="38"/>
      <c r="S218" s="38"/>
      <c r="T218" s="38"/>
      <c r="U218" s="38"/>
      <c r="V218" s="38"/>
      <c r="W218" s="38"/>
      <c r="X218" s="127"/>
      <c r="Y218" s="127"/>
      <c r="BO218" s="676"/>
    </row>
    <row r="219" customHeight="1" spans="2:67">
      <c r="B219" s="38"/>
      <c r="C219" s="981" t="s">
        <v>103</v>
      </c>
      <c r="D219" s="982"/>
      <c r="E219" s="982"/>
      <c r="F219" s="983"/>
      <c r="G219" s="981" t="s">
        <v>104</v>
      </c>
      <c r="H219" s="982"/>
      <c r="I219" s="982"/>
      <c r="J219" s="983"/>
      <c r="K219" s="981" t="s">
        <v>105</v>
      </c>
      <c r="L219" s="982"/>
      <c r="M219" s="982"/>
      <c r="N219" s="983"/>
      <c r="O219" s="38"/>
      <c r="P219" s="38"/>
      <c r="Q219" s="38"/>
      <c r="R219" s="38"/>
      <c r="S219" s="38"/>
      <c r="T219" s="38"/>
      <c r="U219" s="38"/>
      <c r="V219" s="38"/>
      <c r="W219" s="38"/>
      <c r="X219" s="127"/>
      <c r="Y219" s="127"/>
      <c r="BO219" s="676"/>
    </row>
    <row r="220" customHeight="1" spans="2:67">
      <c r="B220" s="38"/>
      <c r="C220" s="984" t="s">
        <v>434</v>
      </c>
      <c r="D220" s="985" t="s">
        <v>435</v>
      </c>
      <c r="E220" s="985" t="s">
        <v>436</v>
      </c>
      <c r="F220" s="986" t="s">
        <v>437</v>
      </c>
      <c r="G220" s="984" t="s">
        <v>434</v>
      </c>
      <c r="H220" s="985" t="s">
        <v>435</v>
      </c>
      <c r="I220" s="985" t="s">
        <v>436</v>
      </c>
      <c r="J220" s="986" t="s">
        <v>437</v>
      </c>
      <c r="K220" s="984" t="s">
        <v>434</v>
      </c>
      <c r="L220" s="985" t="s">
        <v>435</v>
      </c>
      <c r="M220" s="985" t="s">
        <v>436</v>
      </c>
      <c r="N220" s="986" t="s">
        <v>437</v>
      </c>
      <c r="O220" s="38"/>
      <c r="P220" s="38"/>
      <c r="Q220" s="38"/>
      <c r="R220" s="38"/>
      <c r="S220" s="38"/>
      <c r="T220" s="38"/>
      <c r="U220" s="38"/>
      <c r="V220" s="38"/>
      <c r="W220" s="38"/>
      <c r="X220" s="127"/>
      <c r="Y220" s="127"/>
      <c r="BO220" s="676"/>
    </row>
    <row r="221" customHeight="1" spans="2:67">
      <c r="B221" s="987" t="s">
        <v>320</v>
      </c>
      <c r="C221" s="988">
        <f>quartercalculation($C$219,C$220,$B221)</f>
        <v>117781.462092511</v>
      </c>
      <c r="D221" s="988">
        <f>quartercalculation($C$219,D$220,$B221)</f>
        <v>295857.925595032</v>
      </c>
      <c r="E221" s="988">
        <f>quartercalculation($C$219,E$220,$B221)</f>
        <v>362898.673438509</v>
      </c>
      <c r="F221" s="988">
        <f>quartercalculation($C$219,F$220,$B221)</f>
        <v>201688.652284509</v>
      </c>
      <c r="G221" s="988">
        <f>quartercalculation($G$219,G$220,$B221)</f>
        <v>119036.891394165</v>
      </c>
      <c r="H221" s="988">
        <f>quartercalculation($G$219,H$220,$B221)</f>
        <v>325258.624160882</v>
      </c>
      <c r="I221" s="988">
        <f>quartercalculation($G$219,I$220,$B221)</f>
        <v>383730.227889126</v>
      </c>
      <c r="J221" s="988">
        <f>quartercalculation($G$219,J$220,$B221)</f>
        <v>205446.499062219</v>
      </c>
      <c r="K221" s="988">
        <f>quartercalculation($K$219,K$220,$B221)</f>
        <v>143014.05400288</v>
      </c>
      <c r="L221" s="988">
        <f>quartercalculation($K$219,L$220,$B221)</f>
        <v>339983.516860978</v>
      </c>
      <c r="M221" s="988">
        <f>quartercalculation($K$219,M$220,$B221)</f>
        <v>419552.387263038</v>
      </c>
      <c r="N221" s="988">
        <f>quartercalculation($K$219,N$220,$B221)</f>
        <v>236597.341041307</v>
      </c>
      <c r="O221" s="38"/>
      <c r="P221" s="38"/>
      <c r="Q221" s="38"/>
      <c r="R221" s="38"/>
      <c r="S221" s="38"/>
      <c r="T221" s="38"/>
      <c r="U221" s="38"/>
      <c r="V221" s="38"/>
      <c r="W221" s="38"/>
      <c r="X221" s="127"/>
      <c r="Y221" s="127"/>
      <c r="BO221" s="676"/>
    </row>
    <row r="222" customHeight="1" spans="2:67">
      <c r="B222" s="989" t="s">
        <v>321</v>
      </c>
      <c r="C222" s="988">
        <f>quartercalculation($C$219,C$220,$B222)</f>
        <v>21835.0798711575</v>
      </c>
      <c r="D222" s="988">
        <f>quartercalculation($C$219,D$220,$B222)</f>
        <v>67702.8595713871</v>
      </c>
      <c r="E222" s="988">
        <f>quartercalculation($C$219,E$220,$B222)</f>
        <v>78031.5183877035</v>
      </c>
      <c r="F222" s="988">
        <f>quartercalculation($C$219,F$220,$B222)</f>
        <v>39505.7427011734</v>
      </c>
      <c r="G222" s="988">
        <f>quartercalculation($G$219,G$220,$B222)</f>
        <v>21501.6</v>
      </c>
      <c r="H222" s="988">
        <f>quartercalculation($G$219,H$220,$B222)</f>
        <v>73851.4125367655</v>
      </c>
      <c r="I222" s="988">
        <f>quartercalculation($G$219,I$220,$B222)</f>
        <v>83203.5124025534</v>
      </c>
      <c r="J222" s="988">
        <f>quartercalculation($G$219,J$220,$B222)</f>
        <v>40523.2</v>
      </c>
      <c r="K222" s="988">
        <f>quartercalculation($K$219,K$220,$B222)</f>
        <v>27653.0761326561</v>
      </c>
      <c r="L222" s="988">
        <f>quartercalculation($K$219,L$220,$B222)</f>
        <v>79034.9166534758</v>
      </c>
      <c r="M222" s="988">
        <f>quartercalculation($K$219,M$220,$B222)</f>
        <v>92513.7166534758</v>
      </c>
      <c r="N222" s="988">
        <f>quartercalculation($K$219,N$220,$B222)</f>
        <v>47789.1283188234</v>
      </c>
      <c r="O222" s="38"/>
      <c r="P222" s="38"/>
      <c r="Q222" s="38"/>
      <c r="R222" s="38"/>
      <c r="S222" s="38"/>
      <c r="T222" s="38"/>
      <c r="U222" s="38"/>
      <c r="V222" s="38"/>
      <c r="W222" s="38"/>
      <c r="X222" s="127"/>
      <c r="Y222" s="127"/>
      <c r="BO222" s="676"/>
    </row>
    <row r="223" customHeight="1" spans="2:67">
      <c r="B223" s="989" t="s">
        <v>322</v>
      </c>
      <c r="C223" s="988">
        <f>quartercalculation($C$219,C$220,$B223)</f>
        <v>95946.3822213534</v>
      </c>
      <c r="D223" s="988">
        <f>quartercalculation($C$219,D$220,$B223)</f>
        <v>228155.066023645</v>
      </c>
      <c r="E223" s="988">
        <f>quartercalculation($C$219,E$220,$B223)</f>
        <v>284867.155050806</v>
      </c>
      <c r="F223" s="988">
        <f>quartercalculation($C$219,F$220,$B223)</f>
        <v>162182.909583335</v>
      </c>
      <c r="G223" s="988">
        <f>quartercalculation($G$219,G$220,$B223)</f>
        <v>97535.2913941646</v>
      </c>
      <c r="H223" s="988">
        <f>quartercalculation($G$219,H$220,$B223)</f>
        <v>251407.211624116</v>
      </c>
      <c r="I223" s="988">
        <f>quartercalculation($G$219,I$220,$B223)</f>
        <v>300526.715486573</v>
      </c>
      <c r="J223" s="988">
        <f>quartercalculation($G$219,J$220,$B223)</f>
        <v>164923.299062219</v>
      </c>
      <c r="K223" s="988">
        <f>quartercalculation($K$219,K$220,$B223)</f>
        <v>115360.977870224</v>
      </c>
      <c r="L223" s="988">
        <f>quartercalculation($K$219,L$220,$B223)</f>
        <v>260948.600207502</v>
      </c>
      <c r="M223" s="988">
        <f>quartercalculation($K$219,M$220,$B223)</f>
        <v>327038.670609563</v>
      </c>
      <c r="N223" s="988">
        <f>quartercalculation($K$219,N$220,$B223)</f>
        <v>188808.212722483</v>
      </c>
      <c r="O223" s="38"/>
      <c r="P223" s="38"/>
      <c r="Q223" s="38"/>
      <c r="R223" s="38"/>
      <c r="S223" s="38"/>
      <c r="T223" s="38"/>
      <c r="U223" s="38"/>
      <c r="V223" s="38"/>
      <c r="W223" s="38"/>
      <c r="X223" s="127"/>
      <c r="Y223" s="127"/>
      <c r="BO223" s="676"/>
    </row>
    <row r="224" customHeight="1" spans="2:67">
      <c r="B224" s="989" t="s">
        <v>337</v>
      </c>
      <c r="C224" s="988">
        <f>quartercalculation($C$219,C$220,$B224)</f>
        <v>70139.0620448136</v>
      </c>
      <c r="D224" s="988">
        <f>quartercalculation($C$219,D$220,$B224)</f>
        <v>70139.0620448136</v>
      </c>
      <c r="E224" s="988">
        <f>quartercalculation($C$219,E$220,$B224)</f>
        <v>70139.0620448136</v>
      </c>
      <c r="F224" s="988">
        <f>quartercalculation($C$219,F$220,$B224)</f>
        <v>70139.0620448136</v>
      </c>
      <c r="G224" s="988">
        <f>quartercalculation($G$219,G$220,$B224)</f>
        <v>69680.3120448136</v>
      </c>
      <c r="H224" s="988">
        <f>quartercalculation($G$219,H$220,$B224)</f>
        <v>69680.3120448136</v>
      </c>
      <c r="I224" s="988">
        <f>quartercalculation($G$219,I$220,$B224)</f>
        <v>69680.3120448136</v>
      </c>
      <c r="J224" s="988">
        <f>quartercalculation($G$219,J$220,$B224)</f>
        <v>69680.3120448136</v>
      </c>
      <c r="K224" s="988">
        <f>quartercalculation($K$219,K$220,$B224)</f>
        <v>65988.4995448136</v>
      </c>
      <c r="L224" s="988">
        <f>quartercalculation($K$219,L$220,$B224)</f>
        <v>65988.4995448136</v>
      </c>
      <c r="M224" s="988">
        <f>quartercalculation($K$219,M$220,$B224)</f>
        <v>65988.4995448136</v>
      </c>
      <c r="N224" s="988">
        <f>quartercalculation($K$219,N$220,$B224)</f>
        <v>65988.4995448136</v>
      </c>
      <c r="O224" s="38"/>
      <c r="P224" s="38"/>
      <c r="Q224" s="38"/>
      <c r="R224" s="38"/>
      <c r="S224" s="38"/>
      <c r="T224" s="38"/>
      <c r="U224" s="38"/>
      <c r="V224" s="38"/>
      <c r="W224" s="38"/>
      <c r="X224" s="127"/>
      <c r="Y224" s="127"/>
      <c r="BO224" s="676"/>
    </row>
    <row r="225" customHeight="1" spans="2:67">
      <c r="B225" s="990" t="s">
        <v>438</v>
      </c>
      <c r="C225" s="988">
        <f>quartercalculation($C$219,C$220,$B225)</f>
        <v>25807.3201765399</v>
      </c>
      <c r="D225" s="988">
        <f>quartercalculation($C$219,D$220,$B225)</f>
        <v>158016.003978831</v>
      </c>
      <c r="E225" s="988">
        <f>quartercalculation($C$219,E$220,$B225)</f>
        <v>214728.093005992</v>
      </c>
      <c r="F225" s="988">
        <f>quartercalculation($C$219,F$220,$B225)</f>
        <v>92043.8475385217</v>
      </c>
      <c r="G225" s="988">
        <f>quartercalculation($G$219,G$220,$B225)</f>
        <v>27854.979349351</v>
      </c>
      <c r="H225" s="988">
        <f>quartercalculation($G$219,H$220,$B225)</f>
        <v>181726.899579303</v>
      </c>
      <c r="I225" s="988">
        <f>quartercalculation($G$219,I$220,$B225)</f>
        <v>230846.403441759</v>
      </c>
      <c r="J225" s="988">
        <f>quartercalculation($G$219,J$220,$B225)</f>
        <v>95242.9870174057</v>
      </c>
      <c r="K225" s="988">
        <f>quartercalculation($K$219,K$220,$B225)</f>
        <v>49372.4783254106</v>
      </c>
      <c r="L225" s="988">
        <f>quartercalculation($K$219,L$220,$B225)</f>
        <v>194960.100662688</v>
      </c>
      <c r="M225" s="988">
        <f>quartercalculation($K$219,M$220,$B225)</f>
        <v>261050.171064749</v>
      </c>
      <c r="N225" s="988">
        <f>quartercalculation($K$219,N$220,$B225)</f>
        <v>122819.71317767</v>
      </c>
      <c r="O225" s="38"/>
      <c r="P225" s="38"/>
      <c r="Q225" s="38"/>
      <c r="R225" s="38"/>
      <c r="S225" s="38"/>
      <c r="T225" s="38"/>
      <c r="U225" s="38"/>
      <c r="V225" s="38"/>
      <c r="W225" s="38"/>
      <c r="X225" s="127"/>
      <c r="Y225" s="127"/>
      <c r="BO225" s="676"/>
    </row>
    <row r="226" customHeight="1" spans="2:67">
      <c r="B226" s="38"/>
      <c r="C226" s="38"/>
      <c r="D226" s="38"/>
      <c r="E226" s="38"/>
      <c r="F226" s="38"/>
      <c r="G226" s="38"/>
      <c r="H226" s="38"/>
      <c r="I226" s="38"/>
      <c r="J226" s="38"/>
      <c r="K226" s="997"/>
      <c r="L226" s="997"/>
      <c r="M226" s="38"/>
      <c r="N226" s="38"/>
      <c r="O226" s="38"/>
      <c r="P226" s="38"/>
      <c r="Q226" s="38"/>
      <c r="R226" s="38"/>
      <c r="S226" s="38"/>
      <c r="T226" s="38"/>
      <c r="U226" s="38"/>
      <c r="V226" s="38"/>
      <c r="W226" s="38"/>
      <c r="X226" s="127"/>
      <c r="Y226" s="127"/>
      <c r="BO226" s="676"/>
    </row>
    <row r="227" customHeight="1" spans="2:67">
      <c r="B227" s="38"/>
      <c r="C227" s="296"/>
      <c r="D227" s="83"/>
      <c r="E227" s="38"/>
      <c r="F227" s="38"/>
      <c r="G227" s="38"/>
      <c r="H227" s="38"/>
      <c r="I227" s="296"/>
      <c r="J227" s="126"/>
      <c r="K227" s="38"/>
      <c r="L227" s="38"/>
      <c r="M227" s="38"/>
      <c r="N227" s="38"/>
      <c r="O227" s="38"/>
      <c r="P227" s="38"/>
      <c r="Q227" s="38"/>
      <c r="R227" s="38"/>
      <c r="S227" s="38"/>
      <c r="T227" s="38"/>
      <c r="U227" s="38"/>
      <c r="V227" s="38"/>
      <c r="W227" s="38"/>
      <c r="X227" s="127"/>
      <c r="Y227" s="127"/>
      <c r="BO227" s="676"/>
    </row>
    <row r="228" customHeight="1" spans="1:67">
      <c r="A228" s="676"/>
      <c r="B228" s="304"/>
      <c r="C228" s="304"/>
      <c r="D228" s="304"/>
      <c r="E228" s="304"/>
      <c r="F228" s="304"/>
      <c r="G228" s="304"/>
      <c r="H228" s="304"/>
      <c r="I228" s="304"/>
      <c r="J228" s="304"/>
      <c r="K228" s="304"/>
      <c r="L228" s="304"/>
      <c r="M228" s="304"/>
      <c r="N228" s="127"/>
      <c r="O228" s="127"/>
      <c r="P228" s="38"/>
      <c r="Q228" s="38"/>
      <c r="R228" s="38"/>
      <c r="S228" s="38"/>
      <c r="T228" s="38"/>
      <c r="U228" s="38"/>
      <c r="V228" s="38"/>
      <c r="W228" s="38"/>
      <c r="X228" s="127"/>
      <c r="Y228" s="127"/>
      <c r="BO228" s="676"/>
    </row>
    <row r="229" customHeight="1" spans="1:67">
      <c r="A229" s="991" t="s">
        <v>320</v>
      </c>
      <c r="B229" s="304"/>
      <c r="C229" s="304"/>
      <c r="D229" s="304"/>
      <c r="E229" s="304"/>
      <c r="F229" s="304"/>
      <c r="G229" s="304"/>
      <c r="H229" s="304"/>
      <c r="I229" s="304"/>
      <c r="J229" s="304"/>
      <c r="K229" s="304"/>
      <c r="L229" s="304"/>
      <c r="M229" s="304"/>
      <c r="N229" s="127"/>
      <c r="O229" s="127"/>
      <c r="P229" s="38"/>
      <c r="Q229" s="38"/>
      <c r="R229" s="38"/>
      <c r="S229" s="38"/>
      <c r="T229" s="38"/>
      <c r="U229" s="38"/>
      <c r="V229" s="38"/>
      <c r="W229" s="38"/>
      <c r="X229" s="127"/>
      <c r="Y229" s="127"/>
      <c r="BO229" s="676"/>
    </row>
    <row r="230" customHeight="1" spans="1:67">
      <c r="A230" s="992"/>
      <c r="B230" s="304"/>
      <c r="C230" s="304"/>
      <c r="D230" s="304"/>
      <c r="E230" s="304"/>
      <c r="F230" s="304"/>
      <c r="G230" s="304"/>
      <c r="H230" s="304"/>
      <c r="I230" s="304"/>
      <c r="J230" s="304"/>
      <c r="K230" s="304"/>
      <c r="L230" s="304"/>
      <c r="M230" s="304"/>
      <c r="N230" s="127"/>
      <c r="O230" s="127"/>
      <c r="P230" s="38"/>
      <c r="Q230" s="38"/>
      <c r="R230" s="38"/>
      <c r="S230" s="38"/>
      <c r="T230" s="38"/>
      <c r="U230" s="38"/>
      <c r="V230" s="38"/>
      <c r="W230" s="38"/>
      <c r="X230" s="127"/>
      <c r="Y230" s="127"/>
      <c r="BO230" s="676"/>
    </row>
    <row r="231" customHeight="1" spans="1:67">
      <c r="A231" s="992"/>
      <c r="B231" s="304"/>
      <c r="C231" s="304"/>
      <c r="D231" s="304"/>
      <c r="E231" s="304"/>
      <c r="F231" s="304"/>
      <c r="G231" s="304"/>
      <c r="H231" s="304"/>
      <c r="I231" s="304"/>
      <c r="J231" s="304"/>
      <c r="K231" s="304"/>
      <c r="L231" s="304"/>
      <c r="M231" s="304"/>
      <c r="N231" s="127"/>
      <c r="O231" s="127"/>
      <c r="P231" s="38"/>
      <c r="Q231" s="38"/>
      <c r="R231" s="38"/>
      <c r="S231" s="38"/>
      <c r="T231" s="38"/>
      <c r="U231" s="38"/>
      <c r="V231" s="38"/>
      <c r="W231" s="38"/>
      <c r="X231" s="127"/>
      <c r="Y231" s="127"/>
      <c r="BO231" s="676"/>
    </row>
    <row r="232" customHeight="1" spans="1:67">
      <c r="A232" s="992"/>
      <c r="B232" s="304"/>
      <c r="C232" s="304"/>
      <c r="D232" s="304"/>
      <c r="E232" s="304"/>
      <c r="F232" s="304"/>
      <c r="G232" s="304"/>
      <c r="H232" s="304"/>
      <c r="I232" s="304"/>
      <c r="J232" s="304"/>
      <c r="K232" s="304"/>
      <c r="L232" s="304"/>
      <c r="M232" s="304"/>
      <c r="N232" s="127"/>
      <c r="O232" s="127"/>
      <c r="P232" s="38"/>
      <c r="Q232" s="38"/>
      <c r="R232" s="38"/>
      <c r="S232" s="38"/>
      <c r="T232" s="38"/>
      <c r="U232" s="38"/>
      <c r="V232" s="38"/>
      <c r="W232" s="38"/>
      <c r="X232" s="127"/>
      <c r="Y232" s="127"/>
      <c r="BO232" s="676"/>
    </row>
    <row r="233" customHeight="1" spans="1:24">
      <c r="A233" s="992"/>
      <c r="B233" s="304"/>
      <c r="C233" s="304"/>
      <c r="D233" s="304"/>
      <c r="E233" s="304"/>
      <c r="F233" s="304"/>
      <c r="G233" s="304"/>
      <c r="H233" s="304"/>
      <c r="I233" s="304"/>
      <c r="J233" s="304"/>
      <c r="K233" s="304"/>
      <c r="L233" s="304"/>
      <c r="M233" s="304"/>
      <c r="N233" s="127"/>
      <c r="O233" s="127"/>
      <c r="P233" s="38"/>
      <c r="Q233" s="38"/>
      <c r="R233" s="38"/>
      <c r="S233" s="38"/>
      <c r="T233" s="38"/>
      <c r="U233" s="38"/>
      <c r="V233" s="38"/>
      <c r="W233" s="127"/>
      <c r="X233" s="127"/>
    </row>
    <row r="234" customHeight="1" spans="1:24">
      <c r="A234" s="992"/>
      <c r="B234" s="304"/>
      <c r="C234" s="304"/>
      <c r="D234" s="304"/>
      <c r="E234" s="304"/>
      <c r="F234" s="304"/>
      <c r="G234" s="304"/>
      <c r="H234" s="304"/>
      <c r="I234" s="304"/>
      <c r="J234" s="304"/>
      <c r="K234" s="304"/>
      <c r="L234" s="304"/>
      <c r="M234" s="304"/>
      <c r="N234" s="127"/>
      <c r="O234" s="127"/>
      <c r="P234" s="38"/>
      <c r="Q234" s="38"/>
      <c r="R234" s="38"/>
      <c r="S234" s="38"/>
      <c r="T234" s="38"/>
      <c r="U234" s="38"/>
      <c r="V234" s="38"/>
      <c r="W234" s="127"/>
      <c r="X234" s="127"/>
    </row>
    <row r="235" customHeight="1" spans="1:24">
      <c r="A235" s="992"/>
      <c r="B235" s="304"/>
      <c r="C235" s="304"/>
      <c r="D235" s="304"/>
      <c r="E235" s="304"/>
      <c r="F235" s="304"/>
      <c r="G235" s="304"/>
      <c r="H235" s="304"/>
      <c r="I235" s="304"/>
      <c r="J235" s="304"/>
      <c r="K235" s="304"/>
      <c r="L235" s="304"/>
      <c r="M235" s="304"/>
      <c r="N235" s="127"/>
      <c r="O235" s="127"/>
      <c r="P235" s="38"/>
      <c r="Q235" s="38"/>
      <c r="R235" s="38"/>
      <c r="S235" s="38"/>
      <c r="T235" s="38"/>
      <c r="U235" s="38"/>
      <c r="V235" s="38"/>
      <c r="W235" s="127"/>
      <c r="X235" s="127"/>
    </row>
    <row r="236" customHeight="1" spans="1:24">
      <c r="A236" s="993"/>
      <c r="B236" s="304"/>
      <c r="C236" s="304"/>
      <c r="D236" s="304"/>
      <c r="E236" s="304"/>
      <c r="F236" s="304"/>
      <c r="G236" s="304"/>
      <c r="H236" s="304"/>
      <c r="I236" s="304"/>
      <c r="J236" s="304"/>
      <c r="K236" s="304"/>
      <c r="L236" s="304"/>
      <c r="M236" s="304"/>
      <c r="N236" s="127"/>
      <c r="O236" s="127"/>
      <c r="P236" s="38"/>
      <c r="Q236" s="38"/>
      <c r="R236" s="38"/>
      <c r="S236" s="38"/>
      <c r="T236" s="38"/>
      <c r="U236" s="38"/>
      <c r="V236" s="38"/>
      <c r="W236" s="127"/>
      <c r="X236" s="127"/>
    </row>
    <row r="237" customHeight="1" spans="1:24">
      <c r="A237" s="127"/>
      <c r="B237" s="304"/>
      <c r="C237" s="304"/>
      <c r="D237" s="304"/>
      <c r="E237" s="304"/>
      <c r="F237" s="304"/>
      <c r="G237" s="304"/>
      <c r="H237" s="304"/>
      <c r="I237" s="304"/>
      <c r="J237" s="304"/>
      <c r="K237" s="304"/>
      <c r="L237" s="304"/>
      <c r="M237" s="304"/>
      <c r="N237" s="127"/>
      <c r="O237" s="127"/>
      <c r="P237" s="38"/>
      <c r="Q237" s="38"/>
      <c r="R237" s="38"/>
      <c r="S237" s="38"/>
      <c r="T237" s="38"/>
      <c r="U237" s="38"/>
      <c r="V237" s="38"/>
      <c r="W237" s="127"/>
      <c r="X237" s="127"/>
    </row>
    <row r="238" customHeight="1" spans="1:24">
      <c r="A238" s="991" t="s">
        <v>321</v>
      </c>
      <c r="B238" s="304"/>
      <c r="C238" s="304"/>
      <c r="D238" s="304"/>
      <c r="E238" s="304"/>
      <c r="F238" s="304"/>
      <c r="G238" s="304"/>
      <c r="H238" s="304"/>
      <c r="I238" s="304"/>
      <c r="J238" s="304"/>
      <c r="K238" s="304"/>
      <c r="L238" s="304"/>
      <c r="M238" s="304"/>
      <c r="N238" s="127"/>
      <c r="O238" s="127"/>
      <c r="P238" s="38"/>
      <c r="Q238" s="38"/>
      <c r="R238" s="38"/>
      <c r="S238" s="38"/>
      <c r="T238" s="38"/>
      <c r="U238" s="38"/>
      <c r="V238" s="38"/>
      <c r="W238" s="127"/>
      <c r="X238" s="127"/>
    </row>
    <row r="239" customHeight="1" spans="1:24">
      <c r="A239" s="992"/>
      <c r="B239" s="304"/>
      <c r="C239" s="304"/>
      <c r="D239" s="304"/>
      <c r="E239" s="304"/>
      <c r="F239" s="304"/>
      <c r="G239" s="304"/>
      <c r="H239" s="304"/>
      <c r="I239" s="304"/>
      <c r="J239" s="304"/>
      <c r="K239" s="304"/>
      <c r="L239" s="304"/>
      <c r="M239" s="304"/>
      <c r="N239" s="127"/>
      <c r="O239" s="127"/>
      <c r="P239" s="38"/>
      <c r="Q239" s="38"/>
      <c r="R239" s="38"/>
      <c r="S239" s="38"/>
      <c r="T239" s="38"/>
      <c r="U239" s="38"/>
      <c r="V239" s="38"/>
      <c r="W239" s="127"/>
      <c r="X239" s="127"/>
    </row>
    <row r="240" customHeight="1" spans="1:24">
      <c r="A240" s="992"/>
      <c r="B240" s="304"/>
      <c r="C240" s="304"/>
      <c r="D240" s="304"/>
      <c r="E240" s="304"/>
      <c r="F240" s="304"/>
      <c r="G240" s="304"/>
      <c r="H240" s="304"/>
      <c r="I240" s="304"/>
      <c r="J240" s="304"/>
      <c r="K240" s="304"/>
      <c r="L240" s="304"/>
      <c r="M240" s="304"/>
      <c r="N240" s="127"/>
      <c r="O240" s="127"/>
      <c r="P240" s="38"/>
      <c r="Q240" s="38"/>
      <c r="R240" s="38"/>
      <c r="S240" s="38"/>
      <c r="T240" s="38"/>
      <c r="U240" s="38"/>
      <c r="V240" s="38"/>
      <c r="W240" s="127"/>
      <c r="X240" s="127"/>
    </row>
    <row r="241" customHeight="1" spans="1:24">
      <c r="A241" s="992"/>
      <c r="B241" s="304"/>
      <c r="C241" s="304"/>
      <c r="D241" s="304"/>
      <c r="E241" s="304"/>
      <c r="F241" s="304"/>
      <c r="G241" s="304"/>
      <c r="H241" s="304"/>
      <c r="I241" s="304"/>
      <c r="J241" s="304"/>
      <c r="K241" s="304"/>
      <c r="L241" s="304"/>
      <c r="M241" s="304"/>
      <c r="N241" s="127"/>
      <c r="O241" s="127"/>
      <c r="P241" s="38"/>
      <c r="Q241" s="38"/>
      <c r="R241" s="38"/>
      <c r="S241" s="38"/>
      <c r="T241" s="38"/>
      <c r="U241" s="38"/>
      <c r="V241" s="38"/>
      <c r="W241" s="127"/>
      <c r="X241" s="127"/>
    </row>
    <row r="242" customHeight="1" spans="1:24">
      <c r="A242" s="992"/>
      <c r="B242" s="304"/>
      <c r="C242" s="304"/>
      <c r="D242" s="304"/>
      <c r="E242" s="304"/>
      <c r="F242" s="304"/>
      <c r="G242" s="304"/>
      <c r="H242" s="304"/>
      <c r="I242" s="304"/>
      <c r="J242" s="304"/>
      <c r="K242" s="304"/>
      <c r="L242" s="304"/>
      <c r="M242" s="304"/>
      <c r="N242" s="127"/>
      <c r="O242" s="127"/>
      <c r="P242" s="38"/>
      <c r="Q242" s="38"/>
      <c r="R242" s="38"/>
      <c r="S242" s="38"/>
      <c r="T242" s="38"/>
      <c r="U242" s="38"/>
      <c r="V242" s="38"/>
      <c r="W242" s="127"/>
      <c r="X242" s="127"/>
    </row>
    <row r="243" customHeight="1" spans="1:24">
      <c r="A243" s="992"/>
      <c r="B243" s="304"/>
      <c r="C243" s="304"/>
      <c r="D243" s="304"/>
      <c r="E243" s="304"/>
      <c r="F243" s="304"/>
      <c r="G243" s="304"/>
      <c r="H243" s="304"/>
      <c r="I243" s="304"/>
      <c r="J243" s="304"/>
      <c r="K243" s="304"/>
      <c r="L243" s="304"/>
      <c r="M243" s="304"/>
      <c r="N243" s="127"/>
      <c r="O243" s="127"/>
      <c r="P243" s="38"/>
      <c r="Q243" s="38"/>
      <c r="R243" s="38"/>
      <c r="S243" s="38"/>
      <c r="T243" s="38"/>
      <c r="U243" s="38"/>
      <c r="V243" s="38"/>
      <c r="W243" s="127"/>
      <c r="X243" s="127"/>
    </row>
    <row r="244" customHeight="1" spans="1:24">
      <c r="A244" s="992"/>
      <c r="B244" s="304"/>
      <c r="C244" s="304"/>
      <c r="D244" s="304"/>
      <c r="E244" s="304"/>
      <c r="F244" s="304"/>
      <c r="G244" s="304"/>
      <c r="H244" s="304"/>
      <c r="I244" s="304"/>
      <c r="J244" s="304"/>
      <c r="K244" s="304"/>
      <c r="L244" s="304"/>
      <c r="M244" s="304"/>
      <c r="N244" s="127"/>
      <c r="O244" s="127"/>
      <c r="P244" s="38"/>
      <c r="Q244" s="38"/>
      <c r="R244" s="38"/>
      <c r="S244" s="38"/>
      <c r="T244" s="38"/>
      <c r="U244" s="38"/>
      <c r="V244" s="38"/>
      <c r="W244" s="127"/>
      <c r="X244" s="127"/>
    </row>
    <row r="245" customHeight="1" spans="1:24">
      <c r="A245" s="993"/>
      <c r="B245" s="304"/>
      <c r="C245" s="304"/>
      <c r="D245" s="304"/>
      <c r="E245" s="304"/>
      <c r="F245" s="304"/>
      <c r="G245" s="304"/>
      <c r="H245" s="304"/>
      <c r="I245" s="304"/>
      <c r="J245" s="304"/>
      <c r="K245" s="304"/>
      <c r="L245" s="304"/>
      <c r="M245" s="304"/>
      <c r="N245" s="127"/>
      <c r="O245" s="127"/>
      <c r="P245" s="38"/>
      <c r="Q245" s="38"/>
      <c r="R245" s="38"/>
      <c r="S245" s="38"/>
      <c r="T245" s="38"/>
      <c r="U245" s="38"/>
      <c r="V245" s="38"/>
      <c r="W245" s="127"/>
      <c r="X245" s="127"/>
    </row>
    <row r="246" customHeight="1" spans="1:24">
      <c r="A246" s="127"/>
      <c r="B246" s="304"/>
      <c r="C246" s="304"/>
      <c r="D246" s="304"/>
      <c r="E246" s="304"/>
      <c r="F246" s="304"/>
      <c r="G246" s="304"/>
      <c r="H246" s="304"/>
      <c r="I246" s="304"/>
      <c r="J246" s="304"/>
      <c r="K246" s="304"/>
      <c r="L246" s="304"/>
      <c r="M246" s="304"/>
      <c r="N246" s="127"/>
      <c r="O246" s="127"/>
      <c r="P246" s="38"/>
      <c r="Q246" s="38"/>
      <c r="R246" s="38"/>
      <c r="S246" s="38"/>
      <c r="T246" s="38"/>
      <c r="U246" s="38"/>
      <c r="V246" s="38"/>
      <c r="W246" s="127"/>
      <c r="X246" s="127"/>
    </row>
    <row r="247" customHeight="1" spans="1:24">
      <c r="A247" s="994" t="s">
        <v>322</v>
      </c>
      <c r="B247" s="304"/>
      <c r="C247" s="304"/>
      <c r="D247" s="304"/>
      <c r="E247" s="304"/>
      <c r="F247" s="304"/>
      <c r="G247" s="304"/>
      <c r="H247" s="304"/>
      <c r="I247" s="304"/>
      <c r="J247" s="304"/>
      <c r="K247" s="304"/>
      <c r="L247" s="304"/>
      <c r="M247" s="304"/>
      <c r="N247" s="127"/>
      <c r="O247" s="127"/>
      <c r="P247" s="38"/>
      <c r="Q247" s="38"/>
      <c r="R247" s="38"/>
      <c r="S247" s="38"/>
      <c r="T247" s="38"/>
      <c r="U247" s="38"/>
      <c r="V247" s="38"/>
      <c r="W247" s="127"/>
      <c r="X247" s="127"/>
    </row>
    <row r="248" customHeight="1" spans="1:24">
      <c r="A248" s="995"/>
      <c r="B248" s="304"/>
      <c r="C248" s="304"/>
      <c r="D248" s="304"/>
      <c r="E248" s="304"/>
      <c r="F248" s="304"/>
      <c r="G248" s="304"/>
      <c r="H248" s="304"/>
      <c r="I248" s="304"/>
      <c r="J248" s="304"/>
      <c r="K248" s="304"/>
      <c r="L248" s="304"/>
      <c r="M248" s="304"/>
      <c r="N248" s="127"/>
      <c r="O248" s="127"/>
      <c r="P248" s="38"/>
      <c r="Q248" s="38"/>
      <c r="R248" s="38"/>
      <c r="S248" s="38"/>
      <c r="T248" s="38"/>
      <c r="U248" s="38"/>
      <c r="V248" s="38"/>
      <c r="W248" s="127"/>
      <c r="X248" s="127"/>
    </row>
    <row r="249" customHeight="1" spans="1:24">
      <c r="A249" s="995"/>
      <c r="B249" s="304"/>
      <c r="C249" s="304"/>
      <c r="D249" s="304"/>
      <c r="E249" s="304"/>
      <c r="F249" s="304"/>
      <c r="G249" s="304"/>
      <c r="H249" s="304"/>
      <c r="I249" s="304"/>
      <c r="J249" s="304"/>
      <c r="K249" s="304"/>
      <c r="L249" s="304"/>
      <c r="M249" s="304"/>
      <c r="N249" s="127"/>
      <c r="O249" s="127"/>
      <c r="P249" s="38"/>
      <c r="Q249" s="38"/>
      <c r="R249" s="38"/>
      <c r="S249" s="38"/>
      <c r="T249" s="38"/>
      <c r="U249" s="38"/>
      <c r="V249" s="38"/>
      <c r="W249" s="127"/>
      <c r="X249" s="127"/>
    </row>
    <row r="250" customHeight="1" spans="1:24">
      <c r="A250" s="995"/>
      <c r="B250" s="304"/>
      <c r="C250" s="304"/>
      <c r="D250" s="304"/>
      <c r="E250" s="304"/>
      <c r="F250" s="304"/>
      <c r="G250" s="304"/>
      <c r="H250" s="304"/>
      <c r="I250" s="304"/>
      <c r="J250" s="304"/>
      <c r="K250" s="304"/>
      <c r="L250" s="304"/>
      <c r="M250" s="304"/>
      <c r="N250" s="127"/>
      <c r="O250" s="127"/>
      <c r="P250" s="126"/>
      <c r="Q250" s="38"/>
      <c r="R250" s="38"/>
      <c r="S250" s="38"/>
      <c r="T250" s="38"/>
      <c r="U250" s="38"/>
      <c r="V250" s="38"/>
      <c r="W250" s="127"/>
      <c r="X250" s="127"/>
    </row>
    <row r="251" customHeight="1" spans="1:24">
      <c r="A251" s="995"/>
      <c r="B251" s="304"/>
      <c r="C251" s="304"/>
      <c r="D251" s="304"/>
      <c r="E251" s="304"/>
      <c r="F251" s="304"/>
      <c r="G251" s="304"/>
      <c r="H251" s="304"/>
      <c r="I251" s="304"/>
      <c r="J251" s="304"/>
      <c r="K251" s="304"/>
      <c r="L251" s="304"/>
      <c r="M251" s="304"/>
      <c r="N251" s="127"/>
      <c r="O251" s="127"/>
      <c r="P251" s="38"/>
      <c r="Q251" s="38"/>
      <c r="R251" s="38"/>
      <c r="S251" s="38"/>
      <c r="T251" s="38"/>
      <c r="U251" s="38"/>
      <c r="V251" s="38"/>
      <c r="W251" s="127"/>
      <c r="X251" s="127"/>
    </row>
    <row r="252" customHeight="1" spans="1:24">
      <c r="A252" s="995"/>
      <c r="B252" s="304"/>
      <c r="C252" s="304"/>
      <c r="D252" s="304"/>
      <c r="E252" s="304"/>
      <c r="F252" s="304"/>
      <c r="G252" s="304"/>
      <c r="H252" s="304"/>
      <c r="I252" s="304"/>
      <c r="J252" s="304"/>
      <c r="K252" s="304"/>
      <c r="L252" s="304"/>
      <c r="M252" s="304"/>
      <c r="N252" s="127"/>
      <c r="O252" s="127"/>
      <c r="P252" s="38"/>
      <c r="Q252" s="38"/>
      <c r="R252" s="38"/>
      <c r="S252" s="38"/>
      <c r="T252" s="38"/>
      <c r="U252" s="38"/>
      <c r="V252" s="38"/>
      <c r="W252" s="127"/>
      <c r="X252" s="127"/>
    </row>
    <row r="253" customHeight="1" spans="1:24">
      <c r="A253" s="995"/>
      <c r="B253" s="304"/>
      <c r="C253" s="304"/>
      <c r="D253" s="304"/>
      <c r="E253" s="304"/>
      <c r="F253" s="304"/>
      <c r="G253" s="304"/>
      <c r="H253" s="304"/>
      <c r="I253" s="304"/>
      <c r="J253" s="304"/>
      <c r="K253" s="304"/>
      <c r="L253" s="304"/>
      <c r="M253" s="304"/>
      <c r="N253" s="127"/>
      <c r="O253" s="127"/>
      <c r="P253" s="38"/>
      <c r="Q253" s="38"/>
      <c r="R253" s="38"/>
      <c r="S253" s="38"/>
      <c r="T253" s="38"/>
      <c r="U253" s="38"/>
      <c r="V253" s="38"/>
      <c r="W253" s="127"/>
      <c r="X253" s="127"/>
    </row>
    <row r="254" customHeight="1" spans="1:24">
      <c r="A254" s="996"/>
      <c r="B254" s="304"/>
      <c r="C254" s="304"/>
      <c r="D254" s="304"/>
      <c r="E254" s="304"/>
      <c r="F254" s="304"/>
      <c r="G254" s="304"/>
      <c r="H254" s="304"/>
      <c r="I254" s="304"/>
      <c r="J254" s="304"/>
      <c r="K254" s="304"/>
      <c r="L254" s="304"/>
      <c r="M254" s="304"/>
      <c r="N254" s="127"/>
      <c r="O254" s="127"/>
      <c r="P254" s="38"/>
      <c r="Q254" s="38"/>
      <c r="R254" s="38"/>
      <c r="S254" s="38"/>
      <c r="T254" s="38"/>
      <c r="U254" s="38"/>
      <c r="V254" s="38"/>
      <c r="W254" s="127"/>
      <c r="X254" s="127"/>
    </row>
    <row r="255" customHeight="1" spans="1:24">
      <c r="A255" s="127"/>
      <c r="B255" s="304"/>
      <c r="C255" s="304"/>
      <c r="D255" s="304"/>
      <c r="E255" s="304"/>
      <c r="F255" s="304"/>
      <c r="G255" s="304"/>
      <c r="H255" s="304"/>
      <c r="I255" s="304"/>
      <c r="J255" s="304"/>
      <c r="K255" s="304"/>
      <c r="L255" s="304"/>
      <c r="M255" s="304"/>
      <c r="N255" s="127"/>
      <c r="O255" s="127"/>
      <c r="P255" s="38"/>
      <c r="Q255" s="38"/>
      <c r="R255" s="38"/>
      <c r="S255" s="38"/>
      <c r="T255" s="38"/>
      <c r="U255" s="38"/>
      <c r="V255" s="38"/>
      <c r="W255" s="127"/>
      <c r="X255" s="127"/>
    </row>
    <row r="256" customHeight="1" spans="1:24">
      <c r="A256" s="991" t="s">
        <v>337</v>
      </c>
      <c r="B256" s="304"/>
      <c r="C256" s="304"/>
      <c r="D256" s="304"/>
      <c r="E256" s="304"/>
      <c r="F256" s="304"/>
      <c r="G256" s="304"/>
      <c r="H256" s="304"/>
      <c r="I256" s="304"/>
      <c r="J256" s="304"/>
      <c r="K256" s="304"/>
      <c r="L256" s="304"/>
      <c r="M256" s="304"/>
      <c r="N256" s="127"/>
      <c r="O256" s="127"/>
      <c r="P256" s="38"/>
      <c r="Q256" s="38"/>
      <c r="R256" s="38"/>
      <c r="S256" s="38"/>
      <c r="T256" s="38"/>
      <c r="U256" s="38"/>
      <c r="V256" s="38"/>
      <c r="W256" s="127"/>
      <c r="X256" s="127"/>
    </row>
    <row r="257" customHeight="1" spans="1:24">
      <c r="A257" s="992"/>
      <c r="B257" s="304"/>
      <c r="C257" s="304"/>
      <c r="D257" s="304"/>
      <c r="E257" s="304"/>
      <c r="F257" s="304"/>
      <c r="G257" s="304"/>
      <c r="H257" s="304"/>
      <c r="I257" s="304"/>
      <c r="J257" s="304"/>
      <c r="K257" s="304"/>
      <c r="L257" s="304"/>
      <c r="M257" s="304"/>
      <c r="N257" s="127"/>
      <c r="O257" s="127"/>
      <c r="P257" s="38"/>
      <c r="Q257" s="38"/>
      <c r="R257" s="38"/>
      <c r="S257" s="38"/>
      <c r="T257" s="38"/>
      <c r="U257" s="38"/>
      <c r="V257" s="38"/>
      <c r="W257" s="127"/>
      <c r="X257" s="127"/>
    </row>
    <row r="258" customHeight="1" spans="1:24">
      <c r="A258" s="992"/>
      <c r="B258" s="304"/>
      <c r="C258" s="304"/>
      <c r="D258" s="304"/>
      <c r="E258" s="304"/>
      <c r="F258" s="304"/>
      <c r="G258" s="304"/>
      <c r="H258" s="304"/>
      <c r="I258" s="304"/>
      <c r="J258" s="304"/>
      <c r="K258" s="304"/>
      <c r="L258" s="304"/>
      <c r="M258" s="304"/>
      <c r="N258" s="127"/>
      <c r="O258" s="127"/>
      <c r="P258" s="38"/>
      <c r="Q258" s="38"/>
      <c r="R258" s="38"/>
      <c r="S258" s="38"/>
      <c r="T258" s="38"/>
      <c r="U258" s="38"/>
      <c r="V258" s="38"/>
      <c r="W258" s="127"/>
      <c r="X258" s="127"/>
    </row>
    <row r="259" customHeight="1" spans="1:24">
      <c r="A259" s="992"/>
      <c r="B259" s="304"/>
      <c r="C259" s="304"/>
      <c r="D259" s="304"/>
      <c r="E259" s="304"/>
      <c r="F259" s="304"/>
      <c r="G259" s="304"/>
      <c r="H259" s="304"/>
      <c r="I259" s="304"/>
      <c r="J259" s="304"/>
      <c r="K259" s="304"/>
      <c r="L259" s="304"/>
      <c r="M259" s="304"/>
      <c r="N259" s="127"/>
      <c r="O259" s="127"/>
      <c r="P259" s="38"/>
      <c r="Q259" s="38"/>
      <c r="R259" s="38"/>
      <c r="S259" s="38"/>
      <c r="T259" s="38"/>
      <c r="U259" s="38"/>
      <c r="V259" s="38"/>
      <c r="W259" s="127"/>
      <c r="X259" s="127"/>
    </row>
    <row r="260" customHeight="1" spans="1:24">
      <c r="A260" s="992"/>
      <c r="B260" s="304"/>
      <c r="C260" s="304"/>
      <c r="D260" s="304"/>
      <c r="E260" s="304"/>
      <c r="F260" s="304"/>
      <c r="G260" s="304"/>
      <c r="H260" s="304"/>
      <c r="I260" s="304"/>
      <c r="J260" s="304"/>
      <c r="K260" s="304"/>
      <c r="L260" s="304"/>
      <c r="M260" s="304"/>
      <c r="N260" s="127"/>
      <c r="O260" s="127"/>
      <c r="P260" s="38"/>
      <c r="Q260" s="38"/>
      <c r="R260" s="38"/>
      <c r="S260" s="38"/>
      <c r="T260" s="38"/>
      <c r="U260" s="38"/>
      <c r="V260" s="38"/>
      <c r="W260" s="127"/>
      <c r="X260" s="127"/>
    </row>
    <row r="261" customHeight="1" spans="1:24">
      <c r="A261" s="992"/>
      <c r="B261" s="304"/>
      <c r="C261" s="304"/>
      <c r="D261" s="304"/>
      <c r="E261" s="304"/>
      <c r="F261" s="304"/>
      <c r="G261" s="304"/>
      <c r="H261" s="304"/>
      <c r="I261" s="304"/>
      <c r="J261" s="304"/>
      <c r="K261" s="304"/>
      <c r="L261" s="304"/>
      <c r="M261" s="304"/>
      <c r="N261" s="127"/>
      <c r="O261" s="127"/>
      <c r="P261" s="38"/>
      <c r="Q261" s="38"/>
      <c r="R261" s="38"/>
      <c r="S261" s="38"/>
      <c r="T261" s="38"/>
      <c r="U261" s="38"/>
      <c r="V261" s="38"/>
      <c r="W261" s="127"/>
      <c r="X261" s="127"/>
    </row>
    <row r="262" customHeight="1" spans="1:24">
      <c r="A262" s="992"/>
      <c r="B262" s="304"/>
      <c r="C262" s="304"/>
      <c r="D262" s="304"/>
      <c r="E262" s="304"/>
      <c r="F262" s="304"/>
      <c r="G262" s="304"/>
      <c r="H262" s="304"/>
      <c r="I262" s="304"/>
      <c r="J262" s="304"/>
      <c r="K262" s="304"/>
      <c r="L262" s="304"/>
      <c r="M262" s="304"/>
      <c r="N262" s="127"/>
      <c r="O262" s="127"/>
      <c r="P262" s="38"/>
      <c r="Q262" s="38"/>
      <c r="R262" s="38"/>
      <c r="S262" s="38"/>
      <c r="T262" s="38"/>
      <c r="U262" s="38"/>
      <c r="V262" s="38"/>
      <c r="W262" s="127"/>
      <c r="X262" s="127"/>
    </row>
    <row r="263" customHeight="1" spans="1:24">
      <c r="A263" s="993"/>
      <c r="B263" s="304"/>
      <c r="C263" s="304"/>
      <c r="D263" s="304"/>
      <c r="E263" s="304"/>
      <c r="F263" s="304"/>
      <c r="G263" s="304"/>
      <c r="H263" s="304"/>
      <c r="I263" s="304"/>
      <c r="J263" s="304"/>
      <c r="K263" s="304"/>
      <c r="L263" s="304"/>
      <c r="M263" s="304"/>
      <c r="N263" s="127"/>
      <c r="O263" s="127"/>
      <c r="P263" s="38"/>
      <c r="Q263" s="38"/>
      <c r="R263" s="38"/>
      <c r="S263" s="38"/>
      <c r="T263" s="38"/>
      <c r="U263" s="38"/>
      <c r="V263" s="38"/>
      <c r="W263" s="127"/>
      <c r="X263" s="127"/>
    </row>
    <row r="264" customHeight="1" spans="1:24">
      <c r="A264" s="127"/>
      <c r="B264" s="304"/>
      <c r="C264" s="304"/>
      <c r="D264" s="304"/>
      <c r="E264" s="304"/>
      <c r="F264" s="304"/>
      <c r="G264" s="304"/>
      <c r="H264" s="304"/>
      <c r="I264" s="304"/>
      <c r="J264" s="304"/>
      <c r="K264" s="304"/>
      <c r="L264" s="304"/>
      <c r="M264" s="304"/>
      <c r="N264" s="127"/>
      <c r="O264" s="127"/>
      <c r="P264" s="38"/>
      <c r="Q264" s="38"/>
      <c r="R264" s="38"/>
      <c r="S264" s="38"/>
      <c r="T264" s="38"/>
      <c r="U264" s="38"/>
      <c r="V264" s="38"/>
      <c r="W264" s="127"/>
      <c r="X264" s="127"/>
    </row>
    <row r="265" customHeight="1" spans="1:24">
      <c r="A265" s="998" t="s">
        <v>439</v>
      </c>
      <c r="B265" s="304"/>
      <c r="C265" s="304"/>
      <c r="D265" s="304"/>
      <c r="E265" s="304"/>
      <c r="F265" s="304"/>
      <c r="G265" s="304"/>
      <c r="H265" s="304"/>
      <c r="I265" s="304"/>
      <c r="J265" s="304"/>
      <c r="K265" s="304"/>
      <c r="L265" s="304"/>
      <c r="M265" s="304"/>
      <c r="N265" s="127"/>
      <c r="O265" s="127"/>
      <c r="P265" s="38"/>
      <c r="Q265" s="38"/>
      <c r="R265" s="38"/>
      <c r="S265" s="38"/>
      <c r="T265" s="38"/>
      <c r="U265" s="38"/>
      <c r="V265" s="38"/>
      <c r="W265" s="127"/>
      <c r="X265" s="127"/>
    </row>
    <row r="266" customHeight="1" spans="1:24">
      <c r="A266" s="999"/>
      <c r="B266" s="304"/>
      <c r="C266" s="304"/>
      <c r="D266" s="304"/>
      <c r="E266" s="304"/>
      <c r="F266" s="304"/>
      <c r="G266" s="304"/>
      <c r="H266" s="304"/>
      <c r="I266" s="304"/>
      <c r="J266" s="304"/>
      <c r="K266" s="304"/>
      <c r="L266" s="304"/>
      <c r="M266" s="304"/>
      <c r="N266" s="127"/>
      <c r="O266" s="127"/>
      <c r="P266" s="38"/>
      <c r="Q266" s="38"/>
      <c r="R266" s="38"/>
      <c r="S266" s="38"/>
      <c r="T266" s="38"/>
      <c r="U266" s="38"/>
      <c r="V266" s="38"/>
      <c r="W266" s="127"/>
      <c r="X266" s="127"/>
    </row>
    <row r="267" customHeight="1" spans="1:24">
      <c r="A267" s="999"/>
      <c r="B267" s="304"/>
      <c r="C267" s="304"/>
      <c r="D267" s="304"/>
      <c r="E267" s="304"/>
      <c r="F267" s="304"/>
      <c r="G267" s="304"/>
      <c r="H267" s="304"/>
      <c r="I267" s="304"/>
      <c r="J267" s="304"/>
      <c r="K267" s="304"/>
      <c r="L267" s="304"/>
      <c r="M267" s="304"/>
      <c r="N267" s="127"/>
      <c r="O267" s="127"/>
      <c r="P267" s="38"/>
      <c r="Q267" s="38"/>
      <c r="R267" s="38"/>
      <c r="S267" s="38"/>
      <c r="T267" s="38"/>
      <c r="U267" s="38"/>
      <c r="V267" s="38"/>
      <c r="W267" s="127"/>
      <c r="X267" s="127"/>
    </row>
    <row r="268" customHeight="1" spans="1:24">
      <c r="A268" s="999"/>
      <c r="B268" s="304"/>
      <c r="C268" s="304"/>
      <c r="D268" s="304"/>
      <c r="E268" s="304"/>
      <c r="F268" s="304"/>
      <c r="G268" s="304"/>
      <c r="H268" s="304"/>
      <c r="I268" s="304"/>
      <c r="J268" s="304"/>
      <c r="K268" s="304"/>
      <c r="L268" s="304"/>
      <c r="M268" s="304"/>
      <c r="N268" s="127"/>
      <c r="O268" s="127"/>
      <c r="P268" s="38"/>
      <c r="Q268" s="38"/>
      <c r="R268" s="38"/>
      <c r="S268" s="38"/>
      <c r="T268" s="38"/>
      <c r="U268" s="38"/>
      <c r="V268" s="38"/>
      <c r="W268" s="127"/>
      <c r="X268" s="127"/>
    </row>
    <row r="269" customHeight="1" spans="1:24">
      <c r="A269" s="999"/>
      <c r="B269" s="304"/>
      <c r="C269" s="304"/>
      <c r="D269" s="304"/>
      <c r="E269" s="304"/>
      <c r="F269" s="304"/>
      <c r="G269" s="304"/>
      <c r="H269" s="304"/>
      <c r="I269" s="304"/>
      <c r="J269" s="304"/>
      <c r="K269" s="304"/>
      <c r="L269" s="304"/>
      <c r="M269" s="304"/>
      <c r="N269" s="127"/>
      <c r="O269" s="127"/>
      <c r="P269" s="38"/>
      <c r="Q269" s="38"/>
      <c r="R269" s="38"/>
      <c r="S269" s="38"/>
      <c r="T269" s="38"/>
      <c r="U269" s="38"/>
      <c r="V269" s="38"/>
      <c r="W269" s="127"/>
      <c r="X269" s="127"/>
    </row>
    <row r="270" customHeight="1" spans="1:24">
      <c r="A270" s="999"/>
      <c r="B270" s="304"/>
      <c r="C270" s="304"/>
      <c r="D270" s="304"/>
      <c r="E270" s="304"/>
      <c r="F270" s="304"/>
      <c r="G270" s="304"/>
      <c r="H270" s="304"/>
      <c r="I270" s="304"/>
      <c r="J270" s="304"/>
      <c r="K270" s="304"/>
      <c r="L270" s="304"/>
      <c r="M270" s="304"/>
      <c r="N270" s="127"/>
      <c r="O270" s="127"/>
      <c r="P270" s="38"/>
      <c r="Q270" s="38"/>
      <c r="R270" s="38"/>
      <c r="S270" s="38"/>
      <c r="T270" s="38"/>
      <c r="U270" s="38"/>
      <c r="V270" s="38"/>
      <c r="W270" s="127"/>
      <c r="X270" s="127"/>
    </row>
    <row r="271" customHeight="1" spans="1:24">
      <c r="A271" s="999"/>
      <c r="B271" s="304"/>
      <c r="C271" s="304"/>
      <c r="D271" s="304"/>
      <c r="E271" s="304"/>
      <c r="F271" s="304"/>
      <c r="G271" s="304"/>
      <c r="H271" s="304"/>
      <c r="I271" s="304"/>
      <c r="J271" s="304"/>
      <c r="K271" s="304"/>
      <c r="L271" s="304"/>
      <c r="M271" s="304"/>
      <c r="N271" s="127"/>
      <c r="O271" s="127"/>
      <c r="P271" s="38"/>
      <c r="Q271" s="38"/>
      <c r="R271" s="38"/>
      <c r="S271" s="38"/>
      <c r="T271" s="38"/>
      <c r="U271" s="38"/>
      <c r="V271" s="38"/>
      <c r="W271" s="127"/>
      <c r="X271" s="127"/>
    </row>
    <row r="272" customHeight="1" spans="1:24">
      <c r="A272" s="1000"/>
      <c r="B272" s="304"/>
      <c r="C272" s="304"/>
      <c r="D272" s="304"/>
      <c r="E272" s="304"/>
      <c r="F272" s="304"/>
      <c r="G272" s="304"/>
      <c r="H272" s="304"/>
      <c r="I272" s="304"/>
      <c r="J272" s="304"/>
      <c r="K272" s="304"/>
      <c r="L272" s="304"/>
      <c r="M272" s="304"/>
      <c r="N272" s="127"/>
      <c r="O272" s="127"/>
      <c r="P272" s="127"/>
      <c r="Q272" s="127"/>
      <c r="R272" s="127"/>
      <c r="S272" s="127"/>
      <c r="T272" s="127"/>
      <c r="U272" s="127"/>
      <c r="V272" s="127"/>
      <c r="W272" s="127"/>
      <c r="X272" s="127"/>
    </row>
    <row r="273" customHeight="1" spans="1:24">
      <c r="A273" s="26"/>
      <c r="B273" s="41"/>
      <c r="C273" s="41"/>
      <c r="D273" s="41"/>
      <c r="E273" s="41"/>
      <c r="F273" s="41"/>
      <c r="G273" s="41"/>
      <c r="H273" s="41"/>
      <c r="I273" s="41"/>
      <c r="J273" s="38"/>
      <c r="K273" s="38"/>
      <c r="L273" s="38"/>
      <c r="M273" s="38"/>
      <c r="N273" s="127"/>
      <c r="O273" s="127"/>
      <c r="P273" s="127"/>
      <c r="Q273" s="127"/>
      <c r="R273" s="127"/>
      <c r="S273" s="127"/>
      <c r="T273" s="127"/>
      <c r="U273" s="127"/>
      <c r="V273" s="127"/>
      <c r="W273" s="127"/>
      <c r="X273" s="127"/>
    </row>
    <row r="274" customHeight="1" spans="1:24">
      <c r="A274" s="26"/>
      <c r="B274" s="41"/>
      <c r="C274" s="41"/>
      <c r="D274" s="41"/>
      <c r="E274" s="41"/>
      <c r="F274" s="41"/>
      <c r="G274" s="41"/>
      <c r="H274" s="41"/>
      <c r="I274" s="41"/>
      <c r="J274" s="38"/>
      <c r="K274" s="38"/>
      <c r="L274" s="38"/>
      <c r="M274" s="38"/>
      <c r="N274" s="127"/>
      <c r="O274" s="127"/>
      <c r="P274" s="127"/>
      <c r="Q274" s="127"/>
      <c r="R274" s="127"/>
      <c r="S274" s="127"/>
      <c r="T274" s="127"/>
      <c r="U274" s="127"/>
      <c r="V274" s="127"/>
      <c r="W274" s="127"/>
      <c r="X274" s="127"/>
    </row>
    <row r="275" customHeight="1" spans="1:24">
      <c r="A275" s="26"/>
      <c r="B275" s="41"/>
      <c r="C275" s="41"/>
      <c r="D275" s="41"/>
      <c r="E275" s="41"/>
      <c r="F275" s="41"/>
      <c r="G275" s="41"/>
      <c r="H275" s="41"/>
      <c r="I275" s="41"/>
      <c r="J275" s="38"/>
      <c r="K275" s="38"/>
      <c r="L275" s="38"/>
      <c r="M275" s="38"/>
      <c r="N275" s="127"/>
      <c r="O275" s="127"/>
      <c r="P275" s="127"/>
      <c r="Q275" s="127"/>
      <c r="R275" s="127"/>
      <c r="S275" s="127"/>
      <c r="T275" s="127"/>
      <c r="U275" s="127"/>
      <c r="V275" s="127"/>
      <c r="W275" s="127"/>
      <c r="X275" s="127"/>
    </row>
    <row r="276" customHeight="1" spans="1:24">
      <c r="A276" s="26"/>
      <c r="B276" s="41"/>
      <c r="C276" s="41"/>
      <c r="D276" s="41"/>
      <c r="E276" s="41"/>
      <c r="F276" s="41"/>
      <c r="G276" s="41"/>
      <c r="H276" s="41"/>
      <c r="I276" s="41"/>
      <c r="J276" s="38"/>
      <c r="K276" s="38"/>
      <c r="L276" s="38"/>
      <c r="M276" s="38"/>
      <c r="N276" s="127"/>
      <c r="O276" s="127"/>
      <c r="P276" s="127"/>
      <c r="Q276" s="127"/>
      <c r="R276" s="127"/>
      <c r="S276" s="127"/>
      <c r="T276" s="127"/>
      <c r="U276" s="127"/>
      <c r="V276" s="127"/>
      <c r="W276" s="127"/>
      <c r="X276" s="127"/>
    </row>
    <row r="277" customHeight="1" spans="1:24">
      <c r="A277" s="26"/>
      <c r="B277" s="41"/>
      <c r="C277" s="41"/>
      <c r="D277" s="41"/>
      <c r="E277" s="41"/>
      <c r="F277" s="41"/>
      <c r="G277" s="41"/>
      <c r="H277" s="41"/>
      <c r="I277" s="41"/>
      <c r="J277" s="38"/>
      <c r="K277" s="38"/>
      <c r="L277" s="38"/>
      <c r="M277" s="38"/>
      <c r="N277" s="127"/>
      <c r="O277" s="127"/>
      <c r="P277" s="127"/>
      <c r="Q277" s="127"/>
      <c r="R277" s="127"/>
      <c r="S277" s="127"/>
      <c r="T277" s="127"/>
      <c r="U277" s="127"/>
      <c r="V277" s="127"/>
      <c r="W277" s="127"/>
      <c r="X277" s="127"/>
    </row>
    <row r="278" customHeight="1" spans="1:24">
      <c r="A278" s="26"/>
      <c r="B278" s="41"/>
      <c r="C278" s="41"/>
      <c r="D278" s="41"/>
      <c r="E278" s="41"/>
      <c r="F278" s="41"/>
      <c r="G278" s="41"/>
      <c r="H278" s="41"/>
      <c r="I278" s="41"/>
      <c r="J278" s="38"/>
      <c r="K278" s="38"/>
      <c r="L278" s="38"/>
      <c r="M278" s="38"/>
      <c r="N278" s="127"/>
      <c r="O278" s="127"/>
      <c r="P278" s="127"/>
      <c r="Q278" s="127"/>
      <c r="R278" s="127"/>
      <c r="S278" s="127"/>
      <c r="T278" s="127"/>
      <c r="U278" s="127"/>
      <c r="V278" s="127"/>
      <c r="W278" s="127"/>
      <c r="X278" s="127"/>
    </row>
    <row r="279" customHeight="1" spans="1:24">
      <c r="A279" s="26"/>
      <c r="B279" s="41"/>
      <c r="C279" s="41"/>
      <c r="D279" s="41"/>
      <c r="E279" s="41"/>
      <c r="F279" s="41"/>
      <c r="G279" s="41"/>
      <c r="H279" s="41"/>
      <c r="I279" s="41"/>
      <c r="J279" s="38"/>
      <c r="K279" s="38"/>
      <c r="L279" s="38"/>
      <c r="M279" s="38"/>
      <c r="N279" s="127"/>
      <c r="O279" s="127"/>
      <c r="P279" s="127"/>
      <c r="Q279" s="127"/>
      <c r="R279" s="127"/>
      <c r="S279" s="127"/>
      <c r="T279" s="127"/>
      <c r="U279" s="127"/>
      <c r="V279" s="127"/>
      <c r="W279" s="127"/>
      <c r="X279" s="127"/>
    </row>
    <row r="280" customHeight="1" spans="1:24">
      <c r="A280" s="26"/>
      <c r="B280" s="41"/>
      <c r="C280" s="41"/>
      <c r="D280" s="41"/>
      <c r="E280" s="41"/>
      <c r="F280" s="41"/>
      <c r="G280" s="41"/>
      <c r="H280" s="41"/>
      <c r="I280" s="41"/>
      <c r="J280" s="38"/>
      <c r="K280" s="38"/>
      <c r="L280" s="38"/>
      <c r="M280" s="38"/>
      <c r="N280" s="127"/>
      <c r="O280" s="127"/>
      <c r="P280" s="127"/>
      <c r="Q280" s="127"/>
      <c r="R280" s="127"/>
      <c r="S280" s="127"/>
      <c r="T280" s="127"/>
      <c r="U280" s="127"/>
      <c r="V280" s="127"/>
      <c r="W280" s="127"/>
      <c r="X280" s="127"/>
    </row>
    <row r="281" customHeight="1" spans="1:24">
      <c r="A281" s="26"/>
      <c r="B281" s="41"/>
      <c r="C281" s="41"/>
      <c r="D281" s="41"/>
      <c r="E281" s="41"/>
      <c r="F281" s="41"/>
      <c r="G281" s="41"/>
      <c r="H281" s="41"/>
      <c r="I281" s="41"/>
      <c r="J281" s="38"/>
      <c r="K281" s="38"/>
      <c r="L281" s="38"/>
      <c r="M281" s="38"/>
      <c r="N281" s="127"/>
      <c r="O281" s="127"/>
      <c r="P281" s="127"/>
      <c r="Q281" s="127"/>
      <c r="R281" s="127"/>
      <c r="S281" s="127"/>
      <c r="T281" s="127"/>
      <c r="U281" s="127"/>
      <c r="V281" s="127"/>
      <c r="W281" s="127"/>
      <c r="X281" s="127"/>
    </row>
    <row r="282" customHeight="1" spans="1:24">
      <c r="A282" s="26"/>
      <c r="B282" s="26"/>
      <c r="C282" s="26"/>
      <c r="D282" s="26"/>
      <c r="E282" s="26"/>
      <c r="F282" s="26"/>
      <c r="G282" s="26"/>
      <c r="H282" s="26"/>
      <c r="I282" s="26"/>
      <c r="J282" s="127"/>
      <c r="K282" s="127"/>
      <c r="L282" s="127"/>
      <c r="M282" s="127"/>
      <c r="N282" s="127"/>
      <c r="O282" s="127"/>
      <c r="P282" s="127"/>
      <c r="Q282" s="127"/>
      <c r="R282" s="127"/>
      <c r="S282" s="127"/>
      <c r="T282" s="127"/>
      <c r="U282" s="127"/>
      <c r="V282" s="127"/>
      <c r="W282" s="127"/>
      <c r="X282" s="127"/>
    </row>
    <row r="283" customHeight="1" spans="1:24">
      <c r="A283" s="26"/>
      <c r="B283" s="26"/>
      <c r="C283" s="26"/>
      <c r="D283" s="26"/>
      <c r="E283" s="26"/>
      <c r="F283" s="26"/>
      <c r="G283" s="26"/>
      <c r="H283" s="26"/>
      <c r="I283" s="26"/>
      <c r="J283" s="127"/>
      <c r="K283" s="127"/>
      <c r="L283" s="127"/>
      <c r="M283" s="127"/>
      <c r="N283" s="127"/>
      <c r="O283" s="127"/>
      <c r="P283" s="127"/>
      <c r="Q283" s="127"/>
      <c r="R283" s="127"/>
      <c r="S283" s="127"/>
      <c r="T283" s="127"/>
      <c r="U283" s="127"/>
      <c r="V283" s="127"/>
      <c r="W283" s="127"/>
      <c r="X283" s="127"/>
    </row>
    <row r="284" customHeight="1" spans="1:24">
      <c r="A284" s="26"/>
      <c r="B284" s="26"/>
      <c r="C284" s="26"/>
      <c r="D284" s="26"/>
      <c r="E284" s="26"/>
      <c r="F284" s="26"/>
      <c r="G284" s="26"/>
      <c r="H284" s="26"/>
      <c r="I284" s="26"/>
      <c r="J284" s="127"/>
      <c r="K284" s="127"/>
      <c r="L284" s="127"/>
      <c r="M284" s="127"/>
      <c r="N284" s="127"/>
      <c r="O284" s="127"/>
      <c r="P284" s="127"/>
      <c r="Q284" s="127"/>
      <c r="R284" s="127"/>
      <c r="S284" s="127"/>
      <c r="T284" s="127"/>
      <c r="U284" s="127"/>
      <c r="V284" s="127"/>
      <c r="W284" s="127"/>
      <c r="X284" s="127"/>
    </row>
    <row r="285" customHeight="1" spans="1:24">
      <c r="A285" s="26"/>
      <c r="B285" s="26"/>
      <c r="C285" s="26"/>
      <c r="D285" s="26"/>
      <c r="E285" s="26"/>
      <c r="F285" s="26"/>
      <c r="G285" s="26"/>
      <c r="H285" s="26"/>
      <c r="I285" s="26"/>
      <c r="J285" s="127"/>
      <c r="K285" s="127"/>
      <c r="L285" s="127"/>
      <c r="M285" s="127"/>
      <c r="N285" s="127"/>
      <c r="O285" s="127"/>
      <c r="P285" s="127"/>
      <c r="Q285" s="127"/>
      <c r="R285" s="127"/>
      <c r="S285" s="127"/>
      <c r="T285" s="127"/>
      <c r="U285" s="127"/>
      <c r="V285" s="127"/>
      <c r="W285" s="127"/>
      <c r="X285" s="127"/>
    </row>
    <row r="286" customHeight="1" spans="1:24">
      <c r="A286" s="26"/>
      <c r="B286" s="26"/>
      <c r="C286" s="26"/>
      <c r="D286" s="26"/>
      <c r="E286" s="26"/>
      <c r="F286" s="26"/>
      <c r="G286" s="26"/>
      <c r="H286" s="26"/>
      <c r="I286" s="26"/>
      <c r="J286" s="127"/>
      <c r="K286" s="127"/>
      <c r="L286" s="127"/>
      <c r="M286" s="127"/>
      <c r="N286" s="127"/>
      <c r="O286" s="127"/>
      <c r="P286" s="127"/>
      <c r="Q286" s="127"/>
      <c r="R286" s="127"/>
      <c r="S286" s="127"/>
      <c r="T286" s="127"/>
      <c r="U286" s="127"/>
      <c r="V286" s="127"/>
      <c r="W286" s="127"/>
      <c r="X286" s="127"/>
    </row>
    <row r="287" customHeight="1" spans="1:24">
      <c r="A287" s="26"/>
      <c r="B287" s="26"/>
      <c r="C287" s="26"/>
      <c r="D287" s="26"/>
      <c r="E287" s="26"/>
      <c r="F287" s="26"/>
      <c r="G287" s="26"/>
      <c r="H287" s="26"/>
      <c r="I287" s="26"/>
      <c r="J287" s="127"/>
      <c r="K287" s="127"/>
      <c r="L287" s="127"/>
      <c r="M287" s="127"/>
      <c r="N287" s="127"/>
      <c r="O287" s="127"/>
      <c r="P287" s="127"/>
      <c r="Q287" s="127"/>
      <c r="R287" s="127"/>
      <c r="S287" s="127"/>
      <c r="T287" s="127"/>
      <c r="U287" s="127"/>
      <c r="V287" s="127"/>
      <c r="W287" s="127"/>
      <c r="X287" s="127"/>
    </row>
    <row r="288" customHeight="1" spans="1:24">
      <c r="A288" s="26"/>
      <c r="B288" s="26"/>
      <c r="C288" s="26"/>
      <c r="D288" s="26"/>
      <c r="E288" s="26"/>
      <c r="F288" s="26"/>
      <c r="G288" s="26"/>
      <c r="H288" s="26"/>
      <c r="I288" s="26"/>
      <c r="J288" s="127"/>
      <c r="K288" s="127"/>
      <c r="L288" s="127"/>
      <c r="M288" s="127"/>
      <c r="N288" s="127"/>
      <c r="O288" s="127"/>
      <c r="P288" s="127"/>
      <c r="Q288" s="127"/>
      <c r="R288" s="127"/>
      <c r="S288" s="127"/>
      <c r="T288" s="127"/>
      <c r="U288" s="127"/>
      <c r="V288" s="127"/>
      <c r="W288" s="127"/>
      <c r="X288" s="127"/>
    </row>
    <row r="289" customHeight="1" spans="1:24">
      <c r="A289" s="26"/>
      <c r="B289" s="26"/>
      <c r="C289" s="26"/>
      <c r="D289" s="26"/>
      <c r="E289" s="26"/>
      <c r="F289" s="26"/>
      <c r="G289" s="26"/>
      <c r="H289" s="26"/>
      <c r="I289" s="26"/>
      <c r="J289" s="127"/>
      <c r="K289" s="127"/>
      <c r="L289" s="127"/>
      <c r="M289" s="127"/>
      <c r="N289" s="127"/>
      <c r="O289" s="127"/>
      <c r="P289" s="127"/>
      <c r="Q289" s="127"/>
      <c r="R289" s="127"/>
      <c r="S289" s="127"/>
      <c r="T289" s="127"/>
      <c r="U289" s="127"/>
      <c r="V289" s="127"/>
      <c r="W289" s="127"/>
      <c r="X289" s="127"/>
    </row>
    <row r="290" customHeight="1" spans="1:24">
      <c r="A290" s="26"/>
      <c r="B290" s="26"/>
      <c r="C290" s="26"/>
      <c r="D290" s="26"/>
      <c r="E290" s="26"/>
      <c r="F290" s="26"/>
      <c r="G290" s="26"/>
      <c r="H290" s="26"/>
      <c r="I290" s="26"/>
      <c r="J290" s="127"/>
      <c r="K290" s="127"/>
      <c r="L290" s="127"/>
      <c r="M290" s="127"/>
      <c r="N290" s="127"/>
      <c r="O290" s="127"/>
      <c r="P290" s="127"/>
      <c r="Q290" s="127"/>
      <c r="R290" s="127"/>
      <c r="S290" s="127"/>
      <c r="T290" s="127"/>
      <c r="U290" s="127"/>
      <c r="V290" s="127"/>
      <c r="W290" s="127"/>
      <c r="X290" s="127"/>
    </row>
    <row r="291" customHeight="1" spans="1:24">
      <c r="A291" s="26"/>
      <c r="B291" s="26"/>
      <c r="C291" s="26"/>
      <c r="D291" s="26"/>
      <c r="E291" s="26"/>
      <c r="F291" s="26"/>
      <c r="G291" s="26"/>
      <c r="H291" s="26"/>
      <c r="I291" s="26"/>
      <c r="J291" s="127"/>
      <c r="K291" s="127"/>
      <c r="L291" s="127"/>
      <c r="M291" s="127"/>
      <c r="N291" s="127"/>
      <c r="O291" s="127"/>
      <c r="P291" s="127"/>
      <c r="Q291" s="127"/>
      <c r="R291" s="127"/>
      <c r="S291" s="127"/>
      <c r="T291" s="127"/>
      <c r="U291" s="127"/>
      <c r="V291" s="127"/>
      <c r="W291" s="127"/>
      <c r="X291" s="127"/>
    </row>
    <row r="292" customHeight="1" spans="1:24">
      <c r="A292" s="26"/>
      <c r="B292" s="26"/>
      <c r="C292" s="26"/>
      <c r="D292" s="26"/>
      <c r="E292" s="26"/>
      <c r="F292" s="26"/>
      <c r="G292" s="26"/>
      <c r="H292" s="26"/>
      <c r="I292" s="26"/>
      <c r="J292" s="127"/>
      <c r="K292" s="127"/>
      <c r="L292" s="127"/>
      <c r="M292" s="127"/>
      <c r="N292" s="127"/>
      <c r="O292" s="127"/>
      <c r="P292" s="127"/>
      <c r="Q292" s="127"/>
      <c r="R292" s="127"/>
      <c r="S292" s="127"/>
      <c r="T292" s="127"/>
      <c r="U292" s="127"/>
      <c r="V292" s="127"/>
      <c r="W292" s="127"/>
      <c r="X292" s="127"/>
    </row>
    <row r="293" customHeight="1" spans="1:24">
      <c r="A293" s="26"/>
      <c r="B293" s="26"/>
      <c r="C293" s="26"/>
      <c r="D293" s="26"/>
      <c r="E293" s="26"/>
      <c r="F293" s="26"/>
      <c r="G293" s="26"/>
      <c r="H293" s="26"/>
      <c r="I293" s="26"/>
      <c r="J293" s="127"/>
      <c r="K293" s="127"/>
      <c r="L293" s="127"/>
      <c r="M293" s="127"/>
      <c r="N293" s="127"/>
      <c r="O293" s="127"/>
      <c r="P293" s="127"/>
      <c r="Q293" s="127"/>
      <c r="R293" s="127"/>
      <c r="S293" s="127"/>
      <c r="T293" s="127"/>
      <c r="U293" s="127"/>
      <c r="V293" s="127"/>
      <c r="W293" s="127"/>
      <c r="X293" s="127"/>
    </row>
    <row r="294" customHeight="1" spans="1:24">
      <c r="A294" s="26"/>
      <c r="B294" s="26"/>
      <c r="C294" s="26"/>
      <c r="D294" s="26"/>
      <c r="E294" s="26"/>
      <c r="F294" s="26"/>
      <c r="G294" s="26"/>
      <c r="H294" s="26"/>
      <c r="I294" s="26"/>
      <c r="J294" s="127"/>
      <c r="K294" s="127"/>
      <c r="L294" s="127"/>
      <c r="M294" s="127"/>
      <c r="N294" s="127"/>
      <c r="O294" s="127"/>
      <c r="P294" s="127"/>
      <c r="Q294" s="127"/>
      <c r="R294" s="127"/>
      <c r="S294" s="127"/>
      <c r="T294" s="127"/>
      <c r="U294" s="127"/>
      <c r="V294" s="127"/>
      <c r="W294" s="127"/>
      <c r="X294" s="127"/>
    </row>
    <row r="295" customHeight="1" spans="1:24">
      <c r="A295" s="26"/>
      <c r="B295" s="26"/>
      <c r="C295" s="26"/>
      <c r="D295" s="26"/>
      <c r="E295" s="26"/>
      <c r="F295" s="26"/>
      <c r="G295" s="26"/>
      <c r="H295" s="26"/>
      <c r="I295" s="26"/>
      <c r="J295" s="127"/>
      <c r="K295" s="127"/>
      <c r="L295" s="127"/>
      <c r="M295" s="127"/>
      <c r="N295" s="127"/>
      <c r="O295" s="127"/>
      <c r="P295" s="127"/>
      <c r="Q295" s="127"/>
      <c r="R295" s="127"/>
      <c r="S295" s="127"/>
      <c r="T295" s="127"/>
      <c r="U295" s="127"/>
      <c r="V295" s="127"/>
      <c r="W295" s="127"/>
      <c r="X295" s="127"/>
    </row>
    <row r="296" customHeight="1" spans="1:24">
      <c r="A296" s="26"/>
      <c r="B296" s="26"/>
      <c r="C296" s="26"/>
      <c r="D296" s="26"/>
      <c r="E296" s="26"/>
      <c r="F296" s="26"/>
      <c r="G296" s="26"/>
      <c r="H296" s="26"/>
      <c r="I296" s="26"/>
      <c r="J296" s="127"/>
      <c r="K296" s="127"/>
      <c r="L296" s="127"/>
      <c r="M296" s="127"/>
      <c r="N296" s="127"/>
      <c r="O296" s="127"/>
      <c r="P296" s="127"/>
      <c r="Q296" s="127"/>
      <c r="R296" s="127"/>
      <c r="S296" s="127"/>
      <c r="T296" s="127"/>
      <c r="U296" s="127"/>
      <c r="V296" s="127"/>
      <c r="W296" s="127"/>
      <c r="X296" s="127"/>
    </row>
    <row r="297" customHeight="1" spans="1:24">
      <c r="A297" s="26"/>
      <c r="B297" s="26"/>
      <c r="C297" s="26"/>
      <c r="D297" s="26"/>
      <c r="E297" s="26"/>
      <c r="F297" s="26"/>
      <c r="G297" s="26"/>
      <c r="H297" s="26"/>
      <c r="I297" s="26"/>
      <c r="J297" s="127"/>
      <c r="K297" s="127"/>
      <c r="L297" s="127"/>
      <c r="M297" s="127"/>
      <c r="N297" s="127"/>
      <c r="O297" s="127"/>
      <c r="P297" s="127"/>
      <c r="Q297" s="127"/>
      <c r="R297" s="127"/>
      <c r="S297" s="127"/>
      <c r="T297" s="127"/>
      <c r="U297" s="127"/>
      <c r="V297" s="127"/>
      <c r="W297" s="127"/>
      <c r="X297" s="127"/>
    </row>
    <row r="298" customHeight="1" spans="1:24">
      <c r="A298" s="26"/>
      <c r="B298" s="26"/>
      <c r="C298" s="26"/>
      <c r="D298" s="26"/>
      <c r="E298" s="26"/>
      <c r="F298" s="26"/>
      <c r="G298" s="26"/>
      <c r="H298" s="26"/>
      <c r="I298" s="26"/>
      <c r="J298" s="127"/>
      <c r="K298" s="127"/>
      <c r="L298" s="127"/>
      <c r="M298" s="127"/>
      <c r="N298" s="127"/>
      <c r="O298" s="127"/>
      <c r="P298" s="127"/>
      <c r="Q298" s="127"/>
      <c r="R298" s="127"/>
      <c r="S298" s="127"/>
      <c r="T298" s="127"/>
      <c r="U298" s="127"/>
      <c r="V298" s="127"/>
      <c r="W298" s="127"/>
      <c r="X298" s="127"/>
    </row>
    <row r="299" customHeight="1" spans="1:24">
      <c r="A299" s="26"/>
      <c r="B299" s="26"/>
      <c r="C299" s="26"/>
      <c r="D299" s="26"/>
      <c r="E299" s="26"/>
      <c r="F299" s="26"/>
      <c r="G299" s="26"/>
      <c r="H299" s="26"/>
      <c r="I299" s="26"/>
      <c r="J299" s="127"/>
      <c r="K299" s="127"/>
      <c r="L299" s="127"/>
      <c r="M299" s="127"/>
      <c r="N299" s="127"/>
      <c r="O299" s="127"/>
      <c r="P299" s="127"/>
      <c r="Q299" s="127"/>
      <c r="R299" s="127"/>
      <c r="S299" s="127"/>
      <c r="T299" s="127"/>
      <c r="U299" s="127"/>
      <c r="V299" s="127"/>
      <c r="W299" s="127"/>
      <c r="X299" s="127"/>
    </row>
    <row r="300" customHeight="1" spans="1:24">
      <c r="A300" s="26"/>
      <c r="B300" s="26"/>
      <c r="C300" s="26"/>
      <c r="D300" s="26"/>
      <c r="E300" s="26"/>
      <c r="F300" s="26"/>
      <c r="G300" s="26"/>
      <c r="H300" s="26"/>
      <c r="I300" s="26"/>
      <c r="J300" s="127"/>
      <c r="K300" s="127"/>
      <c r="L300" s="127"/>
      <c r="M300" s="127"/>
      <c r="N300" s="127"/>
      <c r="O300" s="127"/>
      <c r="P300" s="127"/>
      <c r="Q300" s="127"/>
      <c r="R300" s="127"/>
      <c r="S300" s="127"/>
      <c r="T300" s="127"/>
      <c r="U300" s="127"/>
      <c r="V300" s="127"/>
      <c r="W300" s="127"/>
      <c r="X300" s="127"/>
    </row>
    <row r="301" customHeight="1" spans="1:24">
      <c r="A301" s="26"/>
      <c r="B301" s="26"/>
      <c r="C301" s="26"/>
      <c r="D301" s="26"/>
      <c r="E301" s="26"/>
      <c r="F301" s="26"/>
      <c r="G301" s="26"/>
      <c r="H301" s="26"/>
      <c r="I301" s="26"/>
      <c r="J301" s="127"/>
      <c r="K301" s="127"/>
      <c r="L301" s="127"/>
      <c r="M301" s="127"/>
      <c r="N301" s="127"/>
      <c r="O301" s="127"/>
      <c r="P301" s="127"/>
      <c r="Q301" s="127"/>
      <c r="R301" s="127"/>
      <c r="S301" s="127"/>
      <c r="T301" s="127"/>
      <c r="U301" s="127"/>
      <c r="V301" s="127"/>
      <c r="W301" s="127"/>
      <c r="X301" s="127"/>
    </row>
    <row r="302" customHeight="1" spans="1:24">
      <c r="A302" s="26"/>
      <c r="B302" s="26"/>
      <c r="C302" s="26"/>
      <c r="D302" s="26"/>
      <c r="E302" s="26"/>
      <c r="F302" s="26"/>
      <c r="G302" s="26"/>
      <c r="H302" s="26"/>
      <c r="I302" s="26"/>
      <c r="J302" s="127"/>
      <c r="K302" s="127"/>
      <c r="L302" s="127"/>
      <c r="M302" s="127"/>
      <c r="N302" s="127"/>
      <c r="O302" s="127"/>
      <c r="P302" s="127"/>
      <c r="Q302" s="127"/>
      <c r="R302" s="127"/>
      <c r="S302" s="127"/>
      <c r="T302" s="127"/>
      <c r="U302" s="127"/>
      <c r="V302" s="127"/>
      <c r="W302" s="127"/>
      <c r="X302" s="127"/>
    </row>
    <row r="303" customHeight="1" spans="1:24">
      <c r="A303" s="26"/>
      <c r="B303" s="26"/>
      <c r="C303" s="26"/>
      <c r="D303" s="26"/>
      <c r="E303" s="26"/>
      <c r="F303" s="26"/>
      <c r="G303" s="26"/>
      <c r="H303" s="26"/>
      <c r="I303" s="26"/>
      <c r="J303" s="127"/>
      <c r="K303" s="127"/>
      <c r="L303" s="127"/>
      <c r="M303" s="127"/>
      <c r="N303" s="127"/>
      <c r="O303" s="127"/>
      <c r="P303" s="127"/>
      <c r="Q303" s="127"/>
      <c r="R303" s="127"/>
      <c r="S303" s="127"/>
      <c r="T303" s="127"/>
      <c r="U303" s="127"/>
      <c r="V303" s="127"/>
      <c r="W303" s="127"/>
      <c r="X303" s="127"/>
    </row>
    <row r="304" customHeight="1" spans="1:24">
      <c r="A304" s="26"/>
      <c r="B304" s="26"/>
      <c r="C304" s="26"/>
      <c r="D304" s="26"/>
      <c r="E304" s="26"/>
      <c r="F304" s="26"/>
      <c r="G304" s="26"/>
      <c r="H304" s="26"/>
      <c r="I304" s="26"/>
      <c r="J304" s="127"/>
      <c r="K304" s="127"/>
      <c r="L304" s="127"/>
      <c r="M304" s="127"/>
      <c r="N304" s="127"/>
      <c r="O304" s="127"/>
      <c r="P304" s="127"/>
      <c r="Q304" s="127"/>
      <c r="R304" s="127"/>
      <c r="S304" s="127"/>
      <c r="T304" s="127"/>
      <c r="U304" s="127"/>
      <c r="V304" s="127"/>
      <c r="W304" s="127"/>
      <c r="X304" s="127"/>
    </row>
    <row r="305" customHeight="1" spans="1:24">
      <c r="A305" s="26"/>
      <c r="B305" s="26"/>
      <c r="C305" s="26"/>
      <c r="D305" s="26"/>
      <c r="E305" s="26"/>
      <c r="F305" s="26"/>
      <c r="G305" s="26"/>
      <c r="H305" s="26"/>
      <c r="I305" s="26"/>
      <c r="J305" s="127"/>
      <c r="K305" s="127"/>
      <c r="L305" s="127"/>
      <c r="M305" s="127"/>
      <c r="N305" s="127"/>
      <c r="O305" s="127"/>
      <c r="P305" s="127"/>
      <c r="Q305" s="127"/>
      <c r="R305" s="127"/>
      <c r="S305" s="127"/>
      <c r="T305" s="127"/>
      <c r="U305" s="127"/>
      <c r="V305" s="127"/>
      <c r="W305" s="127"/>
      <c r="X305" s="127"/>
    </row>
    <row r="306" customHeight="1" spans="1:24">
      <c r="A306" s="26"/>
      <c r="B306" s="26"/>
      <c r="C306" s="26"/>
      <c r="D306" s="26"/>
      <c r="E306" s="26"/>
      <c r="F306" s="26"/>
      <c r="G306" s="26"/>
      <c r="H306" s="26"/>
      <c r="I306" s="26"/>
      <c r="J306" s="127"/>
      <c r="K306" s="127"/>
      <c r="L306" s="127"/>
      <c r="M306" s="127"/>
      <c r="N306" s="127"/>
      <c r="O306" s="127"/>
      <c r="P306" s="127"/>
      <c r="Q306" s="127"/>
      <c r="R306" s="127"/>
      <c r="S306" s="127"/>
      <c r="T306" s="127"/>
      <c r="U306" s="127"/>
      <c r="V306" s="127"/>
      <c r="W306" s="127"/>
      <c r="X306" s="127"/>
    </row>
    <row r="307" customHeight="1" spans="1:24">
      <c r="A307" s="26"/>
      <c r="B307" s="26"/>
      <c r="C307" s="26"/>
      <c r="D307" s="26"/>
      <c r="E307" s="26"/>
      <c r="F307" s="26"/>
      <c r="G307" s="26"/>
      <c r="H307" s="26"/>
      <c r="I307" s="26"/>
      <c r="J307" s="127"/>
      <c r="K307" s="127"/>
      <c r="L307" s="127"/>
      <c r="M307" s="127"/>
      <c r="N307" s="127"/>
      <c r="O307" s="127"/>
      <c r="P307" s="127"/>
      <c r="Q307" s="127"/>
      <c r="R307" s="127"/>
      <c r="S307" s="127"/>
      <c r="T307" s="127"/>
      <c r="U307" s="127"/>
      <c r="V307" s="127"/>
      <c r="W307" s="127"/>
      <c r="X307" s="127"/>
    </row>
    <row r="308" customHeight="1" spans="1:24">
      <c r="A308" s="26"/>
      <c r="B308" s="26"/>
      <c r="C308" s="26"/>
      <c r="D308" s="26"/>
      <c r="E308" s="26"/>
      <c r="F308" s="26"/>
      <c r="G308" s="26"/>
      <c r="H308" s="26"/>
      <c r="I308" s="26"/>
      <c r="J308" s="127"/>
      <c r="K308" s="127"/>
      <c r="L308" s="127"/>
      <c r="M308" s="127"/>
      <c r="N308" s="127"/>
      <c r="O308" s="127"/>
      <c r="P308" s="127"/>
      <c r="Q308" s="127"/>
      <c r="R308" s="127"/>
      <c r="S308" s="127"/>
      <c r="T308" s="127"/>
      <c r="U308" s="127"/>
      <c r="V308" s="127"/>
      <c r="W308" s="127"/>
      <c r="X308" s="127"/>
    </row>
    <row r="309" customHeight="1" spans="1:24">
      <c r="A309" s="26"/>
      <c r="B309" s="26"/>
      <c r="C309" s="26"/>
      <c r="D309" s="26"/>
      <c r="E309" s="26"/>
      <c r="F309" s="26"/>
      <c r="G309" s="26"/>
      <c r="H309" s="26"/>
      <c r="I309" s="26"/>
      <c r="J309" s="127"/>
      <c r="K309" s="127"/>
      <c r="L309" s="127"/>
      <c r="M309" s="127"/>
      <c r="N309" s="127"/>
      <c r="O309" s="127"/>
      <c r="P309" s="127"/>
      <c r="Q309" s="127"/>
      <c r="R309" s="127"/>
      <c r="S309" s="127"/>
      <c r="T309" s="127"/>
      <c r="U309" s="127"/>
      <c r="V309" s="127"/>
      <c r="W309" s="127"/>
      <c r="X309" s="127"/>
    </row>
    <row r="310" customHeight="1" spans="1:24">
      <c r="A310" s="26"/>
      <c r="B310" s="26"/>
      <c r="C310" s="26"/>
      <c r="D310" s="26"/>
      <c r="E310" s="26"/>
      <c r="F310" s="26"/>
      <c r="G310" s="26"/>
      <c r="H310" s="26"/>
      <c r="I310" s="26"/>
      <c r="J310" s="127"/>
      <c r="K310" s="127"/>
      <c r="L310" s="127"/>
      <c r="M310" s="127"/>
      <c r="N310" s="127"/>
      <c r="O310" s="127"/>
      <c r="P310" s="127"/>
      <c r="Q310" s="127"/>
      <c r="R310" s="127"/>
      <c r="S310" s="127"/>
      <c r="T310" s="127"/>
      <c r="U310" s="127"/>
      <c r="V310" s="127"/>
      <c r="W310" s="127"/>
      <c r="X310" s="127"/>
    </row>
    <row r="311" customHeight="1" spans="1:24">
      <c r="A311" s="26"/>
      <c r="B311" s="26"/>
      <c r="C311" s="26"/>
      <c r="D311" s="26"/>
      <c r="E311" s="26"/>
      <c r="F311" s="26"/>
      <c r="G311" s="26"/>
      <c r="H311" s="26"/>
      <c r="I311" s="26"/>
      <c r="J311" s="127"/>
      <c r="K311" s="127"/>
      <c r="L311" s="127"/>
      <c r="M311" s="127"/>
      <c r="N311" s="127"/>
      <c r="O311" s="127"/>
      <c r="P311" s="127"/>
      <c r="Q311" s="127"/>
      <c r="R311" s="127"/>
      <c r="S311" s="127"/>
      <c r="T311" s="127"/>
      <c r="U311" s="127"/>
      <c r="V311" s="127"/>
      <c r="W311" s="127"/>
      <c r="X311" s="127"/>
    </row>
    <row r="312" customHeight="1" spans="1:24">
      <c r="A312" s="26"/>
      <c r="B312" s="26"/>
      <c r="C312" s="26"/>
      <c r="D312" s="26"/>
      <c r="E312" s="26"/>
      <c r="F312" s="26"/>
      <c r="G312" s="26"/>
      <c r="H312" s="26"/>
      <c r="I312" s="26"/>
      <c r="J312" s="127"/>
      <c r="K312" s="127"/>
      <c r="L312" s="127"/>
      <c r="M312" s="127"/>
      <c r="N312" s="127"/>
      <c r="O312" s="127"/>
      <c r="P312" s="127"/>
      <c r="Q312" s="127"/>
      <c r="R312" s="127"/>
      <c r="S312" s="127"/>
      <c r="T312" s="127"/>
      <c r="U312" s="127"/>
      <c r="V312" s="127"/>
      <c r="W312" s="127"/>
      <c r="X312" s="127"/>
    </row>
    <row r="313" customHeight="1" spans="1:24">
      <c r="A313" s="26"/>
      <c r="B313" s="26"/>
      <c r="C313" s="26"/>
      <c r="D313" s="26"/>
      <c r="E313" s="26"/>
      <c r="F313" s="26"/>
      <c r="G313" s="26"/>
      <c r="H313" s="26"/>
      <c r="I313" s="26"/>
      <c r="J313" s="127"/>
      <c r="K313" s="127"/>
      <c r="L313" s="127"/>
      <c r="M313" s="127"/>
      <c r="N313" s="127"/>
      <c r="O313" s="127"/>
      <c r="P313" s="127"/>
      <c r="Q313" s="127"/>
      <c r="R313" s="127"/>
      <c r="S313" s="127"/>
      <c r="T313" s="127"/>
      <c r="U313" s="127"/>
      <c r="V313" s="127"/>
      <c r="W313" s="127"/>
      <c r="X313" s="127"/>
    </row>
    <row r="314" customHeight="1" spans="1:24">
      <c r="A314" s="26"/>
      <c r="B314" s="26"/>
      <c r="C314" s="26"/>
      <c r="D314" s="26"/>
      <c r="E314" s="26"/>
      <c r="F314" s="26"/>
      <c r="G314" s="26"/>
      <c r="H314" s="26"/>
      <c r="I314" s="26"/>
      <c r="J314" s="127"/>
      <c r="K314" s="127"/>
      <c r="L314" s="127"/>
      <c r="M314" s="127"/>
      <c r="N314" s="127"/>
      <c r="O314" s="127"/>
      <c r="P314" s="127"/>
      <c r="Q314" s="127"/>
      <c r="R314" s="127"/>
      <c r="S314" s="127"/>
      <c r="T314" s="127"/>
      <c r="U314" s="127"/>
      <c r="V314" s="127"/>
      <c r="W314" s="127"/>
      <c r="X314" s="127"/>
    </row>
    <row r="315" customHeight="1" spans="1:24">
      <c r="A315" s="26"/>
      <c r="B315" s="26"/>
      <c r="C315" s="26"/>
      <c r="D315" s="26"/>
      <c r="E315" s="26"/>
      <c r="F315" s="26"/>
      <c r="G315" s="26"/>
      <c r="H315" s="26"/>
      <c r="I315" s="26"/>
      <c r="J315" s="127"/>
      <c r="K315" s="127"/>
      <c r="L315" s="127"/>
      <c r="M315" s="127"/>
      <c r="N315" s="127"/>
      <c r="O315" s="127"/>
      <c r="P315" s="127"/>
      <c r="Q315" s="127"/>
      <c r="R315" s="127"/>
      <c r="S315" s="127"/>
      <c r="T315" s="127"/>
      <c r="U315" s="127"/>
      <c r="V315" s="127"/>
      <c r="W315" s="127"/>
      <c r="X315" s="127"/>
    </row>
    <row r="316" customHeight="1" spans="1:24">
      <c r="A316" s="26"/>
      <c r="B316" s="26"/>
      <c r="C316" s="26"/>
      <c r="D316" s="26"/>
      <c r="E316" s="26"/>
      <c r="F316" s="26"/>
      <c r="G316" s="26"/>
      <c r="H316" s="26"/>
      <c r="I316" s="26"/>
      <c r="J316" s="127"/>
      <c r="K316" s="127"/>
      <c r="L316" s="127"/>
      <c r="M316" s="127"/>
      <c r="N316" s="127"/>
      <c r="O316" s="127"/>
      <c r="P316" s="127"/>
      <c r="Q316" s="127"/>
      <c r="R316" s="127"/>
      <c r="S316" s="127"/>
      <c r="T316" s="127"/>
      <c r="U316" s="127"/>
      <c r="V316" s="127"/>
      <c r="W316" s="127"/>
      <c r="X316" s="127"/>
    </row>
    <row r="317" customHeight="1" spans="1:24">
      <c r="A317" s="26"/>
      <c r="B317" s="26"/>
      <c r="C317" s="26"/>
      <c r="D317" s="26"/>
      <c r="E317" s="26"/>
      <c r="F317" s="26"/>
      <c r="G317" s="26"/>
      <c r="H317" s="26"/>
      <c r="I317" s="26"/>
      <c r="J317" s="127"/>
      <c r="K317" s="127"/>
      <c r="L317" s="127"/>
      <c r="M317" s="127"/>
      <c r="N317" s="127"/>
      <c r="O317" s="127"/>
      <c r="P317" s="127"/>
      <c r="Q317" s="127"/>
      <c r="R317" s="127"/>
      <c r="S317" s="127"/>
      <c r="T317" s="127"/>
      <c r="U317" s="127"/>
      <c r="V317" s="127"/>
      <c r="W317" s="127"/>
      <c r="X317" s="127"/>
    </row>
    <row r="318" customHeight="1" spans="1:24">
      <c r="A318" s="26"/>
      <c r="B318" s="26"/>
      <c r="C318" s="26"/>
      <c r="D318" s="26"/>
      <c r="E318" s="26"/>
      <c r="F318" s="26"/>
      <c r="G318" s="26"/>
      <c r="H318" s="26"/>
      <c r="I318" s="26"/>
      <c r="J318" s="127"/>
      <c r="K318" s="127"/>
      <c r="L318" s="127"/>
      <c r="M318" s="127"/>
      <c r="N318" s="127"/>
      <c r="O318" s="127"/>
      <c r="P318" s="127"/>
      <c r="Q318" s="127"/>
      <c r="R318" s="127"/>
      <c r="S318" s="127"/>
      <c r="T318" s="127"/>
      <c r="U318" s="127"/>
      <c r="V318" s="127"/>
      <c r="W318" s="127"/>
      <c r="X318" s="127"/>
    </row>
    <row r="319" customHeight="1" spans="1:24">
      <c r="A319" s="26"/>
      <c r="B319" s="26"/>
      <c r="C319" s="26"/>
      <c r="D319" s="26"/>
      <c r="E319" s="26"/>
      <c r="F319" s="26"/>
      <c r="G319" s="26"/>
      <c r="H319" s="26"/>
      <c r="I319" s="26"/>
      <c r="J319" s="127"/>
      <c r="K319" s="127"/>
      <c r="L319" s="127"/>
      <c r="M319" s="127"/>
      <c r="N319" s="127"/>
      <c r="O319" s="127"/>
      <c r="P319" s="127"/>
      <c r="Q319" s="127"/>
      <c r="R319" s="127"/>
      <c r="S319" s="127"/>
      <c r="T319" s="127"/>
      <c r="U319" s="127"/>
      <c r="V319" s="127"/>
      <c r="W319" s="127"/>
      <c r="X319" s="127"/>
    </row>
    <row r="320" customHeight="1" spans="16:24">
      <c r="P320" s="127"/>
      <c r="Q320" s="127"/>
      <c r="R320" s="127"/>
      <c r="S320" s="127"/>
      <c r="T320" s="127"/>
      <c r="U320" s="127"/>
      <c r="V320" s="127"/>
      <c r="W320" s="127"/>
      <c r="X320" s="127"/>
    </row>
    <row r="321" customHeight="1" spans="16:24">
      <c r="P321" s="127"/>
      <c r="Q321" s="127"/>
      <c r="R321" s="127"/>
      <c r="S321" s="127"/>
      <c r="T321" s="127"/>
      <c r="U321" s="127"/>
      <c r="V321" s="127"/>
      <c r="W321" s="127"/>
      <c r="X321" s="127"/>
    </row>
    <row r="322" customHeight="1" spans="16:24">
      <c r="P322" s="127"/>
      <c r="Q322" s="127"/>
      <c r="R322" s="127"/>
      <c r="S322" s="127"/>
      <c r="T322" s="127"/>
      <c r="U322" s="127"/>
      <c r="V322" s="127"/>
      <c r="W322" s="127"/>
      <c r="X322" s="127"/>
    </row>
    <row r="323" customHeight="1" spans="16:24">
      <c r="P323" s="127"/>
      <c r="Q323" s="127"/>
      <c r="R323" s="127"/>
      <c r="S323" s="127"/>
      <c r="T323" s="127"/>
      <c r="U323" s="127"/>
      <c r="V323" s="127"/>
      <c r="W323" s="127"/>
      <c r="X323" s="127"/>
    </row>
    <row r="324" customHeight="1" spans="16:24">
      <c r="P324" s="127"/>
      <c r="Q324" s="127"/>
      <c r="R324" s="127"/>
      <c r="S324" s="127"/>
      <c r="T324" s="127"/>
      <c r="U324" s="127"/>
      <c r="V324" s="127"/>
      <c r="W324" s="127"/>
      <c r="X324" s="127"/>
    </row>
    <row r="325" customHeight="1" spans="16:24">
      <c r="P325" s="127"/>
      <c r="Q325" s="127"/>
      <c r="R325" s="127"/>
      <c r="S325" s="127"/>
      <c r="T325" s="127"/>
      <c r="U325" s="127"/>
      <c r="V325" s="127"/>
      <c r="W325" s="127"/>
      <c r="X325" s="127"/>
    </row>
    <row r="326" customHeight="1" spans="16:24">
      <c r="P326" s="127"/>
      <c r="Q326" s="127"/>
      <c r="R326" s="127"/>
      <c r="S326" s="127"/>
      <c r="T326" s="127"/>
      <c r="U326" s="127"/>
      <c r="V326" s="127"/>
      <c r="W326" s="127"/>
      <c r="X326" s="127"/>
    </row>
    <row r="327" customHeight="1" spans="16:24">
      <c r="P327" s="127"/>
      <c r="Q327" s="127"/>
      <c r="R327" s="127"/>
      <c r="S327" s="127"/>
      <c r="T327" s="127"/>
      <c r="U327" s="127"/>
      <c r="V327" s="127"/>
      <c r="W327" s="127"/>
      <c r="X327" s="127"/>
    </row>
  </sheetData>
  <mergeCells count="55">
    <mergeCell ref="B7:F7"/>
    <mergeCell ref="B8:E8"/>
    <mergeCell ref="B9:E9"/>
    <mergeCell ref="B10:E10"/>
    <mergeCell ref="B12:F12"/>
    <mergeCell ref="B13:E13"/>
    <mergeCell ref="B14:E14"/>
    <mergeCell ref="B15:E15"/>
    <mergeCell ref="B38:F38"/>
    <mergeCell ref="B39:E39"/>
    <mergeCell ref="B40:E40"/>
    <mergeCell ref="B41:E41"/>
    <mergeCell ref="B44:E44"/>
    <mergeCell ref="B45:E45"/>
    <mergeCell ref="B46:E46"/>
    <mergeCell ref="B49:E49"/>
    <mergeCell ref="B52:E52"/>
    <mergeCell ref="B54:F54"/>
    <mergeCell ref="B55:E55"/>
    <mergeCell ref="B56:E56"/>
    <mergeCell ref="B57:E57"/>
    <mergeCell ref="B60:E60"/>
    <mergeCell ref="B61:E61"/>
    <mergeCell ref="B62:E62"/>
    <mergeCell ref="B65:E65"/>
    <mergeCell ref="B68:E68"/>
    <mergeCell ref="B70:E70"/>
    <mergeCell ref="G70:K70"/>
    <mergeCell ref="M70:Q70"/>
    <mergeCell ref="G71:H71"/>
    <mergeCell ref="M71:N71"/>
    <mergeCell ref="G72:H72"/>
    <mergeCell ref="M72:N72"/>
    <mergeCell ref="G73:H73"/>
    <mergeCell ref="M73:N73"/>
    <mergeCell ref="G74:H74"/>
    <mergeCell ref="M74:N74"/>
    <mergeCell ref="C219:F219"/>
    <mergeCell ref="G219:J219"/>
    <mergeCell ref="K219:N219"/>
    <mergeCell ref="A229:A236"/>
    <mergeCell ref="A238:A245"/>
    <mergeCell ref="A247:A254"/>
    <mergeCell ref="A256:A263"/>
    <mergeCell ref="A265:A272"/>
    <mergeCell ref="B137:D138"/>
    <mergeCell ref="B142:D143"/>
    <mergeCell ref="B147:D149"/>
    <mergeCell ref="B156:D157"/>
    <mergeCell ref="B66:E67"/>
    <mergeCell ref="B42:E43"/>
    <mergeCell ref="B47:E48"/>
    <mergeCell ref="B50:E51"/>
    <mergeCell ref="B58:E59"/>
    <mergeCell ref="B63:E64"/>
  </mergeCells>
  <conditionalFormatting sqref="C97:Y97 C111:Y111 C104:Y104">
    <cfRule type="notContainsBlanks" dxfId="2" priority="1">
      <formula>LEN(TRIM(C97))&gt;0</formula>
    </cfRule>
  </conditionalFormatting>
  <pageMargins left="0.75" right="0.75" top="1" bottom="1" header="0.5" footer="0.5"/>
  <pageSetup paperSize="1" scale="47" fitToHeight="0" orientation="portrait"/>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1"/>
  <legacyDrawing r:id="rId2"/>
  <controls>
    <mc:AlternateContent xmlns:mc="http://schemas.openxmlformats.org/markup-compatibility/2006">
      <mc:Choice Requires="x14">
        <control shapeId="66562" r:id="rId3" name="ComboBox1">
          <controlPr defaultSize="0" r:id="rId4">
            <anchor moveWithCells="1">
              <from>
                <xdr:col>2</xdr:col>
                <xdr:colOff>868045</xdr:colOff>
                <xdr:row>0</xdr:row>
                <xdr:rowOff>84455</xdr:rowOff>
              </from>
              <to>
                <xdr:col>6</xdr:col>
                <xdr:colOff>710565</xdr:colOff>
                <xdr:row>0</xdr:row>
                <xdr:rowOff>310515</xdr:rowOff>
              </to>
            </anchor>
          </controlPr>
        </control>
      </mc:Choice>
      <mc:Fallback>
        <control shapeId="66562" r:id="rId3" name="ComboBox1"/>
      </mc:Fallback>
    </mc:AlternateContent>
    <mc:AlternateContent xmlns:mc="http://schemas.openxmlformats.org/markup-compatibility/2006">
      <mc:Choice Requires="x14">
        <control shapeId="66563" name="Check Box 3" r:id="rId5">
          <controlPr defaultSize="0">
            <anchor moveWithCells="1">
              <from>
                <xdr:col>1</xdr:col>
                <xdr:colOff>0</xdr:colOff>
                <xdr:row>1</xdr:row>
                <xdr:rowOff>19050</xdr:rowOff>
              </from>
              <to>
                <xdr:col>1</xdr:col>
                <xdr:colOff>0</xdr:colOff>
                <xdr:row>1</xdr:row>
                <xdr:rowOff>186690</xdr:rowOff>
              </to>
            </anchor>
          </controlPr>
        </control>
      </mc:Choice>
    </mc:AlternateContent>
    <mc:AlternateContent xmlns:mc="http://schemas.openxmlformats.org/markup-compatibility/2006">
      <mc:Choice Requires="x14">
        <control shapeId="66564" name="Check Box 4" r:id="rId6">
          <controlPr defaultSize="0">
            <anchor moveWithCells="1">
              <from>
                <xdr:col>1</xdr:col>
                <xdr:colOff>0</xdr:colOff>
                <xdr:row>1</xdr:row>
                <xdr:rowOff>19050</xdr:rowOff>
              </from>
              <to>
                <xdr:col>1</xdr:col>
                <xdr:colOff>0</xdr:colOff>
                <xdr:row>1</xdr:row>
                <xdr:rowOff>186690</xdr:rowOff>
              </to>
            </anchor>
          </controlPr>
        </control>
      </mc:Choice>
    </mc:AlternateContent>
    <mc:AlternateContent xmlns:mc="http://schemas.openxmlformats.org/markup-compatibility/2006">
      <mc:Choice Requires="x14">
        <control shapeId="66565" name="Check Box 5" r:id="rId7">
          <controlPr defaultSize="0">
            <anchor moveWithCells="1">
              <from>
                <xdr:col>1</xdr:col>
                <xdr:colOff>0</xdr:colOff>
                <xdr:row>1</xdr:row>
                <xdr:rowOff>431800</xdr:rowOff>
              </from>
              <to>
                <xdr:col>1</xdr:col>
                <xdr:colOff>0</xdr:colOff>
                <xdr:row>2</xdr:row>
                <xdr:rowOff>76200</xdr:rowOff>
              </to>
            </anchor>
          </controlPr>
        </control>
      </mc:Choice>
    </mc:AlternateContent>
    <mc:AlternateContent xmlns:mc="http://schemas.openxmlformats.org/markup-compatibility/2006">
      <mc:Choice Requires="x14">
        <control shapeId="66566" name="Check Box 6" r:id="rId8">
          <controlPr defaultSize="0">
            <anchor moveWithCells="1">
              <from>
                <xdr:col>1</xdr:col>
                <xdr:colOff>171450</xdr:colOff>
                <xdr:row>1</xdr:row>
                <xdr:rowOff>3175</xdr:rowOff>
              </from>
              <to>
                <xdr:col>1</xdr:col>
                <xdr:colOff>476250</xdr:colOff>
                <xdr:row>1</xdr:row>
                <xdr:rowOff>222250</xdr:rowOff>
              </to>
            </anchor>
          </controlPr>
        </control>
      </mc:Choice>
    </mc:AlternateContent>
    <mc:AlternateContent xmlns:mc="http://schemas.openxmlformats.org/markup-compatibility/2006">
      <mc:Choice Requires="x14">
        <control shapeId="66567" name="Check Box 7" r:id="rId9">
          <controlPr defaultSize="0">
            <anchor moveWithCells="1">
              <from>
                <xdr:col>1</xdr:col>
                <xdr:colOff>171450</xdr:colOff>
                <xdr:row>1</xdr:row>
                <xdr:rowOff>183515</xdr:rowOff>
              </from>
              <to>
                <xdr:col>1</xdr:col>
                <xdr:colOff>476250</xdr:colOff>
                <xdr:row>1</xdr:row>
                <xdr:rowOff>402590</xdr:rowOff>
              </to>
            </anchor>
          </controlPr>
        </control>
      </mc:Choice>
    </mc:AlternateContent>
    <mc:AlternateContent xmlns:mc="http://schemas.openxmlformats.org/markup-compatibility/2006">
      <mc:Choice Requires="x14">
        <control shapeId="66568" name="Check Box 8" r:id="rId10">
          <controlPr defaultSize="0">
            <anchor moveWithCells="1">
              <from>
                <xdr:col>1</xdr:col>
                <xdr:colOff>171450</xdr:colOff>
                <xdr:row>1</xdr:row>
                <xdr:rowOff>364490</xdr:rowOff>
              </from>
              <to>
                <xdr:col>1</xdr:col>
                <xdr:colOff>476250</xdr:colOff>
                <xdr:row>2</xdr:row>
                <xdr:rowOff>60325</xdr:rowOff>
              </to>
            </anchor>
          </controlPr>
        </control>
      </mc:Choice>
    </mc:AlternateContent>
    <mc:AlternateContent xmlns:mc="http://schemas.openxmlformats.org/markup-compatibility/2006">
      <mc:Choice Requires="x14">
        <control shapeId="66569" name="Check Box 9" r:id="rId11">
          <controlPr defaultSize="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00B0F0"/>
    <pageSetUpPr fitToPage="1"/>
  </sheetPr>
  <dimension ref="A1:Y1111"/>
  <sheetViews>
    <sheetView showRowColHeaders="0" zoomScalePageLayoutView="10" zoomScaleSheetLayoutView="40" topLeftCell="C1" workbookViewId="0">
      <pane ySplit="2" topLeftCell="A66" activePane="bottomLeft" state="frozen"/>
      <selection/>
      <selection pane="bottomLeft" activeCell="L14" sqref="L14"/>
    </sheetView>
  </sheetViews>
  <sheetFormatPr defaultColWidth="9" defaultRowHeight="13.5"/>
  <cols>
    <col min="1" max="1" width="7" customWidth="1"/>
    <col min="2" max="2" width="99.125" style="517" customWidth="1"/>
    <col min="3" max="15" width="16" customWidth="1"/>
    <col min="16" max="25" width="1.375" customWidth="1"/>
  </cols>
  <sheetData>
    <row r="1" ht="19.5" customHeight="1" spans="2:9">
      <c r="B1" s="516"/>
      <c r="C1" s="601" t="str">
        <f>"CurrentCycle "&amp;CurrentCycle&amp;"       Cycle in Calculation "&amp;CycleInCalculation&amp;"        Cycle for Monte-Carlo Simulation "&amp;MCSCycleCurrent</f>
        <v>CurrentCycle 12       Cycle in Calculation 12        Cycle for Monte-Carlo Simulation </v>
      </c>
      <c r="D1" s="601"/>
      <c r="E1" s="601"/>
      <c r="F1" s="601"/>
      <c r="G1" s="601"/>
      <c r="H1" s="601"/>
      <c r="I1" s="601"/>
    </row>
    <row r="2" spans="2:10">
      <c r="B2" s="602" t="s">
        <v>440</v>
      </c>
      <c r="C2" s="603" t="s">
        <v>441</v>
      </c>
      <c r="D2" s="604" t="s">
        <v>442</v>
      </c>
      <c r="E2" s="605" t="s">
        <v>443</v>
      </c>
      <c r="F2" s="606" t="s">
        <v>444</v>
      </c>
      <c r="G2" s="607" t="s">
        <v>445</v>
      </c>
      <c r="H2" s="608" t="s">
        <v>446</v>
      </c>
      <c r="I2" s="624" t="s">
        <v>447</v>
      </c>
      <c r="J2" s="625" t="s">
        <v>448</v>
      </c>
    </row>
    <row r="3" s="594" customFormat="1" ht="14.25" spans="1:15">
      <c r="A3" s="609"/>
      <c r="B3" s="610"/>
      <c r="C3" s="611" t="s">
        <v>449</v>
      </c>
      <c r="D3" s="612">
        <v>0</v>
      </c>
      <c r="E3" s="613">
        <v>1</v>
      </c>
      <c r="F3" s="613">
        <v>2</v>
      </c>
      <c r="G3" s="613">
        <v>3</v>
      </c>
      <c r="H3" s="613">
        <v>4</v>
      </c>
      <c r="I3" s="613">
        <v>5</v>
      </c>
      <c r="J3" s="613">
        <v>6</v>
      </c>
      <c r="K3" s="594">
        <v>7</v>
      </c>
      <c r="L3" s="594">
        <v>8</v>
      </c>
      <c r="M3" s="594">
        <v>9</v>
      </c>
      <c r="N3" s="594">
        <v>10</v>
      </c>
      <c r="O3" s="594">
        <v>11</v>
      </c>
    </row>
    <row r="4" s="595" customFormat="1" spans="1:15">
      <c r="A4" s="614"/>
      <c r="B4" s="615"/>
      <c r="C4" s="12" t="s">
        <v>450</v>
      </c>
      <c r="D4" s="12" t="s">
        <v>451</v>
      </c>
      <c r="E4" s="12" t="s">
        <v>452</v>
      </c>
      <c r="F4" s="12" t="s">
        <v>452</v>
      </c>
      <c r="G4" s="12" t="s">
        <v>453</v>
      </c>
      <c r="H4" s="12" t="s">
        <v>451</v>
      </c>
      <c r="I4" s="12" t="s">
        <v>454</v>
      </c>
      <c r="J4" s="12" t="s">
        <v>454</v>
      </c>
      <c r="K4" s="595" t="s">
        <v>451</v>
      </c>
      <c r="L4" s="595" t="s">
        <v>451</v>
      </c>
      <c r="M4" s="595" t="s">
        <v>451</v>
      </c>
      <c r="N4" s="595" t="s">
        <v>452</v>
      </c>
      <c r="O4" s="595" t="s">
        <v>452</v>
      </c>
    </row>
    <row r="5" s="596" customFormat="1" spans="1:2">
      <c r="A5" s="616" t="s">
        <v>455</v>
      </c>
      <c r="B5" s="617" t="s">
        <v>456</v>
      </c>
    </row>
    <row r="6" s="484" customFormat="1" spans="1:17">
      <c r="A6" s="618"/>
      <c r="B6" s="526" t="s">
        <v>457</v>
      </c>
      <c r="C6" s="619">
        <v>1600668.9541</v>
      </c>
      <c r="D6" s="619">
        <v>3084381.1407</v>
      </c>
      <c r="E6" s="619">
        <v>3084381.1407</v>
      </c>
      <c r="F6" s="619">
        <v>3084381.1407</v>
      </c>
      <c r="G6" s="619">
        <v>3115697.5626</v>
      </c>
      <c r="H6" s="619">
        <v>3150846.2551</v>
      </c>
      <c r="I6" s="619">
        <v>3150846.2551</v>
      </c>
      <c r="J6" s="619">
        <v>3150846.2551</v>
      </c>
      <c r="K6" s="619">
        <v>3150846.2551</v>
      </c>
      <c r="L6" s="619">
        <v>3150846.2551</v>
      </c>
      <c r="M6" s="619">
        <v>3150846.2551</v>
      </c>
      <c r="N6" s="619"/>
      <c r="O6" s="619"/>
      <c r="P6" s="619"/>
      <c r="Q6" s="619"/>
    </row>
    <row r="7" s="484" customFormat="1" spans="1:17">
      <c r="A7" s="618"/>
      <c r="B7" s="526" t="s">
        <v>458</v>
      </c>
      <c r="C7" s="619">
        <v>480757.5764</v>
      </c>
      <c r="D7" s="619">
        <v>978226.7134</v>
      </c>
      <c r="E7" s="619">
        <v>978226.7134</v>
      </c>
      <c r="F7" s="619">
        <v>978226.7134</v>
      </c>
      <c r="G7" s="619">
        <v>978226.7134</v>
      </c>
      <c r="H7" s="619">
        <v>978226.7134</v>
      </c>
      <c r="I7" s="619">
        <v>978226.7134</v>
      </c>
      <c r="J7" s="619">
        <v>978226.7134</v>
      </c>
      <c r="K7" s="619">
        <v>978226.7134</v>
      </c>
      <c r="L7" s="619">
        <v>978226.7134</v>
      </c>
      <c r="M7" s="619">
        <v>978226.7134</v>
      </c>
      <c r="N7" s="619"/>
      <c r="O7" s="619"/>
      <c r="P7" s="619"/>
      <c r="Q7" s="619"/>
    </row>
    <row r="8" s="484" customFormat="1" spans="1:17">
      <c r="A8" s="618"/>
      <c r="B8" s="526" t="s">
        <v>459</v>
      </c>
      <c r="C8" s="619">
        <v>526159.6272</v>
      </c>
      <c r="D8" s="619">
        <v>1016595.1501</v>
      </c>
      <c r="E8" s="619">
        <v>1016595.1501</v>
      </c>
      <c r="F8" s="619">
        <v>1016595.1501</v>
      </c>
      <c r="G8" s="619">
        <v>1033472.2425</v>
      </c>
      <c r="H8" s="619">
        <v>1033472.2425</v>
      </c>
      <c r="I8" s="619">
        <v>1033472.2425</v>
      </c>
      <c r="J8" s="619">
        <v>1033472.2425</v>
      </c>
      <c r="K8" s="619">
        <v>1033472.2425</v>
      </c>
      <c r="L8" s="619">
        <v>1033472.2425</v>
      </c>
      <c r="M8" s="619">
        <v>1033472.2425</v>
      </c>
      <c r="N8" s="619"/>
      <c r="O8" s="619"/>
      <c r="P8" s="619"/>
      <c r="Q8" s="619"/>
    </row>
    <row r="9" s="597" customFormat="1" spans="1:22">
      <c r="A9" s="618"/>
      <c r="B9" s="526" t="s">
        <v>460</v>
      </c>
      <c r="C9" s="619">
        <v>593751.7505</v>
      </c>
      <c r="D9" s="619">
        <v>1089559.2772</v>
      </c>
      <c r="E9" s="619">
        <v>1089559.2772</v>
      </c>
      <c r="F9" s="619">
        <v>1089559.2772</v>
      </c>
      <c r="G9" s="619">
        <v>1103998.6067</v>
      </c>
      <c r="H9" s="619">
        <v>1139147.2992</v>
      </c>
      <c r="I9" s="619">
        <v>1139147.2992</v>
      </c>
      <c r="J9" s="619">
        <v>1139147.2992</v>
      </c>
      <c r="K9" s="619">
        <v>1139147.2992</v>
      </c>
      <c r="L9" s="619">
        <v>1139147.2992</v>
      </c>
      <c r="M9" s="619">
        <v>1139147.2992</v>
      </c>
      <c r="N9" s="619"/>
      <c r="O9" s="619"/>
      <c r="P9" s="619"/>
      <c r="Q9" s="619"/>
      <c r="R9" s="484"/>
      <c r="S9" s="484"/>
      <c r="T9" s="484"/>
      <c r="U9" s="484"/>
      <c r="V9" s="484"/>
    </row>
    <row r="10" s="597" customFormat="1" spans="1:17">
      <c r="A10" s="618"/>
      <c r="B10" s="526"/>
      <c r="C10" s="619"/>
      <c r="D10" s="619"/>
      <c r="E10" s="619"/>
      <c r="F10" s="619"/>
      <c r="G10" s="619"/>
      <c r="H10" s="619"/>
      <c r="I10" s="619"/>
      <c r="J10" s="619"/>
      <c r="K10" s="619"/>
      <c r="L10" s="619"/>
      <c r="M10" s="619"/>
      <c r="N10" s="619"/>
      <c r="O10" s="619"/>
      <c r="P10" s="619"/>
      <c r="Q10" s="619"/>
    </row>
    <row r="11" s="598" customFormat="1" spans="1:17">
      <c r="A11" s="618"/>
      <c r="B11" s="526" t="s">
        <v>461</v>
      </c>
      <c r="C11" s="619">
        <v>-38884.2972</v>
      </c>
      <c r="D11" s="619">
        <v>1370997.5671</v>
      </c>
      <c r="E11" s="619">
        <v>1634334.7093</v>
      </c>
      <c r="F11" s="619">
        <v>1419209.7093</v>
      </c>
      <c r="G11" s="619">
        <v>1443517.296</v>
      </c>
      <c r="H11" s="619">
        <v>1470439.0122</v>
      </c>
      <c r="I11" s="619">
        <v>1430719.0122</v>
      </c>
      <c r="J11" s="619">
        <v>1430719.0122</v>
      </c>
      <c r="K11" s="619">
        <v>1440635.8122</v>
      </c>
      <c r="L11" s="619">
        <v>1529067.7473</v>
      </c>
      <c r="M11" s="619">
        <v>1529067.7473</v>
      </c>
      <c r="N11" s="619"/>
      <c r="O11" s="619"/>
      <c r="P11" s="619"/>
      <c r="Q11" s="619"/>
    </row>
    <row r="12" s="598" customFormat="1" spans="1:17">
      <c r="A12" s="618"/>
      <c r="B12" s="526" t="s">
        <v>462</v>
      </c>
      <c r="C12" s="619">
        <v>-678.5639</v>
      </c>
      <c r="D12" s="619">
        <v>465671.8822</v>
      </c>
      <c r="E12" s="619">
        <v>537906.9296</v>
      </c>
      <c r="F12" s="619">
        <v>475406.9296</v>
      </c>
      <c r="G12" s="619">
        <v>475406.9296</v>
      </c>
      <c r="H12" s="619">
        <v>475406.9296</v>
      </c>
      <c r="I12" s="619">
        <v>463406.9296</v>
      </c>
      <c r="J12" s="619">
        <v>463406.9296</v>
      </c>
      <c r="K12" s="619">
        <v>463406.9296</v>
      </c>
      <c r="L12" s="619">
        <v>490595.2647</v>
      </c>
      <c r="M12" s="619">
        <v>490595.2647</v>
      </c>
      <c r="N12" s="619"/>
      <c r="O12" s="619"/>
      <c r="P12" s="619"/>
      <c r="Q12" s="619"/>
    </row>
    <row r="13" s="598" customFormat="1" spans="1:17">
      <c r="A13" s="618"/>
      <c r="B13" s="526" t="s">
        <v>463</v>
      </c>
      <c r="C13" s="619">
        <v>-13576.6597</v>
      </c>
      <c r="D13" s="619">
        <v>453178.8175</v>
      </c>
      <c r="E13" s="619">
        <v>535373.8649</v>
      </c>
      <c r="F13" s="619">
        <v>465998.8649</v>
      </c>
      <c r="G13" s="619">
        <v>479371.8694</v>
      </c>
      <c r="H13" s="619">
        <v>479371.8694</v>
      </c>
      <c r="I13" s="619">
        <v>466171.8694</v>
      </c>
      <c r="J13" s="619">
        <v>466171.8694</v>
      </c>
      <c r="K13" s="619">
        <v>467040.8694</v>
      </c>
      <c r="L13" s="619">
        <v>495821.2694</v>
      </c>
      <c r="M13" s="619">
        <v>495821.2694</v>
      </c>
      <c r="N13" s="619"/>
      <c r="O13" s="619"/>
      <c r="P13" s="619"/>
      <c r="Q13" s="619"/>
    </row>
    <row r="14" s="598" customFormat="1" spans="1:17">
      <c r="A14" s="618"/>
      <c r="B14" s="526" t="s">
        <v>464</v>
      </c>
      <c r="C14" s="619">
        <v>-24629.0736</v>
      </c>
      <c r="D14" s="619">
        <v>452146.8674</v>
      </c>
      <c r="E14" s="619">
        <v>561053.9148</v>
      </c>
      <c r="F14" s="619">
        <v>477803.9148</v>
      </c>
      <c r="G14" s="619">
        <v>488738.497</v>
      </c>
      <c r="H14" s="619">
        <v>515660.2132</v>
      </c>
      <c r="I14" s="619">
        <v>501140.2132</v>
      </c>
      <c r="J14" s="619">
        <v>501140.2132</v>
      </c>
      <c r="K14" s="619">
        <v>510188.0132</v>
      </c>
      <c r="L14" s="619">
        <v>542651.2132</v>
      </c>
      <c r="M14" s="619">
        <v>542651.2132</v>
      </c>
      <c r="N14" s="619"/>
      <c r="O14" s="619"/>
      <c r="P14" s="619"/>
      <c r="Q14" s="619"/>
    </row>
    <row r="15" s="598" customFormat="1" spans="1:17">
      <c r="A15" s="618"/>
      <c r="B15" s="526"/>
      <c r="C15" s="619"/>
      <c r="D15" s="619"/>
      <c r="E15" s="619"/>
      <c r="F15" s="619"/>
      <c r="G15" s="619"/>
      <c r="H15" s="619"/>
      <c r="I15" s="619"/>
      <c r="J15" s="619"/>
      <c r="K15" s="619"/>
      <c r="L15" s="619"/>
      <c r="M15" s="619"/>
      <c r="N15" s="619"/>
      <c r="O15" s="619"/>
      <c r="P15" s="619"/>
      <c r="Q15" s="619"/>
    </row>
    <row r="16" s="598" customFormat="1" spans="1:17">
      <c r="A16" s="618"/>
      <c r="B16" s="526" t="s">
        <v>465</v>
      </c>
      <c r="C16" s="619">
        <v>-45024.8258</v>
      </c>
      <c r="D16" s="619">
        <v>891148.4182</v>
      </c>
      <c r="E16" s="619">
        <v>1225751.0318</v>
      </c>
      <c r="F16" s="619">
        <v>1064407.282</v>
      </c>
      <c r="G16" s="619">
        <v>1082637.9719</v>
      </c>
      <c r="H16" s="619">
        <v>1102829.2591</v>
      </c>
      <c r="I16" s="619">
        <v>1073039.2591</v>
      </c>
      <c r="J16" s="619">
        <v>1073039.2591</v>
      </c>
      <c r="K16" s="619">
        <v>1080476.8594</v>
      </c>
      <c r="L16" s="619">
        <v>1146800.8108</v>
      </c>
      <c r="M16" s="619">
        <v>1146800.8108</v>
      </c>
      <c r="N16" s="619"/>
      <c r="O16" s="619"/>
      <c r="P16" s="619"/>
      <c r="Q16" s="619"/>
    </row>
    <row r="17" s="598" customFormat="1" spans="1:17">
      <c r="A17" s="618"/>
      <c r="B17" s="526" t="s">
        <v>466</v>
      </c>
      <c r="C17" s="619">
        <v>-6256.7888</v>
      </c>
      <c r="D17" s="619">
        <v>302686.7233</v>
      </c>
      <c r="E17" s="619">
        <v>403430.1971</v>
      </c>
      <c r="F17" s="619">
        <v>356555.1973</v>
      </c>
      <c r="G17" s="619">
        <v>356555.1973</v>
      </c>
      <c r="H17" s="619">
        <v>356555.1973</v>
      </c>
      <c r="I17" s="619">
        <v>347555.1973</v>
      </c>
      <c r="J17" s="619">
        <v>347555.1973</v>
      </c>
      <c r="K17" s="619">
        <v>347555.1973</v>
      </c>
      <c r="L17" s="619">
        <v>367946.4487</v>
      </c>
      <c r="M17" s="619">
        <v>367946.4487</v>
      </c>
      <c r="N17" s="619"/>
      <c r="O17" s="619"/>
      <c r="P17" s="619"/>
      <c r="Q17" s="619"/>
    </row>
    <row r="18" s="598" customFormat="1" spans="1:17">
      <c r="A18" s="618"/>
      <c r="B18" s="526" t="s">
        <v>467</v>
      </c>
      <c r="C18" s="619">
        <v>-14138.9632</v>
      </c>
      <c r="D18" s="619">
        <v>294566.2312</v>
      </c>
      <c r="E18" s="619">
        <v>401530.3986</v>
      </c>
      <c r="F18" s="619">
        <v>349499.1486</v>
      </c>
      <c r="G18" s="619">
        <v>359528.902</v>
      </c>
      <c r="H18" s="619">
        <v>359528.902</v>
      </c>
      <c r="I18" s="619">
        <v>349628.902</v>
      </c>
      <c r="J18" s="619">
        <v>349628.902</v>
      </c>
      <c r="K18" s="619">
        <v>350280.6522</v>
      </c>
      <c r="L18" s="619">
        <v>371865.9522</v>
      </c>
      <c r="M18" s="619">
        <v>371865.9522</v>
      </c>
      <c r="N18" s="619"/>
      <c r="O18" s="619"/>
      <c r="P18" s="619"/>
      <c r="Q18" s="619"/>
    </row>
    <row r="19" s="598" customFormat="1" spans="1:17">
      <c r="A19" s="618"/>
      <c r="B19" s="526" t="s">
        <v>468</v>
      </c>
      <c r="C19" s="619">
        <v>-24629.0738</v>
      </c>
      <c r="D19" s="619">
        <v>293895.4637</v>
      </c>
      <c r="E19" s="619">
        <v>420790.4361</v>
      </c>
      <c r="F19" s="619">
        <v>358352.9361</v>
      </c>
      <c r="G19" s="619">
        <v>366553.8726</v>
      </c>
      <c r="H19" s="619">
        <v>386745.1598</v>
      </c>
      <c r="I19" s="619">
        <v>375855.1598</v>
      </c>
      <c r="J19" s="619">
        <v>375855.1598</v>
      </c>
      <c r="K19" s="619">
        <v>382641.0099</v>
      </c>
      <c r="L19" s="619">
        <v>406988.4099</v>
      </c>
      <c r="M19" s="619">
        <v>406988.4099</v>
      </c>
      <c r="N19" s="619"/>
      <c r="O19" s="619"/>
      <c r="P19" s="619"/>
      <c r="Q19" s="619"/>
    </row>
    <row r="20" s="598" customFormat="1" spans="1:17">
      <c r="A20" s="618"/>
      <c r="B20" s="526"/>
      <c r="C20" s="619"/>
      <c r="D20" s="619"/>
      <c r="E20" s="619"/>
      <c r="F20" s="619"/>
      <c r="G20" s="619"/>
      <c r="H20" s="619"/>
      <c r="I20" s="619"/>
      <c r="J20" s="619"/>
      <c r="K20" s="619"/>
      <c r="L20" s="619"/>
      <c r="M20" s="619"/>
      <c r="N20" s="619"/>
      <c r="O20" s="619"/>
      <c r="P20" s="619"/>
      <c r="Q20" s="619"/>
    </row>
    <row r="21" s="598" customFormat="1" spans="1:17">
      <c r="A21" s="618"/>
      <c r="B21" s="526" t="s">
        <v>469</v>
      </c>
      <c r="C21" s="619">
        <v>-150000</v>
      </c>
      <c r="D21" s="619">
        <v>-150000</v>
      </c>
      <c r="E21" s="619">
        <v>-150000</v>
      </c>
      <c r="F21" s="619">
        <v>-150000</v>
      </c>
      <c r="G21" s="619">
        <v>-150000</v>
      </c>
      <c r="H21" s="619">
        <v>-150000</v>
      </c>
      <c r="I21" s="619">
        <v>-150000</v>
      </c>
      <c r="J21" s="619">
        <v>-150000</v>
      </c>
      <c r="K21" s="619">
        <v>-150000</v>
      </c>
      <c r="L21" s="619">
        <v>-150000</v>
      </c>
      <c r="M21" s="619">
        <v>-150000</v>
      </c>
      <c r="N21" s="619"/>
      <c r="O21" s="619"/>
      <c r="P21" s="619"/>
      <c r="Q21" s="619"/>
    </row>
    <row r="22" s="597" customFormat="1" spans="1:2">
      <c r="A22" s="618"/>
      <c r="B22" s="526"/>
    </row>
    <row r="23" s="483" customFormat="1" spans="1:13">
      <c r="A23" s="618"/>
      <c r="B23" s="526" t="s">
        <v>470</v>
      </c>
      <c r="C23" s="483">
        <f t="shared" ref="C23:M23" si="0">C11/C6</f>
        <v>-0.0242925291331481</v>
      </c>
      <c r="D23" s="483">
        <f t="shared" si="0"/>
        <v>0.444496806509734</v>
      </c>
      <c r="E23" s="483">
        <f t="shared" si="0"/>
        <v>0.529874433394145</v>
      </c>
      <c r="F23" s="483">
        <f t="shared" si="0"/>
        <v>0.460127865059475</v>
      </c>
      <c r="G23" s="483">
        <f t="shared" si="0"/>
        <v>0.463304690842781</v>
      </c>
      <c r="H23" s="483">
        <f t="shared" si="0"/>
        <v>0.466680660733582</v>
      </c>
      <c r="I23" s="483">
        <f t="shared" si="0"/>
        <v>0.454074523593216</v>
      </c>
      <c r="J23" s="483">
        <f t="shared" si="0"/>
        <v>0.454074523593216</v>
      </c>
      <c r="K23" s="483">
        <f t="shared" si="0"/>
        <v>0.457221868527596</v>
      </c>
      <c r="L23" s="483">
        <f t="shared" si="0"/>
        <v>0.485287958695234</v>
      </c>
      <c r="M23" s="483">
        <f t="shared" si="0"/>
        <v>0.485287958695234</v>
      </c>
    </row>
    <row r="24" s="483" customFormat="1" spans="1:13">
      <c r="A24" s="618"/>
      <c r="B24" s="526" t="s">
        <v>471</v>
      </c>
      <c r="C24" s="483">
        <f t="shared" ref="C24:M24" si="1">C16/C6</f>
        <v>-0.0281287555960101</v>
      </c>
      <c r="D24" s="483">
        <f t="shared" si="1"/>
        <v>0.288922924096778</v>
      </c>
      <c r="E24" s="483">
        <f t="shared" si="1"/>
        <v>0.397405824988872</v>
      </c>
      <c r="F24" s="483">
        <f t="shared" si="1"/>
        <v>0.345095898802712</v>
      </c>
      <c r="G24" s="483">
        <f t="shared" si="1"/>
        <v>0.34747851809999</v>
      </c>
      <c r="H24" s="483">
        <f t="shared" si="1"/>
        <v>0.350010495534318</v>
      </c>
      <c r="I24" s="483">
        <f t="shared" si="1"/>
        <v>0.340555892679043</v>
      </c>
      <c r="J24" s="483">
        <f t="shared" si="1"/>
        <v>0.340555892679043</v>
      </c>
      <c r="K24" s="483">
        <f t="shared" si="1"/>
        <v>0.342916401475041</v>
      </c>
      <c r="L24" s="483">
        <f t="shared" si="1"/>
        <v>0.363965969124572</v>
      </c>
      <c r="M24" s="483">
        <f t="shared" si="1"/>
        <v>0.363965969124572</v>
      </c>
    </row>
    <row r="25" s="597" customFormat="1" spans="1:2">
      <c r="A25" s="618"/>
      <c r="B25" s="526"/>
    </row>
    <row r="26" s="598" customFormat="1" spans="1:19">
      <c r="A26" s="618"/>
      <c r="B26" s="526" t="s">
        <v>472</v>
      </c>
      <c r="C26" s="619">
        <v>11.6420956698783</v>
      </c>
      <c r="D26" s="619">
        <v>4.36781771420707</v>
      </c>
      <c r="E26" s="619">
        <v>3.20267861639767</v>
      </c>
      <c r="F26" s="619">
        <v>4.21079300979931</v>
      </c>
      <c r="G26" s="619">
        <v>4.21079300979931</v>
      </c>
      <c r="H26" s="619">
        <v>4.21079300979931</v>
      </c>
      <c r="I26" s="619">
        <v>4.40435097333243</v>
      </c>
      <c r="J26" s="619">
        <v>4.40435097333243</v>
      </c>
      <c r="K26" s="619">
        <v>4.40435097333243</v>
      </c>
      <c r="L26" s="619">
        <v>4.24906779018131</v>
      </c>
      <c r="M26" s="619">
        <v>4.24906779018131</v>
      </c>
      <c r="N26" s="619"/>
      <c r="O26" s="619"/>
      <c r="P26" s="619"/>
      <c r="Q26" s="619"/>
      <c r="R26" s="619"/>
      <c r="S26" s="619"/>
    </row>
    <row r="27" s="598" customFormat="1" spans="1:19">
      <c r="A27" s="618"/>
      <c r="B27" s="526" t="s">
        <v>473</v>
      </c>
      <c r="C27" s="619">
        <v>466418.81</v>
      </c>
      <c r="D27" s="619">
        <v>356059.67</v>
      </c>
      <c r="E27" s="619">
        <v>261078.82</v>
      </c>
      <c r="F27" s="619">
        <v>343259.19</v>
      </c>
      <c r="G27" s="619">
        <v>343259.19</v>
      </c>
      <c r="H27" s="619">
        <v>343259.19</v>
      </c>
      <c r="I27" s="619">
        <v>359037.82</v>
      </c>
      <c r="J27" s="619">
        <v>359037.82</v>
      </c>
      <c r="K27" s="619">
        <v>359037.82</v>
      </c>
      <c r="L27" s="619">
        <v>346379.3</v>
      </c>
      <c r="M27" s="619">
        <v>346379.3</v>
      </c>
      <c r="N27" s="619"/>
      <c r="O27" s="619"/>
      <c r="P27" s="619"/>
      <c r="Q27" s="619"/>
      <c r="R27" s="619"/>
      <c r="S27" s="619"/>
    </row>
    <row r="28" s="597" customFormat="1" spans="1:19">
      <c r="A28" s="618"/>
      <c r="B28" s="526"/>
      <c r="C28" s="619"/>
      <c r="D28" s="619"/>
      <c r="E28" s="619"/>
      <c r="F28" s="619"/>
      <c r="G28" s="619"/>
      <c r="H28" s="619"/>
      <c r="I28" s="619"/>
      <c r="J28" s="619"/>
      <c r="K28" s="619"/>
      <c r="L28" s="619"/>
      <c r="M28" s="619"/>
      <c r="N28" s="619"/>
      <c r="O28" s="619"/>
      <c r="P28" s="619"/>
      <c r="Q28" s="619"/>
      <c r="R28" s="619"/>
      <c r="S28" s="619"/>
    </row>
    <row r="29" s="597" customFormat="1" spans="1:22">
      <c r="A29" s="618"/>
      <c r="B29" s="526" t="s">
        <v>474</v>
      </c>
      <c r="C29" s="619">
        <v>-156256.79</v>
      </c>
      <c r="D29" s="619">
        <v>152686.72</v>
      </c>
      <c r="E29" s="619">
        <v>253430.2</v>
      </c>
      <c r="F29" s="619">
        <v>206555.2</v>
      </c>
      <c r="G29" s="619">
        <v>206555.2</v>
      </c>
      <c r="H29" s="619">
        <v>206555.2</v>
      </c>
      <c r="I29" s="619">
        <v>197555.2</v>
      </c>
      <c r="J29" s="619">
        <v>197555.2</v>
      </c>
      <c r="K29" s="619">
        <v>197555.2</v>
      </c>
      <c r="L29" s="619">
        <v>217946.45</v>
      </c>
      <c r="M29" s="619">
        <v>217946.45</v>
      </c>
      <c r="N29" s="619"/>
      <c r="O29" s="619"/>
      <c r="P29" s="619"/>
      <c r="Q29" s="619"/>
      <c r="R29" s="619"/>
      <c r="S29" s="619"/>
      <c r="T29" s="484"/>
      <c r="U29" s="484"/>
      <c r="V29" s="484"/>
    </row>
    <row r="30" s="597" customFormat="1" spans="1:2">
      <c r="A30" s="618"/>
      <c r="B30" s="526"/>
    </row>
    <row r="31" s="483" customFormat="1" spans="1:13">
      <c r="A31" s="618"/>
      <c r="B31" s="526" t="s">
        <v>475</v>
      </c>
      <c r="C31" s="483">
        <f t="shared" ref="C31:M31" si="2">C16/(-C21)</f>
        <v>-0.300165505333333</v>
      </c>
      <c r="D31" s="483">
        <f t="shared" si="2"/>
        <v>5.94098945466667</v>
      </c>
      <c r="E31" s="483">
        <f t="shared" si="2"/>
        <v>8.17167354533333</v>
      </c>
      <c r="F31" s="483">
        <f t="shared" si="2"/>
        <v>7.09604854666667</v>
      </c>
      <c r="G31" s="483">
        <f t="shared" si="2"/>
        <v>7.21758647933333</v>
      </c>
      <c r="H31" s="483">
        <f t="shared" si="2"/>
        <v>7.35219506066667</v>
      </c>
      <c r="I31" s="483">
        <f t="shared" si="2"/>
        <v>7.15359506066667</v>
      </c>
      <c r="J31" s="483">
        <f t="shared" si="2"/>
        <v>7.15359506066667</v>
      </c>
      <c r="K31" s="483">
        <f t="shared" si="2"/>
        <v>7.20317906266667</v>
      </c>
      <c r="L31" s="483">
        <f t="shared" si="2"/>
        <v>7.64533873866667</v>
      </c>
      <c r="M31" s="483">
        <f t="shared" si="2"/>
        <v>7.64533873866667</v>
      </c>
    </row>
    <row r="32" s="522" customFormat="1" spans="1:13">
      <c r="A32" s="618"/>
      <c r="B32" s="526" t="s">
        <v>476</v>
      </c>
      <c r="C32" s="522" t="e">
        <f t="shared" ref="C32:M32" si="3">IRR((C21,C17:C19))</f>
        <v>#NUM!</v>
      </c>
      <c r="D32" s="522">
        <f t="shared" si="3"/>
        <v>1.92016550478399</v>
      </c>
      <c r="E32" s="522">
        <f t="shared" si="3"/>
        <v>2.63746945962185</v>
      </c>
      <c r="F32" s="522">
        <f t="shared" si="3"/>
        <v>2.30183480827959</v>
      </c>
      <c r="G32" s="522">
        <f t="shared" si="3"/>
        <v>2.32050529829659</v>
      </c>
      <c r="H32" s="522">
        <f t="shared" si="3"/>
        <v>2.32950151000451</v>
      </c>
      <c r="I32" s="522">
        <f t="shared" si="3"/>
        <v>2.26571827400182</v>
      </c>
      <c r="J32" s="522">
        <f t="shared" si="3"/>
        <v>2.26571827400182</v>
      </c>
      <c r="K32" s="522">
        <f t="shared" si="3"/>
        <v>2.26980087726748</v>
      </c>
      <c r="L32" s="522">
        <f t="shared" si="3"/>
        <v>2.41246203212632</v>
      </c>
      <c r="M32" s="522">
        <f t="shared" si="3"/>
        <v>2.41246203212632</v>
      </c>
    </row>
    <row r="33" s="597" customFormat="1" spans="1:2">
      <c r="A33" s="618"/>
      <c r="B33" s="526"/>
    </row>
    <row r="34" s="522" customFormat="1" spans="1:13">
      <c r="A34" s="618"/>
      <c r="B34" s="526" t="s">
        <v>477</v>
      </c>
      <c r="C34" s="522">
        <f>FindNameFinM("Investment",0)</f>
        <v>0.05</v>
      </c>
      <c r="D34" s="522">
        <f>FindNameFinM("Investment",1)</f>
        <v>0.05</v>
      </c>
      <c r="E34" s="522">
        <f>FindNameFinM("Investment",2)</f>
        <v>0.05</v>
      </c>
      <c r="F34" s="522">
        <f>FindNameFinM("Investment",3)</f>
        <v>0.05</v>
      </c>
      <c r="G34" s="522">
        <f>FindNameFinM("Investment",4)</f>
        <v>0.05</v>
      </c>
      <c r="H34" s="522">
        <f>FindNameFinM("Investment",5)</f>
        <v>0.05</v>
      </c>
      <c r="I34" s="522">
        <f>FindNameFinM("Investment",6)</f>
        <v>0.05</v>
      </c>
      <c r="J34" s="522">
        <f>FindNameFinM("Investment",7)</f>
        <v>0.05</v>
      </c>
      <c r="K34" s="522">
        <f>FindNameFinM("Investment",8)</f>
        <v>0.05</v>
      </c>
      <c r="L34" s="522">
        <f>FindNameFinM("Investment",9)</f>
        <v>0.05</v>
      </c>
      <c r="M34" s="522">
        <f>FindNameFinM("Investment",10)</f>
        <v>0.05</v>
      </c>
    </row>
    <row r="35" s="522" customFormat="1" spans="1:13">
      <c r="A35" s="618"/>
      <c r="B35" s="526" t="s">
        <v>478</v>
      </c>
      <c r="C35" s="522">
        <f>FindNameFinM("Risk-Free",0)</f>
        <v>0.01</v>
      </c>
      <c r="D35" s="522">
        <f>FindNameFinM("Risk-Free",1)</f>
        <v>0.01</v>
      </c>
      <c r="E35" s="522">
        <f>FindNameFinM("Risk-Free",2)</f>
        <v>0.01</v>
      </c>
      <c r="F35" s="522">
        <f>FindNameFinM("Risk-Free",3)</f>
        <v>0.01</v>
      </c>
      <c r="G35" s="522">
        <f>FindNameFinM("Risk-Free",4)</f>
        <v>0.01</v>
      </c>
      <c r="H35" s="522">
        <f>FindNameFinM("Risk-Free",5)</f>
        <v>0.01</v>
      </c>
      <c r="I35" s="522">
        <f>FindNameFinM("Risk-Free",6)</f>
        <v>0.01</v>
      </c>
      <c r="J35" s="522">
        <f>FindNameFinM("Risk-Free",7)</f>
        <v>0.01</v>
      </c>
      <c r="K35" s="522">
        <f>FindNameFinM("Risk-Free",8)</f>
        <v>0.01</v>
      </c>
      <c r="L35" s="522">
        <f>FindNameFinM("Risk-Free",9)</f>
        <v>0.01</v>
      </c>
      <c r="M35" s="522">
        <f>FindNameFinM("Risk-Free",10)</f>
        <v>0.01</v>
      </c>
    </row>
    <row r="36" s="522" customFormat="1" spans="1:2">
      <c r="A36" s="618"/>
      <c r="B36" s="526"/>
    </row>
    <row r="37" s="598" customFormat="1" spans="1:15">
      <c r="A37" s="618"/>
      <c r="B37" s="526" t="s">
        <v>479</v>
      </c>
      <c r="C37" s="619">
        <f t="shared" ref="C37:M37" si="4">(C17/(1+C34)+C18/(1+C34)^2+C19/(1+C34)^3)+C21</f>
        <v>-190058.822858871</v>
      </c>
      <c r="D37" s="619">
        <f t="shared" si="4"/>
        <v>659331.276448116</v>
      </c>
      <c r="E37" s="619">
        <f t="shared" si="4"/>
        <v>961913.743166181</v>
      </c>
      <c r="F37" s="619">
        <f t="shared" si="4"/>
        <v>816141.14860447</v>
      </c>
      <c r="G37" s="619">
        <f t="shared" si="4"/>
        <v>832322.707891804</v>
      </c>
      <c r="H37" s="619">
        <f t="shared" si="4"/>
        <v>849764.700937912</v>
      </c>
      <c r="I37" s="619">
        <f t="shared" si="4"/>
        <v>822806.489081741</v>
      </c>
      <c r="J37" s="619">
        <f t="shared" si="4"/>
        <v>822806.489081741</v>
      </c>
      <c r="K37" s="619">
        <f t="shared" si="4"/>
        <v>829259.51818011</v>
      </c>
      <c r="L37" s="619">
        <f t="shared" si="4"/>
        <v>889290.460556527</v>
      </c>
      <c r="M37" s="619">
        <f t="shared" si="4"/>
        <v>889290.460556527</v>
      </c>
      <c r="N37" s="619"/>
      <c r="O37" s="619"/>
    </row>
    <row r="38" s="599" customFormat="1" spans="1:13">
      <c r="A38" s="618"/>
      <c r="B38" s="526" t="s">
        <v>480</v>
      </c>
      <c r="C38" s="599">
        <f t="shared" ref="C38:M38" si="5">DURATION(DATE(2014,12,31),DATE(2017,12,31),0.1,C36,1)</f>
        <v>2.76923076923077</v>
      </c>
      <c r="D38" s="599">
        <f t="shared" si="5"/>
        <v>2.76923076923077</v>
      </c>
      <c r="E38" s="599">
        <f t="shared" si="5"/>
        <v>2.76923076923077</v>
      </c>
      <c r="F38" s="599">
        <f t="shared" si="5"/>
        <v>2.76923076923077</v>
      </c>
      <c r="G38" s="599">
        <f t="shared" si="5"/>
        <v>2.76923076923077</v>
      </c>
      <c r="H38" s="599">
        <f t="shared" si="5"/>
        <v>2.76923076923077</v>
      </c>
      <c r="I38" s="599">
        <f t="shared" si="5"/>
        <v>2.76923076923077</v>
      </c>
      <c r="J38" s="599">
        <f t="shared" si="5"/>
        <v>2.76923076923077</v>
      </c>
      <c r="K38" s="599">
        <f t="shared" si="5"/>
        <v>2.76923076923077</v>
      </c>
      <c r="L38" s="599">
        <f t="shared" si="5"/>
        <v>2.76923076923077</v>
      </c>
      <c r="M38" s="599">
        <f t="shared" si="5"/>
        <v>2.76923076923077</v>
      </c>
    </row>
    <row r="39" s="483" customFormat="1" spans="1:25">
      <c r="A39" s="618"/>
      <c r="B39" s="526" t="s">
        <v>481</v>
      </c>
      <c r="C39" s="620">
        <f>DurationProject(C17,C18,C19,C34)</f>
        <v>2.382354557527</v>
      </c>
      <c r="D39" s="620">
        <f>DurationProject(D17,D18,D19,D34)</f>
        <v>1.95750180522052</v>
      </c>
      <c r="E39" s="620">
        <f>DurationProject(E17,E18,E19,E34)</f>
        <v>1.98136129204709</v>
      </c>
      <c r="F39" s="620">
        <f>DurationProject(F17,F18,F19,F34)</f>
        <v>1.96893037971006</v>
      </c>
      <c r="G39" s="620">
        <f>DurationProject(G17,G18,G19,G34)</f>
        <v>1.97665394359968</v>
      </c>
      <c r="H39" s="620">
        <f>DurationProject(H17,H18,H19,H34)</f>
        <v>1.99450733928644</v>
      </c>
      <c r="I39" s="620">
        <f>DurationProject(I17,I18,I19,I34)</f>
        <v>1.99349600229517</v>
      </c>
      <c r="J39" s="620">
        <f>DurationProject(J17,J18,J19,J34)</f>
        <v>1.99349600229517</v>
      </c>
      <c r="K39" s="620">
        <f>DurationProject(K17,K18,K19,K34)</f>
        <v>1.99952488721405</v>
      </c>
      <c r="L39" s="620">
        <f>DurationProject(L17,L18,L19,L34)</f>
        <v>2.00110335026019</v>
      </c>
      <c r="M39" s="620">
        <f>DurationProject(M17,M18,M19,M34)</f>
        <v>2.00110335026019</v>
      </c>
      <c r="N39" s="620" t="str">
        <f t="shared" ref="M39:Y39" si="6">IF(N34="","",DURATION(DATE(2014,12,31),DATE(2017,12,31),0.1,N34,1))</f>
        <v/>
      </c>
      <c r="O39" s="620" t="str">
        <f t="shared" si="6"/>
        <v/>
      </c>
      <c r="P39" s="620" t="str">
        <f t="shared" si="6"/>
        <v/>
      </c>
      <c r="Q39" s="620" t="str">
        <f t="shared" si="6"/>
        <v/>
      </c>
      <c r="R39" s="620" t="str">
        <f t="shared" si="6"/>
        <v/>
      </c>
      <c r="S39" s="620" t="str">
        <f t="shared" si="6"/>
        <v/>
      </c>
      <c r="T39" s="620" t="str">
        <f t="shared" si="6"/>
        <v/>
      </c>
      <c r="U39" s="620" t="str">
        <f t="shared" si="6"/>
        <v/>
      </c>
      <c r="V39" s="620" t="str">
        <f t="shared" si="6"/>
        <v/>
      </c>
      <c r="W39" s="620" t="str">
        <f t="shared" si="6"/>
        <v/>
      </c>
      <c r="X39" s="620" t="str">
        <f t="shared" si="6"/>
        <v/>
      </c>
      <c r="Y39" s="620" t="str">
        <f t="shared" si="6"/>
        <v/>
      </c>
    </row>
    <row r="40" s="597" customFormat="1" spans="1:2">
      <c r="A40" s="618"/>
      <c r="B40" s="526"/>
    </row>
    <row r="41" s="598" customFormat="1" spans="1:2">
      <c r="A41" s="618"/>
      <c r="B41" s="526" t="s">
        <v>397</v>
      </c>
    </row>
    <row r="42" s="522" customFormat="1" spans="1:2">
      <c r="A42" s="618"/>
      <c r="B42" s="526" t="s">
        <v>482</v>
      </c>
    </row>
    <row r="43" s="483" customFormat="1" spans="1:2">
      <c r="A43" s="618"/>
      <c r="B43" s="526" t="s">
        <v>483</v>
      </c>
    </row>
    <row r="44" s="483" customFormat="1" spans="1:3">
      <c r="A44" s="618"/>
      <c r="B44" s="526" t="s">
        <v>484</v>
      </c>
      <c r="C44" s="483" t="str">
        <f>IFERROR((C32-C34)/C43,"")</f>
        <v/>
      </c>
    </row>
    <row r="45" s="483" customFormat="1" spans="1:2">
      <c r="A45" s="618"/>
      <c r="B45" s="526" t="s">
        <v>485</v>
      </c>
    </row>
    <row r="46" s="483" customFormat="1" spans="1:2">
      <c r="A46" s="618"/>
      <c r="B46" s="526" t="s">
        <v>395</v>
      </c>
    </row>
    <row r="47" s="483" customFormat="1" spans="1:2">
      <c r="A47" s="618"/>
      <c r="B47" s="526" t="s">
        <v>399</v>
      </c>
    </row>
    <row r="48" s="522" customFormat="1" spans="1:2">
      <c r="A48" s="618"/>
      <c r="B48" s="526"/>
    </row>
    <row r="49" s="596" customFormat="1" spans="1:4">
      <c r="A49" s="616" t="s">
        <v>455</v>
      </c>
      <c r="B49" s="621" t="s">
        <v>486</v>
      </c>
      <c r="C49" s="622"/>
      <c r="D49" s="622"/>
    </row>
    <row r="50" spans="1:2">
      <c r="A50" s="518">
        <v>1.1</v>
      </c>
      <c r="B50" s="519" t="s">
        <v>101</v>
      </c>
    </row>
    <row r="51" spans="1:15">
      <c r="A51" s="518"/>
      <c r="B51" s="519" t="s">
        <v>487</v>
      </c>
      <c r="C51">
        <v>0.5555116875</v>
      </c>
      <c r="D51" s="623">
        <v>0.5555116875</v>
      </c>
      <c r="E51" s="623">
        <v>0.5555116875</v>
      </c>
      <c r="F51" s="623">
        <v>0.5555116875</v>
      </c>
      <c r="G51" s="623">
        <v>0.5555116875</v>
      </c>
      <c r="H51" s="623">
        <v>0.5555116875</v>
      </c>
      <c r="I51" s="623">
        <v>0.5555116875</v>
      </c>
      <c r="J51" s="623">
        <v>0.5555116875</v>
      </c>
      <c r="K51" s="623">
        <v>0.5555116875</v>
      </c>
      <c r="L51" s="623">
        <v>0.5555116875</v>
      </c>
      <c r="M51" s="623">
        <v>0.5555116875</v>
      </c>
      <c r="N51" s="626">
        <v>0.5555116875</v>
      </c>
      <c r="O51" s="626">
        <v>0.5555116875</v>
      </c>
    </row>
    <row r="52" spans="1:15">
      <c r="A52" s="518"/>
      <c r="B52" s="519" t="s">
        <v>488</v>
      </c>
      <c r="C52">
        <v>0.591351151209678</v>
      </c>
      <c r="D52" s="623">
        <v>0.591351151209678</v>
      </c>
      <c r="E52" s="623">
        <v>0.591351151209678</v>
      </c>
      <c r="F52" s="623">
        <v>0.591351151209678</v>
      </c>
      <c r="G52" s="623">
        <v>0.591351151209678</v>
      </c>
      <c r="H52" s="623">
        <v>0.591351151209678</v>
      </c>
      <c r="I52" s="623">
        <v>0.591351151209678</v>
      </c>
      <c r="J52" s="623">
        <v>0.591351151209678</v>
      </c>
      <c r="K52" s="623">
        <v>0.591351151209678</v>
      </c>
      <c r="L52" s="623">
        <v>0.591351151209678</v>
      </c>
      <c r="M52" s="623">
        <v>0.591351151209678</v>
      </c>
      <c r="N52" s="626">
        <v>0.591351151209678</v>
      </c>
      <c r="O52" s="626">
        <v>0.591351151209678</v>
      </c>
    </row>
    <row r="53" spans="1:15">
      <c r="A53" s="518"/>
      <c r="B53" s="519" t="s">
        <v>489</v>
      </c>
      <c r="C53">
        <v>0.645110346774194</v>
      </c>
      <c r="D53" s="623">
        <v>0.645110346774194</v>
      </c>
      <c r="E53" s="623">
        <v>0.645110346774194</v>
      </c>
      <c r="F53" s="623">
        <v>0.645110346774194</v>
      </c>
      <c r="G53" s="623">
        <v>0.645110346774194</v>
      </c>
      <c r="H53" s="623">
        <v>0.645110346774194</v>
      </c>
      <c r="I53" s="623">
        <v>0.645110346774194</v>
      </c>
      <c r="J53" s="623">
        <v>0.645110346774194</v>
      </c>
      <c r="K53" s="623">
        <v>0.645110346774194</v>
      </c>
      <c r="L53" s="623">
        <v>0.645110346774194</v>
      </c>
      <c r="M53" s="623">
        <v>0.645110346774194</v>
      </c>
      <c r="N53" s="626">
        <v>0.645110346774194</v>
      </c>
      <c r="O53" s="626">
        <v>0.645110346774194</v>
      </c>
    </row>
    <row r="54" spans="1:15">
      <c r="A54" s="518"/>
      <c r="B54" s="519" t="s">
        <v>490</v>
      </c>
      <c r="C54">
        <v>1</v>
      </c>
      <c r="D54" s="623">
        <v>1</v>
      </c>
      <c r="E54" s="623">
        <v>1</v>
      </c>
      <c r="F54" s="623">
        <v>1</v>
      </c>
      <c r="G54" s="623">
        <v>1</v>
      </c>
      <c r="H54" s="623">
        <v>1</v>
      </c>
      <c r="I54" s="623">
        <v>1</v>
      </c>
      <c r="J54" s="623">
        <v>1</v>
      </c>
      <c r="K54" s="623">
        <v>1</v>
      </c>
      <c r="L54" s="623">
        <v>1</v>
      </c>
      <c r="M54" s="623">
        <v>1</v>
      </c>
      <c r="N54" s="626">
        <v>1</v>
      </c>
      <c r="O54" s="626">
        <v>1</v>
      </c>
    </row>
    <row r="55" spans="1:15">
      <c r="A55" s="518"/>
      <c r="B55" s="519" t="s">
        <v>491</v>
      </c>
      <c r="C55">
        <v>1</v>
      </c>
      <c r="D55" s="623">
        <v>1</v>
      </c>
      <c r="E55" s="623">
        <v>1</v>
      </c>
      <c r="F55" s="623">
        <v>1</v>
      </c>
      <c r="G55" s="623">
        <v>1</v>
      </c>
      <c r="H55" s="623">
        <v>1</v>
      </c>
      <c r="I55" s="623">
        <v>1</v>
      </c>
      <c r="J55" s="623">
        <v>1</v>
      </c>
      <c r="K55" s="623">
        <v>1</v>
      </c>
      <c r="L55" s="623">
        <v>1</v>
      </c>
      <c r="M55" s="623">
        <v>1</v>
      </c>
      <c r="N55" s="626">
        <v>1</v>
      </c>
      <c r="O55" s="626">
        <v>1</v>
      </c>
    </row>
    <row r="56" spans="1:15">
      <c r="A56" s="518"/>
      <c r="B56" s="519" t="s">
        <v>492</v>
      </c>
      <c r="C56">
        <v>1</v>
      </c>
      <c r="D56" s="623">
        <v>1</v>
      </c>
      <c r="E56" s="623">
        <v>1</v>
      </c>
      <c r="F56" s="623">
        <v>1</v>
      </c>
      <c r="G56" s="623">
        <v>1</v>
      </c>
      <c r="H56" s="623">
        <v>1</v>
      </c>
      <c r="I56" s="623">
        <v>1</v>
      </c>
      <c r="J56" s="623">
        <v>1</v>
      </c>
      <c r="K56" s="623">
        <v>1</v>
      </c>
      <c r="L56" s="623">
        <v>1</v>
      </c>
      <c r="M56" s="623">
        <v>1</v>
      </c>
      <c r="N56" s="626">
        <v>1</v>
      </c>
      <c r="O56" s="626">
        <v>1</v>
      </c>
    </row>
    <row r="57" spans="1:15">
      <c r="A57" s="518"/>
      <c r="B57" s="519" t="s">
        <v>493</v>
      </c>
      <c r="C57">
        <v>1</v>
      </c>
      <c r="D57" s="623">
        <v>1</v>
      </c>
      <c r="E57" s="623">
        <v>1</v>
      </c>
      <c r="F57" s="623">
        <v>1</v>
      </c>
      <c r="G57" s="623">
        <v>1</v>
      </c>
      <c r="H57" s="623">
        <v>1</v>
      </c>
      <c r="I57" s="623">
        <v>1</v>
      </c>
      <c r="J57" s="623">
        <v>1</v>
      </c>
      <c r="K57" s="623">
        <v>1</v>
      </c>
      <c r="L57" s="623">
        <v>1</v>
      </c>
      <c r="M57" s="623">
        <v>1</v>
      </c>
      <c r="N57" s="626">
        <v>1</v>
      </c>
      <c r="O57" s="626">
        <v>1</v>
      </c>
    </row>
    <row r="58" spans="1:15">
      <c r="A58" s="518"/>
      <c r="B58" s="519" t="s">
        <v>494</v>
      </c>
      <c r="C58">
        <v>1</v>
      </c>
      <c r="D58" s="623">
        <v>1</v>
      </c>
      <c r="E58" s="623">
        <v>1</v>
      </c>
      <c r="F58" s="623">
        <v>1</v>
      </c>
      <c r="G58" s="623">
        <v>1</v>
      </c>
      <c r="H58" s="623">
        <v>1</v>
      </c>
      <c r="I58" s="623">
        <v>1</v>
      </c>
      <c r="J58" s="623">
        <v>1</v>
      </c>
      <c r="K58" s="623">
        <v>1</v>
      </c>
      <c r="L58" s="623">
        <v>1</v>
      </c>
      <c r="M58" s="623">
        <v>1</v>
      </c>
      <c r="N58" s="626">
        <v>1</v>
      </c>
      <c r="O58" s="626">
        <v>1</v>
      </c>
    </row>
    <row r="59" spans="1:15">
      <c r="A59" s="518"/>
      <c r="B59" s="519" t="s">
        <v>495</v>
      </c>
      <c r="C59">
        <v>1</v>
      </c>
      <c r="D59" s="623">
        <v>1</v>
      </c>
      <c r="E59" s="623">
        <v>1</v>
      </c>
      <c r="F59" s="623">
        <v>1</v>
      </c>
      <c r="G59" s="623">
        <v>1</v>
      </c>
      <c r="H59" s="623">
        <v>1</v>
      </c>
      <c r="I59" s="623">
        <v>1</v>
      </c>
      <c r="J59" s="623">
        <v>1</v>
      </c>
      <c r="K59" s="623">
        <v>1</v>
      </c>
      <c r="L59" s="623">
        <v>1</v>
      </c>
      <c r="M59" s="623">
        <v>1</v>
      </c>
      <c r="N59" s="626">
        <v>1</v>
      </c>
      <c r="O59" s="626">
        <v>1</v>
      </c>
    </row>
    <row r="60" s="482" customFormat="1" spans="1:15">
      <c r="A60" s="530"/>
      <c r="B60" s="535" t="s">
        <v>496</v>
      </c>
      <c r="I60" s="627">
        <v>0.25</v>
      </c>
      <c r="J60" s="627">
        <v>0.25</v>
      </c>
      <c r="K60" s="627">
        <v>0.25</v>
      </c>
      <c r="L60" s="627">
        <v>0.25</v>
      </c>
      <c r="M60" s="627">
        <v>0.25</v>
      </c>
      <c r="N60" s="628">
        <v>0.25</v>
      </c>
      <c r="O60" s="628">
        <v>0.25</v>
      </c>
    </row>
    <row r="61" s="482" customFormat="1" spans="1:15">
      <c r="A61" s="530"/>
      <c r="B61" s="535" t="s">
        <v>497</v>
      </c>
      <c r="I61" s="627">
        <v>0.2618</v>
      </c>
      <c r="J61" s="627">
        <v>0.2618</v>
      </c>
      <c r="K61" s="627">
        <v>0.2618</v>
      </c>
      <c r="L61" s="627">
        <v>0.2618</v>
      </c>
      <c r="M61" s="627">
        <v>0.2618</v>
      </c>
      <c r="N61" s="628">
        <v>0.2618</v>
      </c>
      <c r="O61" s="628">
        <v>0.2618</v>
      </c>
    </row>
    <row r="62" s="482" customFormat="1" spans="1:15">
      <c r="A62" s="530"/>
      <c r="B62" s="535" t="s">
        <v>498</v>
      </c>
      <c r="I62" s="627">
        <v>0.274</v>
      </c>
      <c r="J62" s="627">
        <v>0.274</v>
      </c>
      <c r="K62" s="627">
        <v>0.274</v>
      </c>
      <c r="L62" s="627">
        <v>0.274</v>
      </c>
      <c r="M62" s="627">
        <v>0.274</v>
      </c>
      <c r="N62" s="628">
        <v>0.274</v>
      </c>
      <c r="O62" s="628">
        <v>0.274</v>
      </c>
    </row>
    <row r="63" s="482" customFormat="1" spans="1:15">
      <c r="A63" s="530"/>
      <c r="B63" s="535" t="s">
        <v>499</v>
      </c>
      <c r="I63" s="627">
        <v>0.25</v>
      </c>
      <c r="J63" s="627">
        <v>0.25</v>
      </c>
      <c r="K63" s="627">
        <v>0.25</v>
      </c>
      <c r="L63" s="627">
        <v>0.25</v>
      </c>
      <c r="M63" s="627">
        <v>0.25</v>
      </c>
      <c r="N63" s="628">
        <v>0.25</v>
      </c>
      <c r="O63" s="628">
        <v>0.25</v>
      </c>
    </row>
    <row r="64" s="482" customFormat="1" spans="1:15">
      <c r="A64" s="530"/>
      <c r="B64" s="535" t="s">
        <v>500</v>
      </c>
      <c r="I64" s="627">
        <v>0.2618</v>
      </c>
      <c r="J64" s="627">
        <v>0.2618</v>
      </c>
      <c r="K64" s="627">
        <v>0.2618</v>
      </c>
      <c r="L64" s="627">
        <v>0.2618</v>
      </c>
      <c r="M64" s="627">
        <v>0.2618</v>
      </c>
      <c r="N64" s="628">
        <v>0.2618</v>
      </c>
      <c r="O64" s="628">
        <v>0.2618</v>
      </c>
    </row>
    <row r="65" s="482" customFormat="1" spans="1:15">
      <c r="A65" s="530"/>
      <c r="B65" s="535" t="s">
        <v>501</v>
      </c>
      <c r="I65" s="627">
        <v>0.274</v>
      </c>
      <c r="J65" s="627">
        <v>0.274</v>
      </c>
      <c r="K65" s="627">
        <v>0.274</v>
      </c>
      <c r="L65" s="627">
        <v>0.274</v>
      </c>
      <c r="M65" s="627">
        <v>0.274</v>
      </c>
      <c r="N65" s="628">
        <v>0.274</v>
      </c>
      <c r="O65" s="628">
        <v>0.274</v>
      </c>
    </row>
    <row r="66" s="482" customFormat="1" spans="1:15">
      <c r="A66" s="530"/>
      <c r="B66" s="535" t="s">
        <v>496</v>
      </c>
      <c r="J66" s="629">
        <v>0.25</v>
      </c>
      <c r="K66" s="629">
        <v>0.25</v>
      </c>
      <c r="L66" s="629">
        <v>0.25</v>
      </c>
      <c r="M66" s="629">
        <v>0.25</v>
      </c>
      <c r="N66" s="630">
        <v>0.25</v>
      </c>
      <c r="O66" s="630">
        <v>0.25</v>
      </c>
    </row>
    <row r="67" s="482" customFormat="1" spans="1:15">
      <c r="A67" s="530"/>
      <c r="B67" s="535" t="s">
        <v>497</v>
      </c>
      <c r="J67" s="629">
        <v>0.2618</v>
      </c>
      <c r="K67" s="629">
        <v>0.2618</v>
      </c>
      <c r="L67" s="629">
        <v>0.2618</v>
      </c>
      <c r="M67" s="629">
        <v>0.2618</v>
      </c>
      <c r="N67" s="630">
        <v>0.2618</v>
      </c>
      <c r="O67" s="630">
        <v>0.2618</v>
      </c>
    </row>
    <row r="68" s="482" customFormat="1" spans="1:15">
      <c r="A68" s="530"/>
      <c r="B68" s="535" t="s">
        <v>498</v>
      </c>
      <c r="J68" s="629">
        <v>0.274</v>
      </c>
      <c r="K68" s="629">
        <v>0.274</v>
      </c>
      <c r="L68" s="629">
        <v>0.274</v>
      </c>
      <c r="M68" s="629">
        <v>0.274</v>
      </c>
      <c r="N68" s="630">
        <v>0.274</v>
      </c>
      <c r="O68" s="630">
        <v>0.274</v>
      </c>
    </row>
    <row r="69" s="482" customFormat="1" spans="1:15">
      <c r="A69" s="530"/>
      <c r="B69" s="535" t="s">
        <v>499</v>
      </c>
      <c r="J69" s="629">
        <v>0.25</v>
      </c>
      <c r="K69" s="629">
        <v>0.25</v>
      </c>
      <c r="L69" s="629">
        <v>0.25</v>
      </c>
      <c r="M69" s="629">
        <v>0.25</v>
      </c>
      <c r="N69" s="630">
        <v>0.25</v>
      </c>
      <c r="O69" s="630">
        <v>0.25</v>
      </c>
    </row>
    <row r="70" s="482" customFormat="1" spans="1:15">
      <c r="A70" s="530"/>
      <c r="B70" s="535" t="s">
        <v>500</v>
      </c>
      <c r="J70" s="629">
        <v>0.2618</v>
      </c>
      <c r="K70" s="629">
        <v>0.2618</v>
      </c>
      <c r="L70" s="629">
        <v>0.2618</v>
      </c>
      <c r="M70" s="629">
        <v>0.2618</v>
      </c>
      <c r="N70" s="630">
        <v>0.2618</v>
      </c>
      <c r="O70" s="630">
        <v>0.2618</v>
      </c>
    </row>
    <row r="71" s="482" customFormat="1" spans="1:15">
      <c r="A71" s="530"/>
      <c r="B71" s="535" t="s">
        <v>501</v>
      </c>
      <c r="J71" s="629">
        <v>0.274</v>
      </c>
      <c r="K71" s="629">
        <v>0.274</v>
      </c>
      <c r="L71" s="629">
        <v>0.274</v>
      </c>
      <c r="M71" s="629">
        <v>0.274</v>
      </c>
      <c r="N71" s="630">
        <v>0.274</v>
      </c>
      <c r="O71" s="630">
        <v>0.274</v>
      </c>
    </row>
    <row r="72" s="516" customFormat="1" spans="2:2">
      <c r="B72" s="519"/>
    </row>
    <row r="73" spans="1:15">
      <c r="A73" s="518">
        <v>1.2</v>
      </c>
      <c r="B73" s="519" t="s">
        <v>60</v>
      </c>
      <c r="D73" s="623"/>
      <c r="E73" s="623"/>
      <c r="F73" s="623"/>
      <c r="G73" s="623"/>
      <c r="H73" s="623"/>
      <c r="I73" s="623"/>
      <c r="J73" s="623"/>
      <c r="K73" s="623"/>
      <c r="L73" s="623"/>
      <c r="M73" s="623"/>
      <c r="N73" s="626"/>
      <c r="O73" s="626"/>
    </row>
    <row r="74" spans="1:15">
      <c r="A74" s="518"/>
      <c r="B74" s="519" t="s">
        <v>502</v>
      </c>
      <c r="C74">
        <v>15000000</v>
      </c>
      <c r="D74" s="623">
        <v>15000000</v>
      </c>
      <c r="E74" s="623">
        <v>15000000</v>
      </c>
      <c r="F74" s="623">
        <v>15000000</v>
      </c>
      <c r="G74" s="623">
        <v>15000000</v>
      </c>
      <c r="H74" s="623">
        <v>15000000</v>
      </c>
      <c r="I74" s="623">
        <v>15000000</v>
      </c>
      <c r="J74" s="623">
        <v>15000000</v>
      </c>
      <c r="K74" s="623">
        <v>15000000</v>
      </c>
      <c r="L74" s="623">
        <v>15000000</v>
      </c>
      <c r="M74" s="623">
        <v>15000000</v>
      </c>
      <c r="N74" s="626">
        <v>15000000</v>
      </c>
      <c r="O74" s="626">
        <v>15000000</v>
      </c>
    </row>
    <row r="75" spans="1:15">
      <c r="A75" s="518"/>
      <c r="B75" s="519" t="s">
        <v>503</v>
      </c>
      <c r="C75">
        <v>1.03</v>
      </c>
      <c r="D75" s="623">
        <v>1.03</v>
      </c>
      <c r="E75" s="623">
        <v>1.03</v>
      </c>
      <c r="F75" s="623">
        <v>1.03</v>
      </c>
      <c r="G75" s="623">
        <v>1.03</v>
      </c>
      <c r="H75" s="623">
        <v>1.03</v>
      </c>
      <c r="I75" s="623">
        <v>1.03</v>
      </c>
      <c r="J75" s="623">
        <v>1.03</v>
      </c>
      <c r="K75" s="623">
        <v>1.03</v>
      </c>
      <c r="L75" s="623">
        <v>1.03</v>
      </c>
      <c r="M75" s="623">
        <v>1.03</v>
      </c>
      <c r="N75" s="626">
        <v>1.03</v>
      </c>
      <c r="O75" s="626">
        <v>1.03</v>
      </c>
    </row>
    <row r="76" spans="1:15">
      <c r="A76" s="518"/>
      <c r="B76" s="519" t="s">
        <v>504</v>
      </c>
      <c r="C76">
        <v>1.06</v>
      </c>
      <c r="D76" s="623">
        <v>1.06</v>
      </c>
      <c r="E76" s="623">
        <v>1.06</v>
      </c>
      <c r="F76" s="623">
        <v>1.06</v>
      </c>
      <c r="G76" s="623">
        <v>1.06</v>
      </c>
      <c r="H76" s="623">
        <v>1.06</v>
      </c>
      <c r="I76" s="623">
        <v>1.06</v>
      </c>
      <c r="J76" s="623">
        <v>1.06</v>
      </c>
      <c r="K76" s="623">
        <v>1.06</v>
      </c>
      <c r="L76" s="623">
        <v>1.06</v>
      </c>
      <c r="M76" s="623">
        <v>1.06</v>
      </c>
      <c r="N76" s="626">
        <v>1.06</v>
      </c>
      <c r="O76" s="626">
        <v>1.06</v>
      </c>
    </row>
    <row r="77" spans="1:15">
      <c r="A77" s="518"/>
      <c r="B77" s="519" t="s">
        <v>505</v>
      </c>
      <c r="C77">
        <v>1.1</v>
      </c>
      <c r="D77" s="623">
        <v>1.1</v>
      </c>
      <c r="E77" s="623">
        <v>1.1</v>
      </c>
      <c r="F77" s="623">
        <v>1.1</v>
      </c>
      <c r="G77" s="623">
        <v>1.1</v>
      </c>
      <c r="H77" s="623">
        <v>1.1</v>
      </c>
      <c r="I77" s="623">
        <v>1.1</v>
      </c>
      <c r="J77" s="623">
        <v>1.1</v>
      </c>
      <c r="K77" s="623">
        <v>1.1</v>
      </c>
      <c r="L77" s="623">
        <v>1.1</v>
      </c>
      <c r="M77" s="623">
        <v>1.1</v>
      </c>
      <c r="N77" s="626">
        <v>1.1</v>
      </c>
      <c r="O77" s="626">
        <v>1.1</v>
      </c>
    </row>
    <row r="78" spans="1:15">
      <c r="A78" s="518"/>
      <c r="B78" s="519" t="s">
        <v>506</v>
      </c>
      <c r="D78" s="623"/>
      <c r="E78" s="623"/>
      <c r="F78" s="623"/>
      <c r="G78" s="623"/>
      <c r="H78" s="623"/>
      <c r="I78" s="623"/>
      <c r="J78" s="623"/>
      <c r="K78" s="623"/>
      <c r="L78" s="623"/>
      <c r="M78" s="623"/>
      <c r="N78" s="626"/>
      <c r="O78" s="626"/>
    </row>
    <row r="79" spans="1:15">
      <c r="A79" s="518"/>
      <c r="B79" s="519" t="s">
        <v>507</v>
      </c>
      <c r="C79">
        <v>73920</v>
      </c>
      <c r="D79" s="623">
        <v>73920</v>
      </c>
      <c r="E79" s="623">
        <v>73920</v>
      </c>
      <c r="F79" s="623">
        <v>73920</v>
      </c>
      <c r="G79" s="623">
        <v>73920</v>
      </c>
      <c r="H79" s="623">
        <v>73920</v>
      </c>
      <c r="I79" s="623">
        <v>73920</v>
      </c>
      <c r="J79" s="623">
        <v>73920</v>
      </c>
      <c r="K79" s="623">
        <v>73920</v>
      </c>
      <c r="L79" s="623">
        <v>73920</v>
      </c>
      <c r="M79" s="623">
        <v>73920</v>
      </c>
      <c r="N79" s="626">
        <v>73920</v>
      </c>
      <c r="O79" s="626">
        <v>73920</v>
      </c>
    </row>
    <row r="80" spans="1:15">
      <c r="A80" s="518"/>
      <c r="B80" s="519" t="s">
        <v>508</v>
      </c>
      <c r="D80" s="623"/>
      <c r="E80" s="623"/>
      <c r="F80" s="623"/>
      <c r="G80" s="623"/>
      <c r="H80" s="623"/>
      <c r="I80" s="623"/>
      <c r="J80" s="623"/>
      <c r="K80" s="623"/>
      <c r="L80" s="623"/>
      <c r="M80" s="623"/>
      <c r="N80" s="626"/>
      <c r="O80" s="626"/>
    </row>
    <row r="81" spans="1:15">
      <c r="A81" s="518"/>
      <c r="B81" s="519" t="s">
        <v>509</v>
      </c>
      <c r="D81" s="623"/>
      <c r="E81" s="623"/>
      <c r="F81" s="623"/>
      <c r="G81" s="623"/>
      <c r="H81" s="623"/>
      <c r="I81" s="623"/>
      <c r="J81" s="623"/>
      <c r="K81" s="623"/>
      <c r="L81" s="623"/>
      <c r="M81" s="623"/>
      <c r="N81" s="626"/>
      <c r="O81" s="626"/>
    </row>
    <row r="82" spans="1:15">
      <c r="A82" s="518"/>
      <c r="B82" s="519" t="s">
        <v>510</v>
      </c>
      <c r="D82" s="623"/>
      <c r="E82" s="623"/>
      <c r="F82" s="623"/>
      <c r="G82" s="623"/>
      <c r="H82" s="623"/>
      <c r="I82" s="623"/>
      <c r="J82" s="623"/>
      <c r="K82" s="623"/>
      <c r="L82" s="623"/>
      <c r="M82" s="623"/>
      <c r="N82" s="626"/>
      <c r="O82" s="626"/>
    </row>
    <row r="83" spans="1:15">
      <c r="A83" s="518"/>
      <c r="B83" s="519" t="s">
        <v>511</v>
      </c>
      <c r="D83" s="623"/>
      <c r="E83" s="623"/>
      <c r="F83" s="623"/>
      <c r="G83" s="623"/>
      <c r="H83" s="623"/>
      <c r="I83" s="623"/>
      <c r="J83" s="623"/>
      <c r="K83" s="623"/>
      <c r="L83" s="623"/>
      <c r="M83" s="623"/>
      <c r="N83" s="626"/>
      <c r="O83" s="626"/>
    </row>
    <row r="84" spans="1:15">
      <c r="A84" s="518"/>
      <c r="B84" s="519" t="s">
        <v>512</v>
      </c>
      <c r="C84">
        <v>1.5</v>
      </c>
      <c r="D84" s="623">
        <v>1.5</v>
      </c>
      <c r="E84" s="623">
        <v>1.5</v>
      </c>
      <c r="F84" s="623">
        <v>1.5</v>
      </c>
      <c r="G84" s="623">
        <v>1.5</v>
      </c>
      <c r="H84" s="623">
        <v>1.5</v>
      </c>
      <c r="I84" s="623">
        <v>1.5</v>
      </c>
      <c r="J84" s="623">
        <v>1.5</v>
      </c>
      <c r="K84" s="623">
        <v>1.5</v>
      </c>
      <c r="L84" s="623">
        <v>1.5</v>
      </c>
      <c r="M84" s="623">
        <v>1.5</v>
      </c>
      <c r="N84" s="626">
        <v>1.5</v>
      </c>
      <c r="O84" s="626">
        <v>1.5</v>
      </c>
    </row>
    <row r="85" spans="1:15">
      <c r="A85" s="518"/>
      <c r="B85" s="519" t="s">
        <v>513</v>
      </c>
      <c r="D85" s="623"/>
      <c r="E85" s="623"/>
      <c r="F85" s="623"/>
      <c r="G85" s="623"/>
      <c r="H85" s="623"/>
      <c r="I85" s="623"/>
      <c r="J85" s="623"/>
      <c r="K85" s="623"/>
      <c r="L85" s="623"/>
      <c r="M85" s="623"/>
      <c r="N85" s="626"/>
      <c r="O85" s="626"/>
    </row>
    <row r="86" spans="1:15">
      <c r="A86" s="518"/>
      <c r="B86" s="519" t="s">
        <v>514</v>
      </c>
      <c r="D86" s="623"/>
      <c r="E86" s="623"/>
      <c r="F86" s="623"/>
      <c r="G86" s="623"/>
      <c r="H86" s="623"/>
      <c r="I86" s="623"/>
      <c r="J86" s="623"/>
      <c r="K86" s="623"/>
      <c r="L86" s="623"/>
      <c r="M86" s="623"/>
      <c r="N86" s="626"/>
      <c r="O86" s="626"/>
    </row>
    <row r="87" spans="1:15">
      <c r="A87" s="518"/>
      <c r="B87" s="519" t="s">
        <v>515</v>
      </c>
      <c r="D87" s="623"/>
      <c r="E87" s="623"/>
      <c r="F87" s="623"/>
      <c r="G87" s="623"/>
      <c r="H87" s="623"/>
      <c r="I87" s="623"/>
      <c r="J87" s="623"/>
      <c r="K87" s="623"/>
      <c r="L87" s="623"/>
      <c r="M87" s="623"/>
      <c r="N87" s="626"/>
      <c r="O87" s="626"/>
    </row>
    <row r="88" spans="1:15">
      <c r="A88" s="518"/>
      <c r="B88" s="519" t="s">
        <v>516</v>
      </c>
      <c r="D88" s="623"/>
      <c r="E88" s="623"/>
      <c r="F88" s="623"/>
      <c r="G88" s="623"/>
      <c r="H88" s="623"/>
      <c r="I88" s="623"/>
      <c r="J88" s="623"/>
      <c r="K88" s="623"/>
      <c r="L88" s="623"/>
      <c r="M88" s="623"/>
      <c r="N88" s="626"/>
      <c r="O88" s="626"/>
    </row>
    <row r="89" spans="1:15">
      <c r="A89" s="518"/>
      <c r="B89" s="519" t="s">
        <v>517</v>
      </c>
      <c r="D89" s="623"/>
      <c r="E89" s="623"/>
      <c r="F89" s="623"/>
      <c r="G89" s="623"/>
      <c r="H89" s="623"/>
      <c r="I89" s="623"/>
      <c r="J89" s="623"/>
      <c r="K89" s="623"/>
      <c r="L89" s="623"/>
      <c r="M89" s="623"/>
      <c r="N89" s="626"/>
      <c r="O89" s="626"/>
    </row>
    <row r="90" spans="1:15">
      <c r="A90" s="518"/>
      <c r="B90" s="519" t="s">
        <v>518</v>
      </c>
      <c r="C90">
        <v>1.1</v>
      </c>
      <c r="D90" s="623">
        <v>1.1</v>
      </c>
      <c r="E90" s="623">
        <v>1.1</v>
      </c>
      <c r="F90" s="623">
        <v>1.1</v>
      </c>
      <c r="G90" s="623">
        <v>1.1</v>
      </c>
      <c r="H90" s="623">
        <v>1.1</v>
      </c>
      <c r="I90" s="623">
        <v>1.1</v>
      </c>
      <c r="J90" s="623">
        <v>1.1</v>
      </c>
      <c r="K90" s="623">
        <v>1.1</v>
      </c>
      <c r="L90" s="623">
        <v>1.1</v>
      </c>
      <c r="M90" s="623">
        <v>1.1</v>
      </c>
      <c r="N90" s="626">
        <v>1.1</v>
      </c>
      <c r="O90" s="626">
        <v>1.1</v>
      </c>
    </row>
    <row r="91" spans="1:15">
      <c r="A91" s="518"/>
      <c r="B91" s="519" t="s">
        <v>519</v>
      </c>
      <c r="C91">
        <v>1.18</v>
      </c>
      <c r="D91" s="623">
        <v>1.18</v>
      </c>
      <c r="E91" s="623">
        <v>1.18</v>
      </c>
      <c r="F91" s="623">
        <v>1.18</v>
      </c>
      <c r="G91" s="623">
        <v>1.18</v>
      </c>
      <c r="H91" s="623">
        <v>1.18</v>
      </c>
      <c r="I91" s="623">
        <v>1.18</v>
      </c>
      <c r="J91" s="623">
        <v>1.18</v>
      </c>
      <c r="K91" s="623">
        <v>1.18</v>
      </c>
      <c r="L91" s="623">
        <v>1.18</v>
      </c>
      <c r="M91" s="623">
        <v>1.18</v>
      </c>
      <c r="N91" s="626">
        <v>1.18</v>
      </c>
      <c r="O91" s="626">
        <v>1.18</v>
      </c>
    </row>
    <row r="92" spans="1:15">
      <c r="A92" s="518"/>
      <c r="B92" s="519" t="s">
        <v>520</v>
      </c>
      <c r="C92">
        <v>1.25</v>
      </c>
      <c r="D92" s="623">
        <v>1.25</v>
      </c>
      <c r="E92" s="623">
        <v>1.25</v>
      </c>
      <c r="F92" s="623">
        <v>1.25</v>
      </c>
      <c r="G92" s="623">
        <v>1.25</v>
      </c>
      <c r="H92" s="623">
        <v>1.25</v>
      </c>
      <c r="I92" s="623">
        <v>1.25</v>
      </c>
      <c r="J92" s="623">
        <v>1.25</v>
      </c>
      <c r="K92" s="623">
        <v>1.25</v>
      </c>
      <c r="L92" s="623">
        <v>1.25</v>
      </c>
      <c r="M92" s="623">
        <v>1.25</v>
      </c>
      <c r="N92" s="626">
        <v>1.25</v>
      </c>
      <c r="O92" s="626">
        <v>1.25</v>
      </c>
    </row>
    <row r="93" spans="1:15">
      <c r="A93" s="518"/>
      <c r="B93" s="519" t="s">
        <v>521</v>
      </c>
      <c r="D93" s="623"/>
      <c r="E93" s="623"/>
      <c r="F93" s="623"/>
      <c r="G93" s="623"/>
      <c r="H93" s="623"/>
      <c r="I93" s="623"/>
      <c r="J93" s="623"/>
      <c r="K93" s="623"/>
      <c r="L93" s="623"/>
      <c r="M93" s="623"/>
      <c r="N93" s="626"/>
      <c r="O93" s="626"/>
    </row>
    <row r="94" spans="1:15">
      <c r="A94" s="518"/>
      <c r="B94" s="519" t="s">
        <v>522</v>
      </c>
      <c r="C94">
        <v>110880</v>
      </c>
      <c r="D94" s="623">
        <v>110880</v>
      </c>
      <c r="E94" s="623">
        <v>110880</v>
      </c>
      <c r="F94" s="623">
        <v>110880</v>
      </c>
      <c r="G94" s="623">
        <v>110880</v>
      </c>
      <c r="H94" s="623">
        <v>110880</v>
      </c>
      <c r="I94" s="623">
        <v>110880</v>
      </c>
      <c r="J94" s="623">
        <v>110880</v>
      </c>
      <c r="K94" s="623">
        <v>110880</v>
      </c>
      <c r="L94" s="623">
        <v>110880</v>
      </c>
      <c r="M94" s="623">
        <v>110880</v>
      </c>
      <c r="N94" s="626">
        <v>110880</v>
      </c>
      <c r="O94" s="626">
        <v>110880</v>
      </c>
    </row>
    <row r="95" spans="1:15">
      <c r="A95" s="518"/>
      <c r="B95" s="519" t="s">
        <v>523</v>
      </c>
      <c r="C95">
        <v>121968</v>
      </c>
      <c r="D95" s="623">
        <v>121968</v>
      </c>
      <c r="E95" s="623">
        <v>121968</v>
      </c>
      <c r="F95" s="623">
        <v>121968</v>
      </c>
      <c r="G95" s="623">
        <v>121968</v>
      </c>
      <c r="H95" s="623">
        <v>121968</v>
      </c>
      <c r="I95" s="623">
        <v>121968</v>
      </c>
      <c r="J95" s="623">
        <v>121968</v>
      </c>
      <c r="K95" s="623">
        <v>121968</v>
      </c>
      <c r="L95" s="623">
        <v>121968</v>
      </c>
      <c r="M95" s="623">
        <v>121968</v>
      </c>
      <c r="N95" s="626">
        <v>121968</v>
      </c>
      <c r="O95" s="626">
        <v>121968</v>
      </c>
    </row>
    <row r="96" spans="1:15">
      <c r="A96" s="518"/>
      <c r="B96" s="519" t="s">
        <v>524</v>
      </c>
      <c r="C96">
        <v>130838.4</v>
      </c>
      <c r="D96" s="623">
        <v>130838.4</v>
      </c>
      <c r="E96" s="623">
        <v>130838.4</v>
      </c>
      <c r="F96" s="623">
        <v>130838.4</v>
      </c>
      <c r="G96" s="623">
        <v>130838.4</v>
      </c>
      <c r="H96" s="623">
        <v>130838.4</v>
      </c>
      <c r="I96" s="623">
        <v>130838.4</v>
      </c>
      <c r="J96" s="623">
        <v>130838.4</v>
      </c>
      <c r="K96" s="623">
        <v>130838.4</v>
      </c>
      <c r="L96" s="623">
        <v>130838.4</v>
      </c>
      <c r="M96" s="623">
        <v>130838.4</v>
      </c>
      <c r="N96" s="626">
        <v>130838.4</v>
      </c>
      <c r="O96" s="626">
        <v>130838.4</v>
      </c>
    </row>
    <row r="97" spans="1:15">
      <c r="A97" s="518"/>
      <c r="B97" s="519" t="s">
        <v>525</v>
      </c>
      <c r="C97">
        <v>138600</v>
      </c>
      <c r="D97" s="623">
        <v>138600</v>
      </c>
      <c r="E97" s="623">
        <v>138600</v>
      </c>
      <c r="F97" s="623">
        <v>138600</v>
      </c>
      <c r="G97" s="623">
        <v>138600</v>
      </c>
      <c r="H97" s="623">
        <v>138600</v>
      </c>
      <c r="I97" s="623">
        <v>138600</v>
      </c>
      <c r="J97" s="623">
        <v>138600</v>
      </c>
      <c r="K97" s="623">
        <v>138600</v>
      </c>
      <c r="L97" s="623">
        <v>138600</v>
      </c>
      <c r="M97" s="623">
        <v>138600</v>
      </c>
      <c r="N97" s="626">
        <v>138600</v>
      </c>
      <c r="O97" s="626">
        <v>138600</v>
      </c>
    </row>
    <row r="98" spans="1:15">
      <c r="A98" s="518"/>
      <c r="B98" s="519" t="s">
        <v>526</v>
      </c>
      <c r="C98">
        <v>391406.4</v>
      </c>
      <c r="D98" s="623">
        <v>391406.4</v>
      </c>
      <c r="E98" s="623">
        <v>391406.4</v>
      </c>
      <c r="F98" s="623">
        <v>391406.4</v>
      </c>
      <c r="G98" s="623">
        <v>391406.4</v>
      </c>
      <c r="H98" s="623">
        <v>391406.4</v>
      </c>
      <c r="I98" s="623">
        <v>391406.4</v>
      </c>
      <c r="J98" s="623">
        <v>391406.4</v>
      </c>
      <c r="K98" s="623">
        <v>391406.4</v>
      </c>
      <c r="L98" s="623">
        <v>391406.4</v>
      </c>
      <c r="M98" s="623">
        <v>391406.4</v>
      </c>
      <c r="N98" s="626">
        <v>391406.4</v>
      </c>
      <c r="O98" s="626">
        <v>391406.4</v>
      </c>
    </row>
    <row r="99" spans="1:15">
      <c r="A99" s="518"/>
      <c r="B99" s="519" t="s">
        <v>527</v>
      </c>
      <c r="D99" s="623"/>
      <c r="E99" s="623"/>
      <c r="F99" s="623"/>
      <c r="G99" s="623"/>
      <c r="H99" s="623"/>
      <c r="I99" s="623"/>
      <c r="J99" s="623"/>
      <c r="K99" s="623"/>
      <c r="L99" s="623"/>
      <c r="M99" s="623"/>
      <c r="N99" s="626"/>
      <c r="O99" s="626"/>
    </row>
    <row r="100" spans="1:15">
      <c r="A100" s="518"/>
      <c r="B100" s="519" t="s">
        <v>528</v>
      </c>
      <c r="D100" s="623"/>
      <c r="E100" s="623"/>
      <c r="F100" s="623"/>
      <c r="G100" s="623"/>
      <c r="H100" s="623"/>
      <c r="I100" s="623"/>
      <c r="J100" s="623"/>
      <c r="K100" s="623"/>
      <c r="L100" s="623"/>
      <c r="M100" s="623"/>
      <c r="N100" s="626"/>
      <c r="O100" s="626"/>
    </row>
    <row r="101" spans="1:15">
      <c r="A101" s="518"/>
      <c r="B101" s="519" t="s">
        <v>529</v>
      </c>
      <c r="D101" s="623"/>
      <c r="E101" s="623"/>
      <c r="F101" s="623"/>
      <c r="G101" s="623"/>
      <c r="H101" s="623"/>
      <c r="I101" s="623"/>
      <c r="J101" s="623"/>
      <c r="K101" s="623"/>
      <c r="L101" s="623"/>
      <c r="M101" s="623"/>
      <c r="N101" s="626"/>
      <c r="O101" s="626"/>
    </row>
    <row r="102" spans="1:15">
      <c r="A102" s="518"/>
      <c r="B102" s="519" t="s">
        <v>530</v>
      </c>
      <c r="D102" s="623"/>
      <c r="E102" s="623"/>
      <c r="F102" s="623"/>
      <c r="G102" s="623"/>
      <c r="H102" s="623"/>
      <c r="I102" s="623"/>
      <c r="J102" s="623"/>
      <c r="K102" s="623"/>
      <c r="L102" s="623"/>
      <c r="M102" s="623"/>
      <c r="N102" s="626"/>
      <c r="O102" s="626"/>
    </row>
    <row r="103" spans="1:15">
      <c r="A103" s="518"/>
      <c r="B103" s="519" t="s">
        <v>531</v>
      </c>
      <c r="C103">
        <v>2.18</v>
      </c>
      <c r="D103" s="623">
        <v>2.18</v>
      </c>
      <c r="E103" s="623">
        <v>2.18</v>
      </c>
      <c r="F103" s="623">
        <v>2.18</v>
      </c>
      <c r="G103" s="623">
        <v>2.18</v>
      </c>
      <c r="H103" s="623">
        <v>2.18</v>
      </c>
      <c r="I103" s="623">
        <v>2.18</v>
      </c>
      <c r="J103" s="623">
        <v>2.18</v>
      </c>
      <c r="K103" s="623">
        <v>2.18</v>
      </c>
      <c r="L103" s="623">
        <v>2.18</v>
      </c>
      <c r="M103" s="623">
        <v>2.18</v>
      </c>
      <c r="N103" s="626">
        <v>2.18</v>
      </c>
      <c r="O103" s="626">
        <v>2.18</v>
      </c>
    </row>
    <row r="104" spans="1:15">
      <c r="A104" s="518"/>
      <c r="B104" s="519" t="s">
        <v>532</v>
      </c>
      <c r="D104" s="623"/>
      <c r="E104" s="623"/>
      <c r="F104" s="623"/>
      <c r="G104" s="623"/>
      <c r="H104" s="623"/>
      <c r="I104" s="623"/>
      <c r="J104" s="623"/>
      <c r="K104" s="623"/>
      <c r="L104" s="623"/>
      <c r="M104" s="623"/>
      <c r="N104" s="626"/>
      <c r="O104" s="626"/>
    </row>
    <row r="105" spans="1:15">
      <c r="A105" s="518"/>
      <c r="B105" s="519" t="s">
        <v>533</v>
      </c>
      <c r="C105">
        <v>0.31</v>
      </c>
      <c r="D105" s="623">
        <v>0.31</v>
      </c>
      <c r="E105" s="623">
        <v>0.31</v>
      </c>
      <c r="F105" s="623">
        <v>0.31</v>
      </c>
      <c r="G105" s="623">
        <v>0.31</v>
      </c>
      <c r="H105" s="623">
        <v>0.31</v>
      </c>
      <c r="I105" s="623">
        <v>0.31</v>
      </c>
      <c r="J105" s="623">
        <v>0.31</v>
      </c>
      <c r="K105" s="623">
        <v>0.31</v>
      </c>
      <c r="L105" s="623">
        <v>0.31</v>
      </c>
      <c r="M105" s="623">
        <v>0.31</v>
      </c>
      <c r="N105" s="626">
        <v>0.31</v>
      </c>
      <c r="O105" s="626">
        <v>0.31</v>
      </c>
    </row>
    <row r="106" spans="1:15">
      <c r="A106" s="518"/>
      <c r="B106" s="519" t="s">
        <v>534</v>
      </c>
      <c r="C106">
        <v>0.33</v>
      </c>
      <c r="D106" s="623">
        <v>0.33</v>
      </c>
      <c r="E106" s="623">
        <v>0.33</v>
      </c>
      <c r="F106" s="623">
        <v>0.33</v>
      </c>
      <c r="G106" s="623">
        <v>0.33</v>
      </c>
      <c r="H106" s="623">
        <v>0.33</v>
      </c>
      <c r="I106" s="623">
        <v>0.33</v>
      </c>
      <c r="J106" s="623">
        <v>0.33</v>
      </c>
      <c r="K106" s="623">
        <v>0.33</v>
      </c>
      <c r="L106" s="623">
        <v>0.33</v>
      </c>
      <c r="M106" s="623">
        <v>0.33</v>
      </c>
      <c r="N106" s="626">
        <v>0.33</v>
      </c>
      <c r="O106" s="626">
        <v>0.33</v>
      </c>
    </row>
    <row r="107" spans="1:15">
      <c r="A107" s="518"/>
      <c r="B107" s="519" t="s">
        <v>535</v>
      </c>
      <c r="C107">
        <v>0.36</v>
      </c>
      <c r="D107" s="623">
        <v>0.36</v>
      </c>
      <c r="E107" s="623">
        <v>0.36</v>
      </c>
      <c r="F107" s="623">
        <v>0.36</v>
      </c>
      <c r="G107" s="623">
        <v>0.36</v>
      </c>
      <c r="H107" s="623">
        <v>0.36</v>
      </c>
      <c r="I107" s="623">
        <v>0.36</v>
      </c>
      <c r="J107" s="623">
        <v>0.36</v>
      </c>
      <c r="K107" s="623">
        <v>0.36</v>
      </c>
      <c r="L107" s="623">
        <v>0.36</v>
      </c>
      <c r="M107" s="623">
        <v>0.36</v>
      </c>
      <c r="N107" s="626">
        <v>0.36</v>
      </c>
      <c r="O107" s="626">
        <v>0.36</v>
      </c>
    </row>
    <row r="108" spans="1:15">
      <c r="A108" s="518"/>
      <c r="B108" s="519" t="s">
        <v>536</v>
      </c>
      <c r="C108">
        <v>1</v>
      </c>
      <c r="D108" s="623">
        <v>1</v>
      </c>
      <c r="E108" s="623">
        <v>1</v>
      </c>
      <c r="F108" s="623">
        <v>1</v>
      </c>
      <c r="G108" s="623">
        <v>1</v>
      </c>
      <c r="H108" s="623">
        <v>1</v>
      </c>
      <c r="I108" s="623">
        <v>1</v>
      </c>
      <c r="J108" s="623">
        <v>1</v>
      </c>
      <c r="K108" s="623">
        <v>1</v>
      </c>
      <c r="L108" s="623">
        <v>1</v>
      </c>
      <c r="M108" s="623">
        <v>1</v>
      </c>
      <c r="N108" s="626">
        <v>1</v>
      </c>
      <c r="O108" s="626">
        <v>1</v>
      </c>
    </row>
    <row r="109" spans="1:15">
      <c r="A109" s="518"/>
      <c r="B109" s="519" t="s">
        <v>537</v>
      </c>
      <c r="D109" s="623"/>
      <c r="E109" s="623"/>
      <c r="F109" s="623"/>
      <c r="G109" s="623"/>
      <c r="H109" s="623"/>
      <c r="I109" s="623"/>
      <c r="J109" s="623"/>
      <c r="K109" s="623"/>
      <c r="L109" s="623"/>
      <c r="M109" s="623"/>
      <c r="N109" s="626"/>
      <c r="O109" s="626"/>
    </row>
    <row r="110" spans="1:15">
      <c r="A110" s="518"/>
      <c r="B110" s="519" t="s">
        <v>538</v>
      </c>
      <c r="C110">
        <v>264512.44512</v>
      </c>
      <c r="D110" s="623">
        <v>264512.44512</v>
      </c>
      <c r="E110" s="623">
        <v>264512.44512</v>
      </c>
      <c r="F110" s="623">
        <v>264512.44512</v>
      </c>
      <c r="G110" s="623">
        <v>264512.44512</v>
      </c>
      <c r="H110" s="623">
        <v>264512.44512</v>
      </c>
      <c r="I110" s="623">
        <v>264512.44512</v>
      </c>
      <c r="J110" s="623">
        <v>264512.44512</v>
      </c>
      <c r="K110" s="623">
        <v>264512.44512</v>
      </c>
      <c r="L110" s="623">
        <v>264512.44512</v>
      </c>
      <c r="M110" s="623">
        <v>264512.44512</v>
      </c>
      <c r="N110" s="626">
        <v>264512.44512</v>
      </c>
      <c r="O110" s="626">
        <v>264512.44512</v>
      </c>
    </row>
    <row r="111" spans="1:15">
      <c r="A111" s="518"/>
      <c r="B111" s="519" t="s">
        <v>539</v>
      </c>
      <c r="C111">
        <v>281577.76416</v>
      </c>
      <c r="D111" s="623">
        <v>281577.76416</v>
      </c>
      <c r="E111" s="623">
        <v>281577.76416</v>
      </c>
      <c r="F111" s="623">
        <v>281577.76416</v>
      </c>
      <c r="G111" s="623">
        <v>281577.76416</v>
      </c>
      <c r="H111" s="623">
        <v>281577.76416</v>
      </c>
      <c r="I111" s="623">
        <v>281577.76416</v>
      </c>
      <c r="J111" s="623">
        <v>281577.76416</v>
      </c>
      <c r="K111" s="623">
        <v>281577.76416</v>
      </c>
      <c r="L111" s="623">
        <v>281577.76416</v>
      </c>
      <c r="M111" s="623">
        <v>281577.76416</v>
      </c>
      <c r="N111" s="626">
        <v>281577.76416</v>
      </c>
      <c r="O111" s="626">
        <v>281577.76416</v>
      </c>
    </row>
    <row r="112" spans="1:15">
      <c r="A112" s="518"/>
      <c r="B112" s="519" t="s">
        <v>540</v>
      </c>
      <c r="C112">
        <v>307175.74272</v>
      </c>
      <c r="D112" s="623">
        <v>307175.74272</v>
      </c>
      <c r="E112" s="623">
        <v>307175.74272</v>
      </c>
      <c r="F112" s="623">
        <v>307175.74272</v>
      </c>
      <c r="G112" s="623">
        <v>307175.74272</v>
      </c>
      <c r="H112" s="623">
        <v>307175.74272</v>
      </c>
      <c r="I112" s="623">
        <v>307175.74272</v>
      </c>
      <c r="J112" s="623">
        <v>307175.74272</v>
      </c>
      <c r="K112" s="623">
        <v>307175.74272</v>
      </c>
      <c r="L112" s="623">
        <v>307175.74272</v>
      </c>
      <c r="M112" s="623">
        <v>307175.74272</v>
      </c>
      <c r="N112" s="626">
        <v>307175.74272</v>
      </c>
      <c r="O112" s="626">
        <v>307175.74272</v>
      </c>
    </row>
    <row r="113" spans="1:15">
      <c r="A113" s="518"/>
      <c r="B113" s="519" t="s">
        <v>541</v>
      </c>
      <c r="C113">
        <v>853265.952</v>
      </c>
      <c r="D113" s="623">
        <v>853265.952</v>
      </c>
      <c r="E113" s="623">
        <v>853265.952</v>
      </c>
      <c r="F113" s="623">
        <v>853265.952</v>
      </c>
      <c r="G113" s="623">
        <v>853265.952</v>
      </c>
      <c r="H113" s="623">
        <v>853265.952</v>
      </c>
      <c r="I113" s="623">
        <v>853265.952</v>
      </c>
      <c r="J113" s="623">
        <v>853265.952</v>
      </c>
      <c r="K113" s="623">
        <v>853265.952</v>
      </c>
      <c r="L113" s="623">
        <v>853265.952</v>
      </c>
      <c r="M113" s="623">
        <v>853265.952</v>
      </c>
      <c r="N113" s="626">
        <v>853265.952</v>
      </c>
      <c r="O113" s="626">
        <v>853265.952</v>
      </c>
    </row>
    <row r="114" spans="1:15">
      <c r="A114" s="518"/>
      <c r="B114" s="519" t="s">
        <v>542</v>
      </c>
      <c r="D114" s="623"/>
      <c r="E114" s="623"/>
      <c r="F114" s="623"/>
      <c r="G114" s="623"/>
      <c r="H114" s="623"/>
      <c r="I114" s="623"/>
      <c r="J114" s="623"/>
      <c r="K114" s="623"/>
      <c r="L114" s="623"/>
      <c r="M114" s="623"/>
      <c r="N114" s="626"/>
      <c r="O114" s="626"/>
    </row>
    <row r="115" spans="1:15">
      <c r="A115" s="518"/>
      <c r="B115" s="519" t="s">
        <v>543</v>
      </c>
      <c r="C115">
        <v>0.38</v>
      </c>
      <c r="D115" s="623">
        <v>0.38</v>
      </c>
      <c r="E115" s="623">
        <v>0.38</v>
      </c>
      <c r="F115" s="623">
        <v>0.38</v>
      </c>
      <c r="G115" s="623">
        <v>0.38</v>
      </c>
      <c r="H115" s="623">
        <v>0.38</v>
      </c>
      <c r="I115" s="623">
        <v>0.38</v>
      </c>
      <c r="J115" s="623">
        <v>0.38</v>
      </c>
      <c r="K115" s="623">
        <v>0.38</v>
      </c>
      <c r="L115" s="623">
        <v>0.38</v>
      </c>
      <c r="M115" s="623">
        <v>0.38</v>
      </c>
      <c r="N115" s="626">
        <v>0.38</v>
      </c>
      <c r="O115" s="626">
        <v>0.38</v>
      </c>
    </row>
    <row r="116" spans="1:15">
      <c r="A116" s="518"/>
      <c r="B116" s="519" t="s">
        <v>544</v>
      </c>
      <c r="C116">
        <v>0.38</v>
      </c>
      <c r="D116" s="623">
        <v>0.38</v>
      </c>
      <c r="E116" s="623">
        <v>0.38</v>
      </c>
      <c r="F116" s="623">
        <v>0.38</v>
      </c>
      <c r="G116" s="623">
        <v>0.38</v>
      </c>
      <c r="H116" s="623">
        <v>0.38</v>
      </c>
      <c r="I116" s="623">
        <v>0.38</v>
      </c>
      <c r="J116" s="623">
        <v>0.38</v>
      </c>
      <c r="K116" s="623">
        <v>0.38</v>
      </c>
      <c r="L116" s="623">
        <v>0.38</v>
      </c>
      <c r="M116" s="623">
        <v>0.38</v>
      </c>
      <c r="N116" s="626">
        <v>0.38</v>
      </c>
      <c r="O116" s="626">
        <v>0.38</v>
      </c>
    </row>
    <row r="117" spans="1:15">
      <c r="A117" s="518"/>
      <c r="B117" s="519" t="s">
        <v>545</v>
      </c>
      <c r="C117">
        <v>0.36</v>
      </c>
      <c r="D117" s="623">
        <v>0.36</v>
      </c>
      <c r="E117" s="623">
        <v>0.36</v>
      </c>
      <c r="F117" s="623">
        <v>0.36</v>
      </c>
      <c r="G117" s="623">
        <v>0.36</v>
      </c>
      <c r="H117" s="623">
        <v>0.36</v>
      </c>
      <c r="I117" s="623">
        <v>0.36</v>
      </c>
      <c r="J117" s="623">
        <v>0.36</v>
      </c>
      <c r="K117" s="623">
        <v>0.36</v>
      </c>
      <c r="L117" s="623">
        <v>0.36</v>
      </c>
      <c r="M117" s="623">
        <v>0.36</v>
      </c>
      <c r="N117" s="626">
        <v>0.36</v>
      </c>
      <c r="O117" s="626">
        <v>0.36</v>
      </c>
    </row>
    <row r="118" spans="1:15">
      <c r="A118" s="518"/>
      <c r="B118" s="519" t="s">
        <v>546</v>
      </c>
      <c r="C118">
        <v>0.3728</v>
      </c>
      <c r="D118" s="623">
        <v>0.3728</v>
      </c>
      <c r="E118" s="623">
        <v>0.3728</v>
      </c>
      <c r="F118" s="623">
        <v>0.3728</v>
      </c>
      <c r="G118" s="623">
        <v>0.3728</v>
      </c>
      <c r="H118" s="623">
        <v>0.3728</v>
      </c>
      <c r="I118" s="623">
        <v>0.3728</v>
      </c>
      <c r="J118" s="623">
        <v>0.3728</v>
      </c>
      <c r="K118" s="623">
        <v>0.3728</v>
      </c>
      <c r="L118" s="623">
        <v>0.3728</v>
      </c>
      <c r="M118" s="623">
        <v>0.3728</v>
      </c>
      <c r="N118" s="626">
        <v>0.3728</v>
      </c>
      <c r="O118" s="626">
        <v>0.3728</v>
      </c>
    </row>
    <row r="119" spans="1:15">
      <c r="A119" s="518"/>
      <c r="B119" s="519" t="s">
        <v>547</v>
      </c>
      <c r="D119" s="623"/>
      <c r="E119" s="623"/>
      <c r="F119" s="623"/>
      <c r="G119" s="623"/>
      <c r="H119" s="623"/>
      <c r="I119" s="623"/>
      <c r="J119" s="623"/>
      <c r="K119" s="623"/>
      <c r="L119" s="623"/>
      <c r="M119" s="623"/>
      <c r="N119" s="626"/>
      <c r="O119" s="626"/>
    </row>
    <row r="120" spans="1:15">
      <c r="A120" s="518"/>
      <c r="B120" s="519" t="s">
        <v>548</v>
      </c>
      <c r="C120">
        <v>100514.7291456</v>
      </c>
      <c r="D120" s="623">
        <v>100514.7291456</v>
      </c>
      <c r="E120" s="623">
        <v>100514.7291456</v>
      </c>
      <c r="F120" s="623">
        <v>100514.7291456</v>
      </c>
      <c r="G120" s="623">
        <v>100514.7291456</v>
      </c>
      <c r="H120" s="623">
        <v>100514.7291456</v>
      </c>
      <c r="I120" s="623">
        <v>100514.7291456</v>
      </c>
      <c r="J120" s="623">
        <v>100514.7291456</v>
      </c>
      <c r="K120" s="623">
        <v>100514.7291456</v>
      </c>
      <c r="L120" s="623">
        <v>100514.7291456</v>
      </c>
      <c r="M120" s="623">
        <v>100514.7291456</v>
      </c>
      <c r="N120" s="626">
        <v>100514.7291456</v>
      </c>
      <c r="O120" s="626">
        <v>100514.7291456</v>
      </c>
    </row>
    <row r="121" spans="1:15">
      <c r="A121" s="518"/>
      <c r="B121" s="519" t="s">
        <v>549</v>
      </c>
      <c r="C121">
        <v>106999.5503808</v>
      </c>
      <c r="D121" s="623">
        <v>106999.5503808</v>
      </c>
      <c r="E121" s="623">
        <v>106999.5503808</v>
      </c>
      <c r="F121" s="623">
        <v>106999.5503808</v>
      </c>
      <c r="G121" s="623">
        <v>106999.5503808</v>
      </c>
      <c r="H121" s="623">
        <v>106999.5503808</v>
      </c>
      <c r="I121" s="623">
        <v>106999.5503808</v>
      </c>
      <c r="J121" s="623">
        <v>106999.5503808</v>
      </c>
      <c r="K121" s="623">
        <v>106999.5503808</v>
      </c>
      <c r="L121" s="623">
        <v>106999.5503808</v>
      </c>
      <c r="M121" s="623">
        <v>106999.5503808</v>
      </c>
      <c r="N121" s="626">
        <v>106999.5503808</v>
      </c>
      <c r="O121" s="626">
        <v>106999.5503808</v>
      </c>
    </row>
    <row r="122" spans="1:15">
      <c r="A122" s="518"/>
      <c r="B122" s="519" t="s">
        <v>550</v>
      </c>
      <c r="C122">
        <v>110583.2673792</v>
      </c>
      <c r="D122" s="623">
        <v>110583.2673792</v>
      </c>
      <c r="E122" s="623">
        <v>110583.2673792</v>
      </c>
      <c r="F122" s="623">
        <v>110583.2673792</v>
      </c>
      <c r="G122" s="623">
        <v>110583.2673792</v>
      </c>
      <c r="H122" s="623">
        <v>110583.2673792</v>
      </c>
      <c r="I122" s="623">
        <v>110583.2673792</v>
      </c>
      <c r="J122" s="623">
        <v>110583.2673792</v>
      </c>
      <c r="K122" s="623">
        <v>110583.2673792</v>
      </c>
      <c r="L122" s="623">
        <v>110583.2673792</v>
      </c>
      <c r="M122" s="623">
        <v>110583.2673792</v>
      </c>
      <c r="N122" s="626">
        <v>110583.2673792</v>
      </c>
      <c r="O122" s="626">
        <v>110583.2673792</v>
      </c>
    </row>
    <row r="123" spans="1:15">
      <c r="A123" s="518"/>
      <c r="B123" s="519" t="s">
        <v>551</v>
      </c>
      <c r="C123">
        <v>318097.5469056</v>
      </c>
      <c r="D123" s="623">
        <v>318097.5469056</v>
      </c>
      <c r="E123" s="623">
        <v>318097.5469056</v>
      </c>
      <c r="F123" s="623">
        <v>318097.5469056</v>
      </c>
      <c r="G123" s="623">
        <v>318097.5469056</v>
      </c>
      <c r="H123" s="623">
        <v>318097.5469056</v>
      </c>
      <c r="I123" s="623">
        <v>318097.5469056</v>
      </c>
      <c r="J123" s="623">
        <v>318097.5469056</v>
      </c>
      <c r="K123" s="623">
        <v>318097.5469056</v>
      </c>
      <c r="L123" s="623">
        <v>318097.5469056</v>
      </c>
      <c r="M123" s="623">
        <v>318097.5469056</v>
      </c>
      <c r="N123" s="626">
        <v>318097.5469056</v>
      </c>
      <c r="O123" s="626">
        <v>318097.5469056</v>
      </c>
    </row>
    <row r="124" spans="1:15">
      <c r="A124" s="518"/>
      <c r="B124" s="519" t="s">
        <v>552</v>
      </c>
      <c r="D124" s="623"/>
      <c r="E124" s="623"/>
      <c r="F124" s="623"/>
      <c r="G124" s="623"/>
      <c r="H124" s="623"/>
      <c r="I124" s="623"/>
      <c r="J124" s="623"/>
      <c r="K124" s="623"/>
      <c r="L124" s="623"/>
      <c r="M124" s="623"/>
      <c r="N124" s="626"/>
      <c r="O124" s="626"/>
    </row>
    <row r="125" spans="1:15">
      <c r="A125" s="518"/>
      <c r="B125" s="519" t="s">
        <v>553</v>
      </c>
      <c r="C125">
        <v>0.824107381818182</v>
      </c>
      <c r="D125" s="623">
        <v>0.824107381818182</v>
      </c>
      <c r="E125" s="623">
        <v>0.824107381818182</v>
      </c>
      <c r="F125" s="623">
        <v>0.824107381818182</v>
      </c>
      <c r="G125" s="623">
        <v>0.824107381818182</v>
      </c>
      <c r="H125" s="623">
        <v>0.824107381818182</v>
      </c>
      <c r="I125" s="623">
        <v>0.824107381818182</v>
      </c>
      <c r="J125" s="623">
        <v>0.824107381818182</v>
      </c>
      <c r="K125" s="623">
        <v>0.824107381818182</v>
      </c>
      <c r="L125" s="623">
        <v>0.824107381818182</v>
      </c>
      <c r="M125" s="623">
        <v>0.824107381818182</v>
      </c>
      <c r="N125" s="626">
        <v>0.824107381818182</v>
      </c>
      <c r="O125" s="626">
        <v>0.824107381818182</v>
      </c>
    </row>
    <row r="126" spans="1:15">
      <c r="A126" s="518"/>
      <c r="B126" s="519" t="s">
        <v>554</v>
      </c>
      <c r="C126">
        <v>0.817799288135594</v>
      </c>
      <c r="D126" s="623">
        <v>0.817799288135594</v>
      </c>
      <c r="E126" s="623">
        <v>0.817799288135594</v>
      </c>
      <c r="F126" s="623">
        <v>0.817799288135594</v>
      </c>
      <c r="G126" s="623">
        <v>0.817799288135594</v>
      </c>
      <c r="H126" s="623">
        <v>0.817799288135594</v>
      </c>
      <c r="I126" s="623">
        <v>0.817799288135594</v>
      </c>
      <c r="J126" s="623">
        <v>0.817799288135594</v>
      </c>
      <c r="K126" s="623">
        <v>0.817799288135594</v>
      </c>
      <c r="L126" s="623">
        <v>0.817799288135594</v>
      </c>
      <c r="M126" s="623">
        <v>0.817799288135594</v>
      </c>
      <c r="N126" s="626">
        <v>0.817799288135594</v>
      </c>
      <c r="O126" s="626">
        <v>0.817799288135594</v>
      </c>
    </row>
    <row r="127" spans="1:15">
      <c r="A127" s="518"/>
      <c r="B127" s="519" t="s">
        <v>555</v>
      </c>
      <c r="C127">
        <v>0.797859072</v>
      </c>
      <c r="D127" s="623">
        <v>0.797859072</v>
      </c>
      <c r="E127" s="623">
        <v>0.797859072</v>
      </c>
      <c r="F127" s="623">
        <v>0.797859072</v>
      </c>
      <c r="G127" s="623">
        <v>0.797859072</v>
      </c>
      <c r="H127" s="623">
        <v>0.797859072</v>
      </c>
      <c r="I127" s="623">
        <v>0.797859072</v>
      </c>
      <c r="J127" s="623">
        <v>0.797859072</v>
      </c>
      <c r="K127" s="623">
        <v>0.797859072</v>
      </c>
      <c r="L127" s="623">
        <v>0.797859072</v>
      </c>
      <c r="M127" s="623">
        <v>0.797859072</v>
      </c>
      <c r="N127" s="626">
        <v>0.797859072</v>
      </c>
      <c r="O127" s="626">
        <v>0.797859072</v>
      </c>
    </row>
    <row r="128" spans="1:15">
      <c r="A128" s="518"/>
      <c r="B128" s="519" t="s">
        <v>556</v>
      </c>
      <c r="D128" s="623"/>
      <c r="E128" s="623"/>
      <c r="F128" s="623"/>
      <c r="G128" s="623"/>
      <c r="H128" s="623"/>
      <c r="I128" s="623"/>
      <c r="J128" s="623"/>
      <c r="K128" s="623"/>
      <c r="L128" s="623"/>
      <c r="M128" s="623"/>
      <c r="N128" s="626"/>
      <c r="O128" s="626"/>
    </row>
    <row r="129" spans="1:15">
      <c r="A129" s="518"/>
      <c r="B129" s="519" t="s">
        <v>557</v>
      </c>
      <c r="D129" s="623"/>
      <c r="E129" s="623"/>
      <c r="F129" s="623"/>
      <c r="G129" s="623"/>
      <c r="H129" s="623"/>
      <c r="I129" s="623"/>
      <c r="J129" s="623"/>
      <c r="K129" s="623"/>
      <c r="L129" s="623"/>
      <c r="M129" s="623"/>
      <c r="N129" s="626"/>
      <c r="O129" s="626"/>
    </row>
    <row r="130" spans="1:15">
      <c r="A130" s="518"/>
      <c r="B130" s="519" t="s">
        <v>558</v>
      </c>
      <c r="C130">
        <v>0.62</v>
      </c>
      <c r="D130" s="623">
        <v>0.62</v>
      </c>
      <c r="E130" s="623">
        <v>0.62</v>
      </c>
      <c r="F130" s="623">
        <v>0.62</v>
      </c>
      <c r="G130" s="623">
        <v>0.62</v>
      </c>
      <c r="H130" s="623">
        <v>0.62</v>
      </c>
      <c r="I130" s="623">
        <v>0.62</v>
      </c>
      <c r="J130" s="623">
        <v>0.62</v>
      </c>
      <c r="K130" s="623">
        <v>0.62</v>
      </c>
      <c r="L130" s="623">
        <v>0.62</v>
      </c>
      <c r="M130" s="623">
        <v>0.62</v>
      </c>
      <c r="N130" s="626">
        <v>0.62</v>
      </c>
      <c r="O130" s="626">
        <v>0.62</v>
      </c>
    </row>
    <row r="131" spans="1:15">
      <c r="A131" s="518"/>
      <c r="B131" s="519" t="s">
        <v>559</v>
      </c>
      <c r="C131">
        <v>0.62</v>
      </c>
      <c r="D131" s="623">
        <v>0.62</v>
      </c>
      <c r="E131" s="623">
        <v>0.62</v>
      </c>
      <c r="F131" s="623">
        <v>0.62</v>
      </c>
      <c r="G131" s="623">
        <v>0.62</v>
      </c>
      <c r="H131" s="623">
        <v>0.62</v>
      </c>
      <c r="I131" s="623">
        <v>0.62</v>
      </c>
      <c r="J131" s="623">
        <v>0.62</v>
      </c>
      <c r="K131" s="623">
        <v>0.62</v>
      </c>
      <c r="L131" s="623">
        <v>0.62</v>
      </c>
      <c r="M131" s="623">
        <v>0.62</v>
      </c>
      <c r="N131" s="626">
        <v>0.62</v>
      </c>
      <c r="O131" s="626">
        <v>0.62</v>
      </c>
    </row>
    <row r="132" spans="1:15">
      <c r="A132" s="518"/>
      <c r="B132" s="519" t="s">
        <v>560</v>
      </c>
      <c r="C132">
        <v>0.64</v>
      </c>
      <c r="D132" s="623">
        <v>0.64</v>
      </c>
      <c r="E132" s="623">
        <v>0.64</v>
      </c>
      <c r="F132" s="623">
        <v>0.64</v>
      </c>
      <c r="G132" s="623">
        <v>0.64</v>
      </c>
      <c r="H132" s="623">
        <v>0.64</v>
      </c>
      <c r="I132" s="623">
        <v>0.64</v>
      </c>
      <c r="J132" s="623">
        <v>0.64</v>
      </c>
      <c r="K132" s="623">
        <v>0.64</v>
      </c>
      <c r="L132" s="623">
        <v>0.64</v>
      </c>
      <c r="M132" s="623">
        <v>0.64</v>
      </c>
      <c r="N132" s="626">
        <v>0.64</v>
      </c>
      <c r="O132" s="626">
        <v>0.64</v>
      </c>
    </row>
    <row r="133" spans="1:15">
      <c r="A133" s="518"/>
      <c r="B133" s="519" t="s">
        <v>561</v>
      </c>
      <c r="C133">
        <v>0.6272</v>
      </c>
      <c r="D133" s="623">
        <v>0.6272</v>
      </c>
      <c r="E133" s="623">
        <v>0.6272</v>
      </c>
      <c r="F133" s="623">
        <v>0.6272</v>
      </c>
      <c r="G133" s="623">
        <v>0.6272</v>
      </c>
      <c r="H133" s="623">
        <v>0.6272</v>
      </c>
      <c r="I133" s="623">
        <v>0.6272</v>
      </c>
      <c r="J133" s="623">
        <v>0.6272</v>
      </c>
      <c r="K133" s="623">
        <v>0.6272</v>
      </c>
      <c r="L133" s="623">
        <v>0.6272</v>
      </c>
      <c r="M133" s="623">
        <v>0.6272</v>
      </c>
      <c r="N133" s="626">
        <v>0.6272</v>
      </c>
      <c r="O133" s="626">
        <v>0.6272</v>
      </c>
    </row>
    <row r="134" spans="1:15">
      <c r="A134" s="518"/>
      <c r="B134" s="519" t="s">
        <v>562</v>
      </c>
      <c r="D134" s="623"/>
      <c r="E134" s="623"/>
      <c r="F134" s="623"/>
      <c r="G134" s="623"/>
      <c r="H134" s="623"/>
      <c r="I134" s="623"/>
      <c r="J134" s="623"/>
      <c r="K134" s="623"/>
      <c r="L134" s="623"/>
      <c r="M134" s="623"/>
      <c r="N134" s="626"/>
      <c r="O134" s="626"/>
    </row>
    <row r="135" spans="1:15">
      <c r="A135" s="518"/>
      <c r="B135" s="519" t="s">
        <v>563</v>
      </c>
      <c r="C135">
        <v>163997.7159744</v>
      </c>
      <c r="D135" s="623">
        <v>163997.7159744</v>
      </c>
      <c r="E135" s="623">
        <v>163997.7159744</v>
      </c>
      <c r="F135" s="623">
        <v>163997.7159744</v>
      </c>
      <c r="G135" s="623">
        <v>163997.7159744</v>
      </c>
      <c r="H135" s="623">
        <v>163997.7159744</v>
      </c>
      <c r="I135" s="623">
        <v>163997.7159744</v>
      </c>
      <c r="J135" s="623">
        <v>163997.7159744</v>
      </c>
      <c r="K135" s="623">
        <v>163997.7159744</v>
      </c>
      <c r="L135" s="623">
        <v>163997.7159744</v>
      </c>
      <c r="M135" s="623">
        <v>163997.7159744</v>
      </c>
      <c r="N135" s="626">
        <v>163997.7159744</v>
      </c>
      <c r="O135" s="626">
        <v>163997.7159744</v>
      </c>
    </row>
    <row r="136" spans="1:15">
      <c r="A136" s="518"/>
      <c r="B136" s="519" t="s">
        <v>564</v>
      </c>
      <c r="C136">
        <v>174578.2137792</v>
      </c>
      <c r="D136" s="623">
        <v>174578.2137792</v>
      </c>
      <c r="E136" s="623">
        <v>174578.2137792</v>
      </c>
      <c r="F136" s="623">
        <v>174578.2137792</v>
      </c>
      <c r="G136" s="623">
        <v>174578.2137792</v>
      </c>
      <c r="H136" s="623">
        <v>174578.2137792</v>
      </c>
      <c r="I136" s="623">
        <v>174578.2137792</v>
      </c>
      <c r="J136" s="623">
        <v>174578.2137792</v>
      </c>
      <c r="K136" s="623">
        <v>174578.2137792</v>
      </c>
      <c r="L136" s="623">
        <v>174578.2137792</v>
      </c>
      <c r="M136" s="623">
        <v>174578.2137792</v>
      </c>
      <c r="N136" s="626">
        <v>174578.2137792</v>
      </c>
      <c r="O136" s="626">
        <v>174578.2137792</v>
      </c>
    </row>
    <row r="137" spans="1:15">
      <c r="A137" s="518"/>
      <c r="B137" s="519" t="s">
        <v>565</v>
      </c>
      <c r="C137">
        <v>196592.4753408</v>
      </c>
      <c r="D137" s="623">
        <v>196592.4753408</v>
      </c>
      <c r="E137" s="623">
        <v>196592.4753408</v>
      </c>
      <c r="F137" s="623">
        <v>196592.4753408</v>
      </c>
      <c r="G137" s="623">
        <v>196592.4753408</v>
      </c>
      <c r="H137" s="623">
        <v>196592.4753408</v>
      </c>
      <c r="I137" s="623">
        <v>196592.4753408</v>
      </c>
      <c r="J137" s="623">
        <v>196592.4753408</v>
      </c>
      <c r="K137" s="623">
        <v>196592.4753408</v>
      </c>
      <c r="L137" s="623">
        <v>196592.4753408</v>
      </c>
      <c r="M137" s="623">
        <v>196592.4753408</v>
      </c>
      <c r="N137" s="626">
        <v>196592.4753408</v>
      </c>
      <c r="O137" s="626">
        <v>196592.4753408</v>
      </c>
    </row>
    <row r="138" spans="1:15">
      <c r="A138" s="518"/>
      <c r="B138" s="519" t="s">
        <v>566</v>
      </c>
      <c r="C138">
        <v>535168.4050944</v>
      </c>
      <c r="D138" s="623">
        <v>535168.4050944</v>
      </c>
      <c r="E138" s="623">
        <v>535168.4050944</v>
      </c>
      <c r="F138" s="623">
        <v>535168.4050944</v>
      </c>
      <c r="G138" s="623">
        <v>535168.4050944</v>
      </c>
      <c r="H138" s="623">
        <v>535168.4050944</v>
      </c>
      <c r="I138" s="623">
        <v>535168.4050944</v>
      </c>
      <c r="J138" s="623">
        <v>535168.4050944</v>
      </c>
      <c r="K138" s="623">
        <v>535168.4050944</v>
      </c>
      <c r="L138" s="623">
        <v>535168.4050944</v>
      </c>
      <c r="M138" s="623">
        <v>535168.4050944</v>
      </c>
      <c r="N138" s="626">
        <v>535168.4050944</v>
      </c>
      <c r="O138" s="626">
        <v>535168.4050944</v>
      </c>
    </row>
    <row r="139" spans="1:15">
      <c r="A139" s="518"/>
      <c r="B139" s="519" t="s">
        <v>567</v>
      </c>
      <c r="C139">
        <v>476160</v>
      </c>
      <c r="D139" s="623">
        <v>476160</v>
      </c>
      <c r="E139" s="623">
        <v>476160</v>
      </c>
      <c r="F139" s="623">
        <v>476160</v>
      </c>
      <c r="G139" s="623">
        <v>476160</v>
      </c>
      <c r="H139" s="623">
        <v>476160</v>
      </c>
      <c r="I139" s="623">
        <v>476160</v>
      </c>
      <c r="J139" s="623">
        <v>476160</v>
      </c>
      <c r="K139" s="623">
        <v>476160</v>
      </c>
      <c r="L139" s="623">
        <v>476160</v>
      </c>
      <c r="M139" s="623">
        <v>476160</v>
      </c>
      <c r="N139" s="626">
        <v>476160</v>
      </c>
      <c r="O139" s="626">
        <v>476160</v>
      </c>
    </row>
    <row r="140" spans="1:15">
      <c r="A140" s="518"/>
      <c r="B140" s="519" t="s">
        <v>568</v>
      </c>
      <c r="C140">
        <v>476160</v>
      </c>
      <c r="D140" s="623">
        <v>476160</v>
      </c>
      <c r="E140" s="623">
        <v>476160</v>
      </c>
      <c r="F140" s="623">
        <v>476160</v>
      </c>
      <c r="G140" s="623">
        <v>476160</v>
      </c>
      <c r="H140" s="623">
        <v>476160</v>
      </c>
      <c r="I140" s="623">
        <v>476160</v>
      </c>
      <c r="J140" s="623">
        <v>476160</v>
      </c>
      <c r="K140" s="623">
        <v>476160</v>
      </c>
      <c r="L140" s="623">
        <v>476160</v>
      </c>
      <c r="M140" s="623">
        <v>476160</v>
      </c>
      <c r="N140" s="626">
        <v>476160</v>
      </c>
      <c r="O140" s="626">
        <v>476160</v>
      </c>
    </row>
    <row r="141" spans="1:15">
      <c r="A141" s="518"/>
      <c r="B141" s="519" t="s">
        <v>569</v>
      </c>
      <c r="C141">
        <v>476160</v>
      </c>
      <c r="D141" s="623">
        <v>476160</v>
      </c>
      <c r="E141" s="623">
        <v>476160</v>
      </c>
      <c r="F141" s="623">
        <v>476160</v>
      </c>
      <c r="G141" s="623">
        <v>476160</v>
      </c>
      <c r="H141" s="623">
        <v>476160</v>
      </c>
      <c r="I141" s="623">
        <v>476160</v>
      </c>
      <c r="J141" s="623">
        <v>476160</v>
      </c>
      <c r="K141" s="623">
        <v>476160</v>
      </c>
      <c r="L141" s="623">
        <v>476160</v>
      </c>
      <c r="M141" s="623">
        <v>476160</v>
      </c>
      <c r="N141" s="626">
        <v>476160</v>
      </c>
      <c r="O141" s="626">
        <v>476160</v>
      </c>
    </row>
    <row r="142" spans="1:15">
      <c r="A142" s="518"/>
      <c r="B142" s="519" t="s">
        <v>570</v>
      </c>
      <c r="C142">
        <v>476160</v>
      </c>
      <c r="D142" s="623">
        <v>476160</v>
      </c>
      <c r="E142" s="623">
        <v>476160</v>
      </c>
      <c r="F142" s="623">
        <v>476160</v>
      </c>
      <c r="G142" s="623">
        <v>476160</v>
      </c>
      <c r="H142" s="623">
        <v>476160</v>
      </c>
      <c r="I142" s="623">
        <v>476160</v>
      </c>
      <c r="J142" s="623">
        <v>476160</v>
      </c>
      <c r="K142" s="623">
        <v>476160</v>
      </c>
      <c r="L142" s="623">
        <v>476160</v>
      </c>
      <c r="M142" s="623">
        <v>476160</v>
      </c>
      <c r="N142" s="626">
        <v>476160</v>
      </c>
      <c r="O142" s="626">
        <v>476160</v>
      </c>
    </row>
    <row r="143" spans="1:15">
      <c r="A143" s="518"/>
      <c r="B143" s="519" t="s">
        <v>571</v>
      </c>
      <c r="D143" s="623"/>
      <c r="E143" s="623"/>
      <c r="F143" s="623"/>
      <c r="G143" s="623"/>
      <c r="H143" s="623"/>
      <c r="I143" s="623"/>
      <c r="J143" s="623"/>
      <c r="K143" s="623"/>
      <c r="L143" s="623"/>
      <c r="M143" s="623"/>
      <c r="N143" s="626"/>
      <c r="O143" s="626"/>
    </row>
    <row r="144" spans="1:2">
      <c r="A144" s="518"/>
      <c r="B144" s="519"/>
    </row>
    <row r="145" spans="1:15">
      <c r="A145" s="631">
        <v>2</v>
      </c>
      <c r="B145" s="519" t="s">
        <v>313</v>
      </c>
      <c r="C145" s="632">
        <v>150000</v>
      </c>
      <c r="D145" s="633">
        <v>150000</v>
      </c>
      <c r="E145" s="633">
        <v>150000</v>
      </c>
      <c r="F145" s="633">
        <v>150000</v>
      </c>
      <c r="G145" s="633">
        <v>150000</v>
      </c>
      <c r="H145" s="633">
        <v>150000</v>
      </c>
      <c r="I145" s="633">
        <v>150000</v>
      </c>
      <c r="J145" s="633">
        <v>150000</v>
      </c>
      <c r="K145" s="633">
        <v>150000</v>
      </c>
      <c r="L145" s="633">
        <v>150000</v>
      </c>
      <c r="M145" s="633">
        <v>150000</v>
      </c>
      <c r="N145" s="626">
        <v>150000</v>
      </c>
      <c r="O145" s="626">
        <v>150000</v>
      </c>
    </row>
    <row r="147" spans="1:15">
      <c r="A147" s="518">
        <v>2.1</v>
      </c>
      <c r="B147" s="519" t="s">
        <v>143</v>
      </c>
      <c r="D147" s="623"/>
      <c r="E147" s="623"/>
      <c r="F147" s="623"/>
      <c r="G147" s="623"/>
      <c r="H147" s="623"/>
      <c r="I147" s="623"/>
      <c r="J147" s="623"/>
      <c r="K147" s="623"/>
      <c r="L147" s="623"/>
      <c r="M147" s="623"/>
      <c r="N147" s="626"/>
      <c r="O147" s="626"/>
    </row>
    <row r="148" s="597" customFormat="1" spans="1:15">
      <c r="A148" s="618"/>
      <c r="B148" s="526" t="s">
        <v>572</v>
      </c>
      <c r="C148" s="632">
        <v>25000</v>
      </c>
      <c r="D148" s="633">
        <v>25000</v>
      </c>
      <c r="E148" s="634">
        <v>12000</v>
      </c>
      <c r="F148" s="634">
        <v>12000</v>
      </c>
      <c r="G148" s="634">
        <v>12000</v>
      </c>
      <c r="H148" s="634">
        <v>12000</v>
      </c>
      <c r="I148" s="638">
        <v>20000</v>
      </c>
      <c r="J148" s="638">
        <v>20000</v>
      </c>
      <c r="K148" s="638">
        <v>20000</v>
      </c>
      <c r="L148" s="638">
        <v>20000</v>
      </c>
      <c r="M148" s="638">
        <v>20000</v>
      </c>
      <c r="N148" s="639">
        <v>20000</v>
      </c>
      <c r="O148" s="639">
        <v>20000</v>
      </c>
    </row>
    <row r="149" s="597" customFormat="1" spans="1:15">
      <c r="A149" s="618"/>
      <c r="B149" s="526" t="s">
        <v>573</v>
      </c>
      <c r="C149" s="597">
        <v>1</v>
      </c>
      <c r="D149" s="635">
        <v>1</v>
      </c>
      <c r="E149" s="635">
        <v>1</v>
      </c>
      <c r="F149" s="635">
        <v>1</v>
      </c>
      <c r="G149" s="635">
        <v>1</v>
      </c>
      <c r="H149" s="635">
        <v>1</v>
      </c>
      <c r="I149" s="635">
        <v>1</v>
      </c>
      <c r="J149" s="635">
        <v>1</v>
      </c>
      <c r="K149" s="635">
        <v>1</v>
      </c>
      <c r="L149" s="635">
        <v>1</v>
      </c>
      <c r="M149" s="635">
        <v>1</v>
      </c>
      <c r="N149" s="640">
        <v>1</v>
      </c>
      <c r="O149" s="640">
        <v>1</v>
      </c>
    </row>
    <row r="150" s="597" customFormat="1" spans="1:15">
      <c r="A150" s="618"/>
      <c r="B150" s="526" t="s">
        <v>574</v>
      </c>
      <c r="C150" s="597">
        <v>1.11</v>
      </c>
      <c r="D150" s="635">
        <v>1.11</v>
      </c>
      <c r="E150" s="636">
        <v>1.1</v>
      </c>
      <c r="F150" s="636">
        <v>1.1</v>
      </c>
      <c r="G150" s="636">
        <v>1.1</v>
      </c>
      <c r="H150" s="636">
        <v>1.1</v>
      </c>
      <c r="I150" s="636">
        <v>1.1</v>
      </c>
      <c r="J150" s="636">
        <v>1.1</v>
      </c>
      <c r="K150" s="636">
        <v>1.1</v>
      </c>
      <c r="L150" s="636">
        <v>1.1</v>
      </c>
      <c r="M150" s="636">
        <v>1.1</v>
      </c>
      <c r="N150" s="641">
        <v>1</v>
      </c>
      <c r="O150" s="641">
        <v>1</v>
      </c>
    </row>
    <row r="151" s="597" customFormat="1" spans="1:15">
      <c r="A151" s="618"/>
      <c r="B151" s="526" t="s">
        <v>575</v>
      </c>
      <c r="C151" s="597">
        <v>1.2</v>
      </c>
      <c r="D151" s="635">
        <v>1.2</v>
      </c>
      <c r="E151" s="636">
        <v>1.1</v>
      </c>
      <c r="F151" s="636">
        <v>1.1</v>
      </c>
      <c r="G151" s="636">
        <v>1.1</v>
      </c>
      <c r="H151" s="636">
        <v>1.1</v>
      </c>
      <c r="I151" s="636">
        <v>1.1</v>
      </c>
      <c r="J151" s="636">
        <v>1.1</v>
      </c>
      <c r="K151" s="636">
        <v>1.1</v>
      </c>
      <c r="L151" s="636">
        <v>1.1</v>
      </c>
      <c r="M151" s="636">
        <v>1.1</v>
      </c>
      <c r="N151" s="641">
        <v>1</v>
      </c>
      <c r="O151" s="641">
        <v>1</v>
      </c>
    </row>
    <row r="152" s="597" customFormat="1" spans="1:15">
      <c r="A152" s="618"/>
      <c r="B152" s="526" t="s">
        <v>576</v>
      </c>
      <c r="C152" s="632">
        <v>67500</v>
      </c>
      <c r="D152" s="633">
        <v>67500</v>
      </c>
      <c r="E152" s="634">
        <v>45000</v>
      </c>
      <c r="F152" s="634">
        <v>45000</v>
      </c>
      <c r="G152" s="634">
        <v>45000</v>
      </c>
      <c r="H152" s="634">
        <v>45000</v>
      </c>
      <c r="I152" s="634">
        <v>45000</v>
      </c>
      <c r="J152" s="634">
        <v>45000</v>
      </c>
      <c r="K152" s="634">
        <v>45000</v>
      </c>
      <c r="L152" s="634">
        <v>45000</v>
      </c>
      <c r="M152" s="634">
        <v>45000</v>
      </c>
      <c r="N152" s="642">
        <v>45000</v>
      </c>
      <c r="O152" s="642">
        <v>45000</v>
      </c>
    </row>
    <row r="153" s="597" customFormat="1" spans="1:15">
      <c r="A153" s="618"/>
      <c r="B153" s="526" t="s">
        <v>577</v>
      </c>
      <c r="C153" s="597">
        <v>1.5</v>
      </c>
      <c r="D153" s="635">
        <v>1.5</v>
      </c>
      <c r="E153" s="636">
        <v>1</v>
      </c>
      <c r="F153" s="636">
        <v>1</v>
      </c>
      <c r="G153" s="636">
        <v>1</v>
      </c>
      <c r="H153" s="636">
        <v>1</v>
      </c>
      <c r="I153" s="636">
        <v>1</v>
      </c>
      <c r="J153" s="636">
        <v>1</v>
      </c>
      <c r="K153" s="636">
        <v>1</v>
      </c>
      <c r="L153" s="636">
        <v>1</v>
      </c>
      <c r="M153" s="636">
        <v>1</v>
      </c>
      <c r="N153" s="642">
        <v>1</v>
      </c>
      <c r="O153" s="642">
        <v>1</v>
      </c>
    </row>
    <row r="154" s="597" customFormat="1" spans="1:15">
      <c r="A154" s="618"/>
      <c r="B154" s="526" t="s">
        <v>578</v>
      </c>
      <c r="C154" s="597">
        <v>1.11</v>
      </c>
      <c r="D154" s="635">
        <v>1.11</v>
      </c>
      <c r="E154" s="636">
        <v>1.1</v>
      </c>
      <c r="F154" s="636">
        <v>1.1</v>
      </c>
      <c r="G154" s="636">
        <v>1.1</v>
      </c>
      <c r="H154" s="636">
        <v>1.1</v>
      </c>
      <c r="I154" s="636">
        <v>1.1</v>
      </c>
      <c r="J154" s="636">
        <v>1.1</v>
      </c>
      <c r="K154" s="636">
        <v>1.1</v>
      </c>
      <c r="L154" s="636">
        <v>1.1</v>
      </c>
      <c r="M154" s="636">
        <v>1.1</v>
      </c>
      <c r="N154" s="641">
        <v>0.9</v>
      </c>
      <c r="O154" s="641">
        <v>0.9</v>
      </c>
    </row>
    <row r="155" s="597" customFormat="1" spans="1:15">
      <c r="A155" s="618"/>
      <c r="B155" s="526" t="s">
        <v>579</v>
      </c>
      <c r="C155" s="597">
        <v>1.2</v>
      </c>
      <c r="D155" s="635">
        <v>1.2</v>
      </c>
      <c r="E155" s="636">
        <v>1.1</v>
      </c>
      <c r="F155" s="636">
        <v>1.1</v>
      </c>
      <c r="G155" s="636">
        <v>1.1</v>
      </c>
      <c r="H155" s="636">
        <v>1.1</v>
      </c>
      <c r="I155" s="636">
        <v>1.1</v>
      </c>
      <c r="J155" s="636">
        <v>1.1</v>
      </c>
      <c r="K155" s="636">
        <v>1.1</v>
      </c>
      <c r="L155" s="636">
        <v>1.1</v>
      </c>
      <c r="M155" s="636">
        <v>1.1</v>
      </c>
      <c r="N155" s="641">
        <v>0.8</v>
      </c>
      <c r="O155" s="641">
        <v>0.9</v>
      </c>
    </row>
    <row r="156" s="597" customFormat="1" spans="1:15">
      <c r="A156" s="618"/>
      <c r="B156" s="526" t="s">
        <v>580</v>
      </c>
      <c r="C156" s="632">
        <v>32500</v>
      </c>
      <c r="D156" s="633">
        <v>32500</v>
      </c>
      <c r="E156" s="634">
        <v>12000</v>
      </c>
      <c r="F156" s="634">
        <v>12000</v>
      </c>
      <c r="G156" s="634">
        <v>12000</v>
      </c>
      <c r="H156" s="634">
        <v>12000</v>
      </c>
      <c r="I156" s="634">
        <v>12000</v>
      </c>
      <c r="J156" s="634">
        <v>12000</v>
      </c>
      <c r="K156" s="634">
        <v>12000</v>
      </c>
      <c r="L156" s="634">
        <v>12000</v>
      </c>
      <c r="M156" s="634">
        <v>12000</v>
      </c>
      <c r="N156" s="642">
        <v>12000</v>
      </c>
      <c r="O156" s="642">
        <v>12000</v>
      </c>
    </row>
    <row r="157" s="597" customFormat="1" spans="1:15">
      <c r="A157" s="618"/>
      <c r="B157" s="526" t="s">
        <v>581</v>
      </c>
      <c r="C157" s="597">
        <v>0.5</v>
      </c>
      <c r="D157" s="635">
        <v>0.5</v>
      </c>
      <c r="E157" s="636">
        <v>0.25</v>
      </c>
      <c r="F157" s="636">
        <v>0.25</v>
      </c>
      <c r="G157" s="636">
        <v>0.25</v>
      </c>
      <c r="H157" s="636">
        <v>0.25</v>
      </c>
      <c r="I157" s="636">
        <v>0.25</v>
      </c>
      <c r="J157" s="636">
        <v>0.25</v>
      </c>
      <c r="K157" s="636">
        <v>0.25</v>
      </c>
      <c r="L157" s="636">
        <v>0.25</v>
      </c>
      <c r="M157" s="636">
        <v>0.25</v>
      </c>
      <c r="N157" s="642">
        <v>0.25</v>
      </c>
      <c r="O157" s="642">
        <v>0.25</v>
      </c>
    </row>
    <row r="158" s="597" customFormat="1" spans="1:15">
      <c r="A158" s="618"/>
      <c r="B158" s="526" t="s">
        <v>582</v>
      </c>
      <c r="C158" s="597">
        <v>1.11</v>
      </c>
      <c r="D158" s="635">
        <v>1.11</v>
      </c>
      <c r="E158" s="636">
        <v>1.1</v>
      </c>
      <c r="F158" s="636">
        <v>1.1</v>
      </c>
      <c r="G158" s="636">
        <v>1.1</v>
      </c>
      <c r="H158" s="636">
        <v>1.1</v>
      </c>
      <c r="I158" s="636">
        <v>1.1</v>
      </c>
      <c r="J158" s="636">
        <v>1.1</v>
      </c>
      <c r="K158" s="636">
        <v>1.1</v>
      </c>
      <c r="L158" s="636">
        <v>1.1</v>
      </c>
      <c r="M158" s="636">
        <v>1.1</v>
      </c>
      <c r="N158" s="642">
        <v>1.1</v>
      </c>
      <c r="O158" s="642">
        <v>1.1</v>
      </c>
    </row>
    <row r="159" s="597" customFormat="1" spans="1:15">
      <c r="A159" s="618"/>
      <c r="B159" s="526" t="s">
        <v>583</v>
      </c>
      <c r="C159" s="597">
        <v>1.2</v>
      </c>
      <c r="D159" s="635">
        <v>1.2</v>
      </c>
      <c r="E159" s="636">
        <v>1.1</v>
      </c>
      <c r="F159" s="636">
        <v>1.1</v>
      </c>
      <c r="G159" s="636">
        <v>1.1</v>
      </c>
      <c r="H159" s="636">
        <v>1.1</v>
      </c>
      <c r="I159" s="636">
        <v>1.1</v>
      </c>
      <c r="J159" s="636">
        <v>1.1</v>
      </c>
      <c r="K159" s="636">
        <v>1.1</v>
      </c>
      <c r="L159" s="636">
        <v>1.1</v>
      </c>
      <c r="M159" s="636">
        <v>1.1</v>
      </c>
      <c r="N159" s="642">
        <v>1.1</v>
      </c>
      <c r="O159" s="642">
        <v>1.1</v>
      </c>
    </row>
    <row r="160" s="597" customFormat="1" spans="1:15">
      <c r="A160" s="618"/>
      <c r="B160" s="526" t="s">
        <v>584</v>
      </c>
      <c r="C160" s="632">
        <v>5000</v>
      </c>
      <c r="D160" s="633">
        <v>5000</v>
      </c>
      <c r="E160" s="634">
        <v>3000</v>
      </c>
      <c r="F160" s="634">
        <v>3000</v>
      </c>
      <c r="G160" s="634">
        <v>3000</v>
      </c>
      <c r="H160" s="634">
        <v>3000</v>
      </c>
      <c r="I160" s="638">
        <v>7000</v>
      </c>
      <c r="J160" s="638">
        <v>7000</v>
      </c>
      <c r="K160" s="638">
        <v>7000</v>
      </c>
      <c r="L160" s="638">
        <v>7000</v>
      </c>
      <c r="M160" s="638">
        <v>7000</v>
      </c>
      <c r="N160" s="639">
        <v>7000</v>
      </c>
      <c r="O160" s="639">
        <v>7000</v>
      </c>
    </row>
    <row r="161" s="597" customFormat="1" spans="1:15">
      <c r="A161" s="618"/>
      <c r="B161" s="526" t="s">
        <v>585</v>
      </c>
      <c r="C161" s="597">
        <v>1.11</v>
      </c>
      <c r="D161" s="635">
        <v>1.11</v>
      </c>
      <c r="E161" s="636">
        <v>1.1</v>
      </c>
      <c r="F161" s="636">
        <v>1.1</v>
      </c>
      <c r="G161" s="636">
        <v>1.1</v>
      </c>
      <c r="H161" s="636">
        <v>1.1</v>
      </c>
      <c r="I161" s="636">
        <v>1.1</v>
      </c>
      <c r="J161" s="636">
        <v>1.1</v>
      </c>
      <c r="K161" s="636">
        <v>1.1</v>
      </c>
      <c r="L161" s="636">
        <v>1.1</v>
      </c>
      <c r="M161" s="636">
        <v>1.1</v>
      </c>
      <c r="N161" s="641">
        <v>0.9</v>
      </c>
      <c r="O161" s="641">
        <v>0.9</v>
      </c>
    </row>
    <row r="162" s="597" customFormat="1" spans="1:15">
      <c r="A162" s="618"/>
      <c r="B162" s="526" t="s">
        <v>586</v>
      </c>
      <c r="C162" s="597">
        <v>1.2</v>
      </c>
      <c r="D162" s="635">
        <v>1.2</v>
      </c>
      <c r="E162" s="636">
        <v>1.1</v>
      </c>
      <c r="F162" s="636">
        <v>1.1</v>
      </c>
      <c r="G162" s="636">
        <v>1.1</v>
      </c>
      <c r="H162" s="636">
        <v>1.1</v>
      </c>
      <c r="I162" s="636">
        <v>1.1</v>
      </c>
      <c r="J162" s="636">
        <v>1.1</v>
      </c>
      <c r="K162" s="636">
        <v>1.1</v>
      </c>
      <c r="L162" s="636">
        <v>1.1</v>
      </c>
      <c r="M162" s="636">
        <v>1.1</v>
      </c>
      <c r="N162" s="641">
        <v>0.8</v>
      </c>
      <c r="O162" s="641">
        <v>0.9</v>
      </c>
    </row>
    <row r="163" spans="1:2">
      <c r="A163" s="518"/>
      <c r="B163" s="519"/>
    </row>
    <row r="164" spans="1:15">
      <c r="A164" s="518">
        <v>2.11</v>
      </c>
      <c r="B164" s="519" t="s">
        <v>587</v>
      </c>
      <c r="C164" s="632">
        <v>130000</v>
      </c>
      <c r="D164" s="633">
        <v>130000</v>
      </c>
      <c r="E164" s="634">
        <v>72000</v>
      </c>
      <c r="F164" s="634">
        <v>72000</v>
      </c>
      <c r="G164" s="634">
        <v>72000</v>
      </c>
      <c r="H164" s="634">
        <v>72000</v>
      </c>
      <c r="I164" s="638">
        <v>84000</v>
      </c>
      <c r="J164" s="638">
        <v>84000</v>
      </c>
      <c r="K164" s="638">
        <v>84000</v>
      </c>
      <c r="L164" s="638">
        <v>84000</v>
      </c>
      <c r="M164" s="638">
        <v>84000</v>
      </c>
      <c r="N164" s="643">
        <v>84000</v>
      </c>
      <c r="O164" s="643">
        <v>84000</v>
      </c>
    </row>
    <row r="165" spans="1:15">
      <c r="A165" s="518">
        <v>2.12</v>
      </c>
      <c r="B165" s="519" t="s">
        <v>588</v>
      </c>
      <c r="C165" s="632">
        <v>144300</v>
      </c>
      <c r="D165" s="633">
        <v>144300</v>
      </c>
      <c r="E165" s="634">
        <v>79200</v>
      </c>
      <c r="F165" s="634">
        <v>79200</v>
      </c>
      <c r="G165" s="634">
        <v>79200</v>
      </c>
      <c r="H165" s="634">
        <v>79200</v>
      </c>
      <c r="I165" s="638">
        <v>92400</v>
      </c>
      <c r="J165" s="638">
        <v>92400</v>
      </c>
      <c r="K165" s="638">
        <v>92400</v>
      </c>
      <c r="L165" s="638">
        <v>92400</v>
      </c>
      <c r="M165" s="638">
        <v>92400</v>
      </c>
      <c r="N165" s="644">
        <v>80000</v>
      </c>
      <c r="O165" s="644">
        <v>80000</v>
      </c>
    </row>
    <row r="166" spans="1:15">
      <c r="A166" s="518">
        <v>2.13</v>
      </c>
      <c r="B166" s="519" t="s">
        <v>589</v>
      </c>
      <c r="C166" s="632">
        <v>173160</v>
      </c>
      <c r="D166" s="633">
        <v>173160</v>
      </c>
      <c r="E166" s="634">
        <v>87120</v>
      </c>
      <c r="F166" s="634">
        <v>87120</v>
      </c>
      <c r="G166" s="634">
        <v>87120</v>
      </c>
      <c r="H166" s="634">
        <v>87120</v>
      </c>
      <c r="I166" s="638">
        <v>101640</v>
      </c>
      <c r="J166" s="638">
        <v>101640</v>
      </c>
      <c r="K166" s="638">
        <v>101640</v>
      </c>
      <c r="L166" s="638">
        <v>101640</v>
      </c>
      <c r="M166" s="638">
        <v>101640</v>
      </c>
      <c r="N166" s="644">
        <v>71960</v>
      </c>
      <c r="O166" s="644">
        <v>76640</v>
      </c>
    </row>
    <row r="167" spans="1:8">
      <c r="A167" s="518"/>
      <c r="B167" s="519"/>
      <c r="C167" s="632"/>
      <c r="D167" s="632"/>
      <c r="E167" s="632"/>
      <c r="F167" s="632"/>
      <c r="G167" s="632"/>
      <c r="H167" s="632"/>
    </row>
    <row r="168" spans="1:15">
      <c r="A168" s="518">
        <v>2.2</v>
      </c>
      <c r="B168" s="637" t="s">
        <v>152</v>
      </c>
      <c r="C168" s="632"/>
      <c r="D168" s="633"/>
      <c r="E168" s="633"/>
      <c r="F168" s="633"/>
      <c r="G168" s="633"/>
      <c r="H168" s="633"/>
      <c r="I168" s="623"/>
      <c r="J168" s="623"/>
      <c r="K168" s="623"/>
      <c r="L168" s="623"/>
      <c r="M168" s="623"/>
      <c r="N168" s="626"/>
      <c r="O168" s="626"/>
    </row>
    <row r="169" s="597" customFormat="1" spans="1:15">
      <c r="A169" s="618"/>
      <c r="B169" s="637" t="s">
        <v>590</v>
      </c>
      <c r="C169" s="632">
        <v>26000</v>
      </c>
      <c r="D169" s="633">
        <v>26000</v>
      </c>
      <c r="E169" s="633">
        <v>26000</v>
      </c>
      <c r="F169" s="633">
        <v>26000</v>
      </c>
      <c r="G169" s="633">
        <v>26000</v>
      </c>
      <c r="H169" s="633">
        <v>26000</v>
      </c>
      <c r="I169" s="638">
        <v>33000</v>
      </c>
      <c r="J169" s="638">
        <v>33000</v>
      </c>
      <c r="K169" s="638">
        <v>33000</v>
      </c>
      <c r="L169" s="638">
        <v>33000</v>
      </c>
      <c r="M169" s="638">
        <v>33000</v>
      </c>
      <c r="N169" s="639">
        <v>33000</v>
      </c>
      <c r="O169" s="639">
        <v>33000</v>
      </c>
    </row>
    <row r="170" s="597" customFormat="1" spans="1:15">
      <c r="A170" s="618"/>
      <c r="B170" s="637" t="s">
        <v>591</v>
      </c>
      <c r="C170" s="632">
        <v>30000</v>
      </c>
      <c r="D170" s="633">
        <v>30000</v>
      </c>
      <c r="E170" s="633">
        <v>30000</v>
      </c>
      <c r="F170" s="633">
        <v>30000</v>
      </c>
      <c r="G170" s="633">
        <v>30000</v>
      </c>
      <c r="H170" s="633">
        <v>30000</v>
      </c>
      <c r="I170" s="638">
        <v>39000</v>
      </c>
      <c r="J170" s="638">
        <v>39000</v>
      </c>
      <c r="K170" s="638">
        <v>39000</v>
      </c>
      <c r="L170" s="638">
        <v>39000</v>
      </c>
      <c r="M170" s="638">
        <v>39000</v>
      </c>
      <c r="N170" s="639">
        <v>39000</v>
      </c>
      <c r="O170" s="639">
        <v>39000</v>
      </c>
    </row>
    <row r="171" s="597" customFormat="1" spans="1:15">
      <c r="A171" s="618"/>
      <c r="B171" s="637" t="s">
        <v>592</v>
      </c>
      <c r="C171" s="632">
        <v>28000</v>
      </c>
      <c r="D171" s="633">
        <v>28000</v>
      </c>
      <c r="E171" s="633">
        <v>28000</v>
      </c>
      <c r="F171" s="633">
        <v>28000</v>
      </c>
      <c r="G171" s="633">
        <v>28000</v>
      </c>
      <c r="H171" s="633">
        <v>28000</v>
      </c>
      <c r="I171" s="638">
        <v>47000</v>
      </c>
      <c r="J171" s="638">
        <v>47000</v>
      </c>
      <c r="K171" s="638">
        <v>47000</v>
      </c>
      <c r="L171" s="638">
        <v>47000</v>
      </c>
      <c r="M171" s="638">
        <v>47000</v>
      </c>
      <c r="N171" s="639">
        <v>47000</v>
      </c>
      <c r="O171" s="639">
        <v>47000</v>
      </c>
    </row>
    <row r="172" s="597" customFormat="1" spans="1:15">
      <c r="A172" s="618"/>
      <c r="B172" s="637" t="s">
        <v>593</v>
      </c>
      <c r="C172" s="632">
        <v>32000</v>
      </c>
      <c r="D172" s="633">
        <v>32000</v>
      </c>
      <c r="E172" s="633">
        <v>32000</v>
      </c>
      <c r="F172" s="633">
        <v>32000</v>
      </c>
      <c r="G172" s="633">
        <v>32000</v>
      </c>
      <c r="H172" s="633">
        <v>32000</v>
      </c>
      <c r="I172" s="638">
        <v>69000</v>
      </c>
      <c r="J172" s="638">
        <v>69000</v>
      </c>
      <c r="K172" s="638">
        <v>69000</v>
      </c>
      <c r="L172" s="638">
        <v>69000</v>
      </c>
      <c r="M172" s="638">
        <v>69000</v>
      </c>
      <c r="N172" s="639">
        <v>69000</v>
      </c>
      <c r="O172" s="639">
        <v>69000</v>
      </c>
    </row>
    <row r="173" s="597" customFormat="1" spans="1:15">
      <c r="A173" s="618"/>
      <c r="B173" s="637" t="s">
        <v>594</v>
      </c>
      <c r="C173" s="632">
        <v>23000</v>
      </c>
      <c r="D173" s="633">
        <v>23000</v>
      </c>
      <c r="E173" s="633">
        <v>23000</v>
      </c>
      <c r="F173" s="633">
        <v>23000</v>
      </c>
      <c r="G173" s="633">
        <v>23000</v>
      </c>
      <c r="H173" s="633">
        <v>23000</v>
      </c>
      <c r="I173" s="633">
        <v>23000</v>
      </c>
      <c r="J173" s="633">
        <v>23000</v>
      </c>
      <c r="K173" s="633">
        <v>23000</v>
      </c>
      <c r="L173" s="633">
        <v>23000</v>
      </c>
      <c r="M173" s="633">
        <v>23000</v>
      </c>
      <c r="N173" s="640">
        <v>23000</v>
      </c>
      <c r="O173" s="640">
        <v>23000</v>
      </c>
    </row>
    <row r="174" s="597" customFormat="1" spans="1:15">
      <c r="A174" s="618"/>
      <c r="B174" s="637" t="s">
        <v>595</v>
      </c>
      <c r="C174" s="632">
        <v>24000</v>
      </c>
      <c r="D174" s="633">
        <v>24000</v>
      </c>
      <c r="E174" s="633">
        <v>24000</v>
      </c>
      <c r="F174" s="633">
        <v>24000</v>
      </c>
      <c r="G174" s="633">
        <v>24000</v>
      </c>
      <c r="H174" s="633">
        <v>24000</v>
      </c>
      <c r="I174" s="633">
        <v>24000</v>
      </c>
      <c r="J174" s="633">
        <v>24000</v>
      </c>
      <c r="K174" s="633">
        <v>24000</v>
      </c>
      <c r="L174" s="633">
        <v>24000</v>
      </c>
      <c r="M174" s="633">
        <v>24000</v>
      </c>
      <c r="N174" s="640">
        <v>24000</v>
      </c>
      <c r="O174" s="640">
        <v>24000</v>
      </c>
    </row>
    <row r="175" s="597" customFormat="1" spans="1:15">
      <c r="A175" s="618"/>
      <c r="B175" s="637" t="s">
        <v>596</v>
      </c>
      <c r="C175" s="632">
        <v>25000</v>
      </c>
      <c r="D175" s="633">
        <v>25000</v>
      </c>
      <c r="E175" s="633">
        <v>25000</v>
      </c>
      <c r="F175" s="633">
        <v>25000</v>
      </c>
      <c r="G175" s="633">
        <v>25000</v>
      </c>
      <c r="H175" s="633">
        <v>25000</v>
      </c>
      <c r="I175" s="633">
        <v>25000</v>
      </c>
      <c r="J175" s="633">
        <v>25000</v>
      </c>
      <c r="K175" s="633">
        <v>25000</v>
      </c>
      <c r="L175" s="633">
        <v>25000</v>
      </c>
      <c r="M175" s="633">
        <v>25000</v>
      </c>
      <c r="N175" s="640">
        <v>25000</v>
      </c>
      <c r="O175" s="640">
        <v>25000</v>
      </c>
    </row>
    <row r="176" s="597" customFormat="1" spans="1:15">
      <c r="A176" s="618"/>
      <c r="B176" s="637" t="s">
        <v>597</v>
      </c>
      <c r="C176" s="632">
        <v>27000</v>
      </c>
      <c r="D176" s="633">
        <v>27000</v>
      </c>
      <c r="E176" s="633">
        <v>27000</v>
      </c>
      <c r="F176" s="633">
        <v>27000</v>
      </c>
      <c r="G176" s="633">
        <v>27000</v>
      </c>
      <c r="H176" s="633">
        <v>27000</v>
      </c>
      <c r="I176" s="638">
        <v>33000</v>
      </c>
      <c r="J176" s="638">
        <v>33000</v>
      </c>
      <c r="K176" s="638">
        <v>33000</v>
      </c>
      <c r="L176" s="638">
        <v>33000</v>
      </c>
      <c r="M176" s="638">
        <v>33000</v>
      </c>
      <c r="N176" s="639">
        <v>33000</v>
      </c>
      <c r="O176" s="639">
        <v>33000</v>
      </c>
    </row>
    <row r="177" s="597" customFormat="1" spans="1:15">
      <c r="A177" s="618"/>
      <c r="B177" s="637" t="s">
        <v>598</v>
      </c>
      <c r="C177" s="632">
        <v>25000</v>
      </c>
      <c r="D177" s="633">
        <v>25000</v>
      </c>
      <c r="E177" s="633">
        <v>25000</v>
      </c>
      <c r="F177" s="633">
        <v>25000</v>
      </c>
      <c r="G177" s="633">
        <v>25000</v>
      </c>
      <c r="H177" s="633">
        <v>25000</v>
      </c>
      <c r="I177" s="645"/>
      <c r="J177" s="645"/>
      <c r="K177" s="645"/>
      <c r="L177" s="645"/>
      <c r="M177" s="645"/>
      <c r="N177" s="639"/>
      <c r="O177" s="639"/>
    </row>
    <row r="178" s="597" customFormat="1" spans="1:15">
      <c r="A178" s="618"/>
      <c r="B178" s="637" t="s">
        <v>599</v>
      </c>
      <c r="C178" s="632">
        <v>30000</v>
      </c>
      <c r="D178" s="633">
        <v>30000</v>
      </c>
      <c r="E178" s="633">
        <v>30000</v>
      </c>
      <c r="F178" s="633">
        <v>30000</v>
      </c>
      <c r="G178" s="633">
        <v>30000</v>
      </c>
      <c r="H178" s="633">
        <v>30000</v>
      </c>
      <c r="I178" s="645"/>
      <c r="J178" s="645"/>
      <c r="K178" s="645"/>
      <c r="L178" s="645"/>
      <c r="M178" s="645"/>
      <c r="N178" s="639"/>
      <c r="O178" s="639"/>
    </row>
    <row r="179" s="597" customFormat="1" spans="1:15">
      <c r="A179" s="618"/>
      <c r="B179" s="637" t="s">
        <v>600</v>
      </c>
      <c r="C179" s="632">
        <v>29000</v>
      </c>
      <c r="D179" s="633">
        <v>29000</v>
      </c>
      <c r="E179" s="633">
        <v>29000</v>
      </c>
      <c r="F179" s="633">
        <v>29000</v>
      </c>
      <c r="G179" s="633">
        <v>29000</v>
      </c>
      <c r="H179" s="633">
        <v>29000</v>
      </c>
      <c r="I179" s="645"/>
      <c r="J179" s="645"/>
      <c r="K179" s="645"/>
      <c r="L179" s="645"/>
      <c r="M179" s="645"/>
      <c r="N179" s="639"/>
      <c r="O179" s="639"/>
    </row>
    <row r="180" s="597" customFormat="1" spans="1:15">
      <c r="A180" s="618"/>
      <c r="B180" s="637" t="s">
        <v>601</v>
      </c>
      <c r="C180" s="632">
        <v>32000</v>
      </c>
      <c r="D180" s="633">
        <v>32000</v>
      </c>
      <c r="E180" s="633">
        <v>32000</v>
      </c>
      <c r="F180" s="633">
        <v>32000</v>
      </c>
      <c r="G180" s="633">
        <v>32000</v>
      </c>
      <c r="H180" s="633">
        <v>32000</v>
      </c>
      <c r="I180" s="645"/>
      <c r="J180" s="645"/>
      <c r="K180" s="645"/>
      <c r="L180" s="645"/>
      <c r="M180" s="645"/>
      <c r="N180" s="639"/>
      <c r="O180" s="639"/>
    </row>
    <row r="181" s="597" customFormat="1" spans="1:15">
      <c r="A181" s="618"/>
      <c r="B181" s="637" t="s">
        <v>602</v>
      </c>
      <c r="C181" s="632">
        <v>15000</v>
      </c>
      <c r="D181" s="633">
        <v>15000</v>
      </c>
      <c r="E181" s="633">
        <v>15000</v>
      </c>
      <c r="F181" s="633">
        <v>15000</v>
      </c>
      <c r="G181" s="633">
        <v>15000</v>
      </c>
      <c r="H181" s="633">
        <v>15000</v>
      </c>
      <c r="I181" s="645"/>
      <c r="J181" s="645"/>
      <c r="K181" s="645"/>
      <c r="L181" s="645"/>
      <c r="M181" s="645"/>
      <c r="N181" s="639"/>
      <c r="O181" s="639"/>
    </row>
    <row r="182" s="597" customFormat="1" spans="1:15">
      <c r="A182" s="618"/>
      <c r="B182" s="637" t="s">
        <v>603</v>
      </c>
      <c r="C182" s="632">
        <v>20000</v>
      </c>
      <c r="D182" s="633">
        <v>20000</v>
      </c>
      <c r="E182" s="633">
        <v>20000</v>
      </c>
      <c r="F182" s="633">
        <v>20000</v>
      </c>
      <c r="G182" s="633">
        <v>20000</v>
      </c>
      <c r="H182" s="633">
        <v>20000</v>
      </c>
      <c r="I182" s="645"/>
      <c r="J182" s="645"/>
      <c r="K182" s="645"/>
      <c r="L182" s="645"/>
      <c r="M182" s="645"/>
      <c r="N182" s="639"/>
      <c r="O182" s="639"/>
    </row>
    <row r="183" s="597" customFormat="1" spans="1:15">
      <c r="A183" s="618"/>
      <c r="B183" s="637" t="s">
        <v>604</v>
      </c>
      <c r="C183" s="632">
        <v>20000</v>
      </c>
      <c r="D183" s="633">
        <v>20000</v>
      </c>
      <c r="E183" s="633">
        <v>20000</v>
      </c>
      <c r="F183" s="633">
        <v>20000</v>
      </c>
      <c r="G183" s="633">
        <v>20000</v>
      </c>
      <c r="H183" s="633">
        <v>20000</v>
      </c>
      <c r="I183" s="645"/>
      <c r="J183" s="645"/>
      <c r="K183" s="645"/>
      <c r="L183" s="645"/>
      <c r="M183" s="645"/>
      <c r="N183" s="639"/>
      <c r="O183" s="639"/>
    </row>
    <row r="184" s="597" customFormat="1" spans="1:15">
      <c r="A184" s="618"/>
      <c r="B184" s="637" t="s">
        <v>605</v>
      </c>
      <c r="C184" s="632">
        <v>22000</v>
      </c>
      <c r="D184" s="633">
        <v>22000</v>
      </c>
      <c r="E184" s="633">
        <v>22000</v>
      </c>
      <c r="F184" s="633">
        <v>22000</v>
      </c>
      <c r="G184" s="633">
        <v>22000</v>
      </c>
      <c r="H184" s="633">
        <v>22000</v>
      </c>
      <c r="I184" s="645"/>
      <c r="J184" s="645"/>
      <c r="K184" s="645"/>
      <c r="L184" s="645"/>
      <c r="M184" s="645"/>
      <c r="N184" s="639"/>
      <c r="O184" s="639"/>
    </row>
    <row r="185" spans="1:2">
      <c r="A185" s="518"/>
      <c r="B185" s="519"/>
    </row>
    <row r="186" spans="1:15">
      <c r="A186" s="518">
        <v>2.3</v>
      </c>
      <c r="B186" s="519" t="s">
        <v>606</v>
      </c>
      <c r="D186" s="623"/>
      <c r="E186" s="623"/>
      <c r="F186" s="623"/>
      <c r="G186" s="623"/>
      <c r="H186" s="623"/>
      <c r="I186" s="623"/>
      <c r="J186" s="623"/>
      <c r="K186" s="623"/>
      <c r="L186" s="623"/>
      <c r="M186" s="623"/>
      <c r="N186" s="626"/>
      <c r="O186" s="626"/>
    </row>
    <row r="187" s="597" customFormat="1" spans="1:15">
      <c r="A187" s="618"/>
      <c r="B187" s="526" t="s">
        <v>607</v>
      </c>
      <c r="C187" s="632">
        <v>8000</v>
      </c>
      <c r="D187" s="633">
        <v>8000</v>
      </c>
      <c r="E187" s="634">
        <v>2000</v>
      </c>
      <c r="F187" s="634">
        <v>2000</v>
      </c>
      <c r="G187" s="634">
        <v>2000</v>
      </c>
      <c r="H187" s="634">
        <v>2000</v>
      </c>
      <c r="I187" s="634">
        <v>2000</v>
      </c>
      <c r="J187" s="634">
        <v>2000</v>
      </c>
      <c r="K187" s="634">
        <v>2000</v>
      </c>
      <c r="L187" s="634">
        <v>2000</v>
      </c>
      <c r="M187" s="634">
        <v>2000</v>
      </c>
      <c r="N187" s="642">
        <v>2000</v>
      </c>
      <c r="O187" s="642">
        <v>2000</v>
      </c>
    </row>
    <row r="188" s="597" customFormat="1" spans="1:15">
      <c r="A188" s="618"/>
      <c r="B188" s="526" t="s">
        <v>608</v>
      </c>
      <c r="C188" s="597">
        <v>1.11</v>
      </c>
      <c r="D188" s="635">
        <v>1.11</v>
      </c>
      <c r="E188" s="636">
        <v>1</v>
      </c>
      <c r="F188" s="636">
        <v>1</v>
      </c>
      <c r="G188" s="636">
        <v>1</v>
      </c>
      <c r="H188" s="636">
        <v>1</v>
      </c>
      <c r="I188" s="636">
        <v>1</v>
      </c>
      <c r="J188" s="636">
        <v>1</v>
      </c>
      <c r="K188" s="636">
        <v>1</v>
      </c>
      <c r="L188" s="636">
        <v>1</v>
      </c>
      <c r="M188" s="636">
        <v>1</v>
      </c>
      <c r="N188" s="642">
        <v>1</v>
      </c>
      <c r="O188" s="642">
        <v>1</v>
      </c>
    </row>
    <row r="189" s="597" customFormat="1" spans="1:15">
      <c r="A189" s="618"/>
      <c r="B189" s="526" t="s">
        <v>609</v>
      </c>
      <c r="C189" s="597">
        <v>1.2</v>
      </c>
      <c r="D189" s="635">
        <v>1.2</v>
      </c>
      <c r="E189" s="636">
        <v>1</v>
      </c>
      <c r="F189" s="636">
        <v>1</v>
      </c>
      <c r="G189" s="636">
        <v>1</v>
      </c>
      <c r="H189" s="636">
        <v>1</v>
      </c>
      <c r="I189" s="636">
        <v>1</v>
      </c>
      <c r="J189" s="636">
        <v>1</v>
      </c>
      <c r="K189" s="636">
        <v>1</v>
      </c>
      <c r="L189" s="636">
        <v>1</v>
      </c>
      <c r="M189" s="636">
        <v>1</v>
      </c>
      <c r="N189" s="642">
        <v>1</v>
      </c>
      <c r="O189" s="642">
        <v>1</v>
      </c>
    </row>
    <row r="190" s="597" customFormat="1" spans="1:15">
      <c r="A190" s="618"/>
      <c r="B190" s="526" t="s">
        <v>610</v>
      </c>
      <c r="C190" s="632">
        <v>4000</v>
      </c>
      <c r="D190" s="633">
        <v>4000</v>
      </c>
      <c r="E190" s="634">
        <v>3000</v>
      </c>
      <c r="F190" s="634">
        <v>3000</v>
      </c>
      <c r="G190" s="634">
        <v>3000</v>
      </c>
      <c r="H190" s="634">
        <v>3000</v>
      </c>
      <c r="I190" s="634">
        <v>3000</v>
      </c>
      <c r="J190" s="634">
        <v>3000</v>
      </c>
      <c r="K190" s="634">
        <v>3000</v>
      </c>
      <c r="L190" s="634">
        <v>3000</v>
      </c>
      <c r="M190" s="634">
        <v>3000</v>
      </c>
      <c r="N190" s="642">
        <v>3000</v>
      </c>
      <c r="O190" s="642">
        <v>3000</v>
      </c>
    </row>
    <row r="191" s="597" customFormat="1" spans="1:15">
      <c r="A191" s="618"/>
      <c r="B191" s="526" t="s">
        <v>611</v>
      </c>
      <c r="C191" s="597">
        <v>1.11</v>
      </c>
      <c r="D191" s="635">
        <v>1.11</v>
      </c>
      <c r="E191" s="636">
        <v>1</v>
      </c>
      <c r="F191" s="636">
        <v>1</v>
      </c>
      <c r="G191" s="636">
        <v>1</v>
      </c>
      <c r="H191" s="636">
        <v>1</v>
      </c>
      <c r="I191" s="636">
        <v>1</v>
      </c>
      <c r="J191" s="636">
        <v>1</v>
      </c>
      <c r="K191" s="636">
        <v>1</v>
      </c>
      <c r="L191" s="636">
        <v>1</v>
      </c>
      <c r="M191" s="636">
        <v>1</v>
      </c>
      <c r="N191" s="641">
        <v>0.8</v>
      </c>
      <c r="O191" s="641">
        <v>0.8</v>
      </c>
    </row>
    <row r="192" s="597" customFormat="1" spans="1:15">
      <c r="A192" s="618"/>
      <c r="B192" s="526" t="s">
        <v>612</v>
      </c>
      <c r="C192" s="597">
        <v>1.2</v>
      </c>
      <c r="D192" s="635">
        <v>1.2</v>
      </c>
      <c r="E192" s="636">
        <v>1</v>
      </c>
      <c r="F192" s="636">
        <v>1</v>
      </c>
      <c r="G192" s="636">
        <v>1</v>
      </c>
      <c r="H192" s="636">
        <v>1</v>
      </c>
      <c r="I192" s="636">
        <v>1</v>
      </c>
      <c r="J192" s="636">
        <v>1</v>
      </c>
      <c r="K192" s="636">
        <v>1</v>
      </c>
      <c r="L192" s="636">
        <v>1</v>
      </c>
      <c r="M192" s="636">
        <v>1</v>
      </c>
      <c r="N192" s="641">
        <v>0.6</v>
      </c>
      <c r="O192" s="641">
        <v>0.7</v>
      </c>
    </row>
    <row r="193" s="597" customFormat="1" spans="1:15">
      <c r="A193" s="618"/>
      <c r="B193" s="526" t="s">
        <v>613</v>
      </c>
      <c r="C193" s="632">
        <v>7000</v>
      </c>
      <c r="D193" s="633">
        <v>7000</v>
      </c>
      <c r="E193" s="634">
        <v>4000</v>
      </c>
      <c r="F193" s="634">
        <v>4000</v>
      </c>
      <c r="G193" s="634">
        <v>4000</v>
      </c>
      <c r="H193" s="634">
        <v>4000</v>
      </c>
      <c r="I193" s="634">
        <v>4000</v>
      </c>
      <c r="J193" s="634">
        <v>4000</v>
      </c>
      <c r="K193" s="634">
        <v>4000</v>
      </c>
      <c r="L193" s="634">
        <v>4000</v>
      </c>
      <c r="M193" s="634">
        <v>4000</v>
      </c>
      <c r="N193" s="642">
        <v>4000</v>
      </c>
      <c r="O193" s="642">
        <v>4000</v>
      </c>
    </row>
    <row r="194" s="597" customFormat="1" spans="1:15">
      <c r="A194" s="618"/>
      <c r="B194" s="526" t="s">
        <v>614</v>
      </c>
      <c r="C194" s="597">
        <v>1.11</v>
      </c>
      <c r="D194" s="635">
        <v>1.11</v>
      </c>
      <c r="E194" s="636">
        <v>1</v>
      </c>
      <c r="F194" s="636">
        <v>1</v>
      </c>
      <c r="G194" s="636">
        <v>1</v>
      </c>
      <c r="H194" s="636">
        <v>1</v>
      </c>
      <c r="I194" s="636">
        <v>1</v>
      </c>
      <c r="J194" s="636">
        <v>1</v>
      </c>
      <c r="K194" s="636">
        <v>1</v>
      </c>
      <c r="L194" s="636">
        <v>1</v>
      </c>
      <c r="M194" s="636">
        <v>1</v>
      </c>
      <c r="N194" s="642">
        <v>1</v>
      </c>
      <c r="O194" s="642">
        <v>1</v>
      </c>
    </row>
    <row r="195" s="597" customFormat="1" spans="1:15">
      <c r="A195" s="618"/>
      <c r="B195" s="526" t="s">
        <v>615</v>
      </c>
      <c r="C195" s="597">
        <v>1.2</v>
      </c>
      <c r="D195" s="635">
        <v>1.2</v>
      </c>
      <c r="E195" s="636">
        <v>1</v>
      </c>
      <c r="F195" s="636">
        <v>1</v>
      </c>
      <c r="G195" s="636">
        <v>1</v>
      </c>
      <c r="H195" s="636">
        <v>1</v>
      </c>
      <c r="I195" s="636">
        <v>1</v>
      </c>
      <c r="J195" s="636">
        <v>1</v>
      </c>
      <c r="K195" s="636">
        <v>1</v>
      </c>
      <c r="L195" s="636">
        <v>1</v>
      </c>
      <c r="M195" s="636">
        <v>1</v>
      </c>
      <c r="N195" s="642">
        <v>1</v>
      </c>
      <c r="O195" s="642">
        <v>1</v>
      </c>
    </row>
    <row r="196" s="597" customFormat="1" spans="1:15">
      <c r="A196" s="618"/>
      <c r="B196" s="526" t="s">
        <v>616</v>
      </c>
      <c r="C196" s="632">
        <v>7000</v>
      </c>
      <c r="D196" s="633">
        <v>7000</v>
      </c>
      <c r="E196" s="634">
        <v>4000</v>
      </c>
      <c r="F196" s="634">
        <v>4000</v>
      </c>
      <c r="G196" s="634">
        <v>4000</v>
      </c>
      <c r="H196" s="634">
        <v>4000</v>
      </c>
      <c r="I196" s="634">
        <v>4000</v>
      </c>
      <c r="J196" s="634">
        <v>4000</v>
      </c>
      <c r="K196" s="634">
        <v>4000</v>
      </c>
      <c r="L196" s="634">
        <v>4000</v>
      </c>
      <c r="M196" s="634">
        <v>4000</v>
      </c>
      <c r="N196" s="642">
        <v>4000</v>
      </c>
      <c r="O196" s="642">
        <v>4000</v>
      </c>
    </row>
    <row r="197" s="597" customFormat="1" spans="1:15">
      <c r="A197" s="618"/>
      <c r="B197" s="526" t="s">
        <v>617</v>
      </c>
      <c r="C197" s="597">
        <v>1.11</v>
      </c>
      <c r="D197" s="635">
        <v>1.11</v>
      </c>
      <c r="E197" s="636">
        <v>1</v>
      </c>
      <c r="F197" s="636">
        <v>1</v>
      </c>
      <c r="G197" s="636">
        <v>1</v>
      </c>
      <c r="H197" s="636">
        <v>1</v>
      </c>
      <c r="I197" s="636">
        <v>1</v>
      </c>
      <c r="J197" s="636">
        <v>1</v>
      </c>
      <c r="K197" s="636">
        <v>1</v>
      </c>
      <c r="L197" s="636">
        <v>1</v>
      </c>
      <c r="M197" s="636">
        <v>1</v>
      </c>
      <c r="N197" s="642">
        <v>1</v>
      </c>
      <c r="O197" s="642">
        <v>1</v>
      </c>
    </row>
    <row r="198" s="597" customFormat="1" spans="1:15">
      <c r="A198" s="618"/>
      <c r="B198" s="526" t="s">
        <v>618</v>
      </c>
      <c r="C198" s="597">
        <v>1.2</v>
      </c>
      <c r="D198" s="635">
        <v>1.2</v>
      </c>
      <c r="E198" s="636">
        <v>1</v>
      </c>
      <c r="F198" s="636">
        <v>1</v>
      </c>
      <c r="G198" s="636">
        <v>1</v>
      </c>
      <c r="H198" s="636">
        <v>1</v>
      </c>
      <c r="I198" s="636">
        <v>1</v>
      </c>
      <c r="J198" s="636">
        <v>1</v>
      </c>
      <c r="K198" s="636">
        <v>1</v>
      </c>
      <c r="L198" s="636">
        <v>1</v>
      </c>
      <c r="M198" s="636">
        <v>1</v>
      </c>
      <c r="N198" s="642">
        <v>1</v>
      </c>
      <c r="O198" s="642">
        <v>1</v>
      </c>
    </row>
    <row r="199" s="597" customFormat="1" spans="1:15">
      <c r="A199" s="618"/>
      <c r="B199" s="526" t="s">
        <v>619</v>
      </c>
      <c r="C199" s="632">
        <v>7500</v>
      </c>
      <c r="D199" s="633">
        <v>7500</v>
      </c>
      <c r="E199" s="633">
        <v>7500</v>
      </c>
      <c r="F199" s="633">
        <v>7500</v>
      </c>
      <c r="G199" s="633">
        <v>7500</v>
      </c>
      <c r="H199" s="633">
        <v>7500</v>
      </c>
      <c r="I199" s="633">
        <v>7500</v>
      </c>
      <c r="J199" s="633">
        <v>7500</v>
      </c>
      <c r="K199" s="633">
        <v>7500</v>
      </c>
      <c r="L199" s="633">
        <v>7500</v>
      </c>
      <c r="M199" s="633">
        <v>7500</v>
      </c>
      <c r="N199" s="640">
        <v>7500</v>
      </c>
      <c r="O199" s="640">
        <v>7500</v>
      </c>
    </row>
    <row r="200" s="597" customFormat="1" spans="1:15">
      <c r="A200" s="618"/>
      <c r="B200" s="526" t="s">
        <v>620</v>
      </c>
      <c r="C200" s="597">
        <v>1.9</v>
      </c>
      <c r="D200" s="635">
        <v>1.9</v>
      </c>
      <c r="E200" s="635">
        <v>1.9</v>
      </c>
      <c r="F200" s="635">
        <v>1.9</v>
      </c>
      <c r="G200" s="635">
        <v>1.9</v>
      </c>
      <c r="H200" s="635">
        <v>1.9</v>
      </c>
      <c r="I200" s="635">
        <v>1.9</v>
      </c>
      <c r="J200" s="635">
        <v>1.9</v>
      </c>
      <c r="K200" s="635">
        <v>1.9</v>
      </c>
      <c r="L200" s="635">
        <v>1.9</v>
      </c>
      <c r="M200" s="635">
        <v>1.9</v>
      </c>
      <c r="N200" s="640">
        <v>1.9</v>
      </c>
      <c r="O200" s="640">
        <v>1.9</v>
      </c>
    </row>
    <row r="201" s="597" customFormat="1" spans="1:15">
      <c r="A201" s="618"/>
      <c r="B201" s="526" t="s">
        <v>621</v>
      </c>
      <c r="C201" s="597">
        <v>0.9</v>
      </c>
      <c r="D201" s="635">
        <v>0.9</v>
      </c>
      <c r="E201" s="635">
        <v>0.9</v>
      </c>
      <c r="F201" s="635">
        <v>0.9</v>
      </c>
      <c r="G201" s="635">
        <v>0.9</v>
      </c>
      <c r="H201" s="635">
        <v>0.9</v>
      </c>
      <c r="I201" s="635">
        <v>0.9</v>
      </c>
      <c r="J201" s="635">
        <v>0.9</v>
      </c>
      <c r="K201" s="635">
        <v>0.9</v>
      </c>
      <c r="L201" s="635">
        <v>0.9</v>
      </c>
      <c r="M201" s="635">
        <v>0.9</v>
      </c>
      <c r="N201" s="640">
        <v>0.9</v>
      </c>
      <c r="O201" s="640">
        <v>0.9</v>
      </c>
    </row>
    <row r="202" spans="1:2">
      <c r="A202" s="518"/>
      <c r="B202" s="519"/>
    </row>
    <row r="203" spans="1:15">
      <c r="A203" s="518">
        <v>2.31</v>
      </c>
      <c r="B203" s="519" t="s">
        <v>622</v>
      </c>
      <c r="C203" s="632">
        <v>33500</v>
      </c>
      <c r="D203" s="633">
        <v>33500</v>
      </c>
      <c r="E203" s="634">
        <v>20500</v>
      </c>
      <c r="F203" s="634">
        <v>20500</v>
      </c>
      <c r="G203" s="634">
        <v>20500</v>
      </c>
      <c r="H203" s="634">
        <v>20500</v>
      </c>
      <c r="I203" s="634">
        <v>20500</v>
      </c>
      <c r="J203" s="634">
        <v>20500</v>
      </c>
      <c r="K203" s="634">
        <v>20500</v>
      </c>
      <c r="L203" s="634">
        <v>20500</v>
      </c>
      <c r="M203" s="634">
        <v>20500</v>
      </c>
      <c r="N203" s="653">
        <v>20500</v>
      </c>
      <c r="O203" s="653">
        <v>20500</v>
      </c>
    </row>
    <row r="204" spans="1:15">
      <c r="A204" s="518">
        <v>2.32</v>
      </c>
      <c r="B204" s="519" t="s">
        <v>623</v>
      </c>
      <c r="C204" s="632">
        <v>43110</v>
      </c>
      <c r="D204" s="633">
        <v>43110</v>
      </c>
      <c r="E204" s="634">
        <v>27250</v>
      </c>
      <c r="F204" s="634">
        <v>27250</v>
      </c>
      <c r="G204" s="634">
        <v>27250</v>
      </c>
      <c r="H204" s="634">
        <v>27250</v>
      </c>
      <c r="I204" s="634">
        <v>27250</v>
      </c>
      <c r="J204" s="634">
        <v>27250</v>
      </c>
      <c r="K204" s="634">
        <v>27250</v>
      </c>
      <c r="L204" s="634">
        <v>27250</v>
      </c>
      <c r="M204" s="634">
        <v>27250</v>
      </c>
      <c r="N204" s="644">
        <v>26650</v>
      </c>
      <c r="O204" s="644">
        <v>26650</v>
      </c>
    </row>
    <row r="205" spans="1:15">
      <c r="A205" s="518">
        <v>2.33</v>
      </c>
      <c r="B205" s="519" t="s">
        <v>624</v>
      </c>
      <c r="C205" s="632">
        <v>47457</v>
      </c>
      <c r="D205" s="633">
        <v>47457</v>
      </c>
      <c r="E205" s="634">
        <v>25825</v>
      </c>
      <c r="F205" s="634">
        <v>25825</v>
      </c>
      <c r="G205" s="634">
        <v>25825</v>
      </c>
      <c r="H205" s="634">
        <v>25825</v>
      </c>
      <c r="I205" s="634">
        <v>25825</v>
      </c>
      <c r="J205" s="634">
        <v>25825</v>
      </c>
      <c r="K205" s="634">
        <v>25825</v>
      </c>
      <c r="L205" s="634">
        <v>25825</v>
      </c>
      <c r="M205" s="634">
        <v>25825</v>
      </c>
      <c r="N205" s="644">
        <v>24265</v>
      </c>
      <c r="O205" s="644">
        <v>24505</v>
      </c>
    </row>
    <row r="206" spans="1:2">
      <c r="A206" s="518"/>
      <c r="B206" s="519"/>
    </row>
    <row r="207" spans="1:15">
      <c r="A207" s="518">
        <v>2.4</v>
      </c>
      <c r="B207" s="519" t="s">
        <v>69</v>
      </c>
      <c r="D207" s="623"/>
      <c r="E207" s="623"/>
      <c r="F207" s="623"/>
      <c r="G207" s="623"/>
      <c r="H207" s="623"/>
      <c r="I207" s="623"/>
      <c r="J207" s="623"/>
      <c r="K207" s="623"/>
      <c r="L207" s="623"/>
      <c r="M207" s="623"/>
      <c r="N207" s="626"/>
      <c r="O207" s="626"/>
    </row>
    <row r="208" s="597" customFormat="1" spans="1:15">
      <c r="A208" s="618"/>
      <c r="B208" s="526" t="s">
        <v>625</v>
      </c>
      <c r="C208" s="632">
        <v>35000</v>
      </c>
      <c r="D208" s="633">
        <v>35000</v>
      </c>
      <c r="E208" s="633">
        <v>35000</v>
      </c>
      <c r="F208" s="633">
        <v>35000</v>
      </c>
      <c r="G208" s="633">
        <v>35000</v>
      </c>
      <c r="H208" s="633">
        <v>35000</v>
      </c>
      <c r="I208" s="633">
        <v>35000</v>
      </c>
      <c r="J208" s="633">
        <v>35000</v>
      </c>
      <c r="K208" s="633">
        <v>35000</v>
      </c>
      <c r="L208" s="633">
        <v>35000</v>
      </c>
      <c r="M208" s="633">
        <v>35000</v>
      </c>
      <c r="N208" s="640">
        <v>35000</v>
      </c>
      <c r="O208" s="640">
        <v>35000</v>
      </c>
    </row>
    <row r="209" s="597" customFormat="1" spans="1:15">
      <c r="A209" s="618"/>
      <c r="B209" s="526" t="s">
        <v>626</v>
      </c>
      <c r="C209" s="597">
        <v>1.11</v>
      </c>
      <c r="D209" s="635">
        <v>1.11</v>
      </c>
      <c r="E209" s="635">
        <v>1.11</v>
      </c>
      <c r="F209" s="635">
        <v>1.11</v>
      </c>
      <c r="G209" s="635">
        <v>1.11</v>
      </c>
      <c r="H209" s="635">
        <v>1.11</v>
      </c>
      <c r="I209" s="635">
        <v>1.11</v>
      </c>
      <c r="J209" s="635">
        <v>1.11</v>
      </c>
      <c r="K209" s="654">
        <v>1.1</v>
      </c>
      <c r="L209" s="654">
        <v>1.1</v>
      </c>
      <c r="M209" s="654">
        <v>1.1</v>
      </c>
      <c r="N209" s="641">
        <v>0.8</v>
      </c>
      <c r="O209" s="641">
        <v>0.8</v>
      </c>
    </row>
    <row r="210" s="597" customFormat="1" spans="1:15">
      <c r="A210" s="618"/>
      <c r="B210" s="526" t="s">
        <v>627</v>
      </c>
      <c r="C210" s="597">
        <v>1.2</v>
      </c>
      <c r="D210" s="635">
        <v>1.2</v>
      </c>
      <c r="E210" s="635">
        <v>1.2</v>
      </c>
      <c r="F210" s="635">
        <v>1.2</v>
      </c>
      <c r="G210" s="635">
        <v>1.2</v>
      </c>
      <c r="H210" s="635">
        <v>1.2</v>
      </c>
      <c r="I210" s="635">
        <v>1.2</v>
      </c>
      <c r="J210" s="635">
        <v>1.2</v>
      </c>
      <c r="K210" s="654">
        <v>1.1</v>
      </c>
      <c r="L210" s="654">
        <v>1.1</v>
      </c>
      <c r="M210" s="654">
        <v>1.1</v>
      </c>
      <c r="N210" s="641">
        <v>0.7</v>
      </c>
      <c r="O210" s="641">
        <v>0.8</v>
      </c>
    </row>
    <row r="211" s="597" customFormat="1" spans="1:15">
      <c r="A211" s="618"/>
      <c r="B211" s="526" t="s">
        <v>628</v>
      </c>
      <c r="C211" s="632">
        <v>3000</v>
      </c>
      <c r="D211" s="633">
        <v>3000</v>
      </c>
      <c r="E211" s="633">
        <v>3000</v>
      </c>
      <c r="F211" s="633">
        <v>3000</v>
      </c>
      <c r="G211" s="633">
        <v>3000</v>
      </c>
      <c r="H211" s="633">
        <v>3000</v>
      </c>
      <c r="I211" s="633">
        <v>3000</v>
      </c>
      <c r="J211" s="633">
        <v>3000</v>
      </c>
      <c r="K211" s="633">
        <v>3000</v>
      </c>
      <c r="L211" s="633">
        <v>3000</v>
      </c>
      <c r="M211" s="633">
        <v>3000</v>
      </c>
      <c r="N211" s="640">
        <v>3000</v>
      </c>
      <c r="O211" s="640">
        <v>3000</v>
      </c>
    </row>
    <row r="212" s="597" customFormat="1" spans="1:15">
      <c r="A212" s="618"/>
      <c r="B212" s="526" t="s">
        <v>629</v>
      </c>
      <c r="C212" s="597">
        <v>1.11</v>
      </c>
      <c r="D212" s="635">
        <v>1.11</v>
      </c>
      <c r="E212" s="635">
        <v>1.11</v>
      </c>
      <c r="F212" s="635">
        <v>1.11</v>
      </c>
      <c r="G212" s="635">
        <v>1.11</v>
      </c>
      <c r="H212" s="635">
        <v>1.11</v>
      </c>
      <c r="I212" s="635">
        <v>1.11</v>
      </c>
      <c r="J212" s="635">
        <v>1.11</v>
      </c>
      <c r="K212" s="654">
        <v>1.1</v>
      </c>
      <c r="L212" s="654">
        <v>1.1</v>
      </c>
      <c r="M212" s="654">
        <v>1.1</v>
      </c>
      <c r="N212" s="641">
        <v>1</v>
      </c>
      <c r="O212" s="641">
        <v>1</v>
      </c>
    </row>
    <row r="213" s="597" customFormat="1" spans="1:15">
      <c r="A213" s="618"/>
      <c r="B213" s="526" t="s">
        <v>630</v>
      </c>
      <c r="C213" s="597">
        <v>1.2</v>
      </c>
      <c r="D213" s="635">
        <v>1.2</v>
      </c>
      <c r="E213" s="635">
        <v>1.2</v>
      </c>
      <c r="F213" s="635">
        <v>1.2</v>
      </c>
      <c r="G213" s="635">
        <v>1.2</v>
      </c>
      <c r="H213" s="635">
        <v>1.2</v>
      </c>
      <c r="I213" s="635">
        <v>1.2</v>
      </c>
      <c r="J213" s="635">
        <v>1.2</v>
      </c>
      <c r="K213" s="654">
        <v>1.1</v>
      </c>
      <c r="L213" s="654">
        <v>1.1</v>
      </c>
      <c r="M213" s="654">
        <v>1.1</v>
      </c>
      <c r="N213" s="641">
        <v>1</v>
      </c>
      <c r="O213" s="641">
        <v>1</v>
      </c>
    </row>
    <row r="214" s="600" customFormat="1" spans="1:15">
      <c r="A214" s="646"/>
      <c r="B214" s="531" t="s">
        <v>631</v>
      </c>
      <c r="D214" s="647">
        <v>28000</v>
      </c>
      <c r="E214" s="647">
        <v>28000</v>
      </c>
      <c r="F214" s="647">
        <v>28000</v>
      </c>
      <c r="G214" s="647">
        <v>28000</v>
      </c>
      <c r="H214" s="647">
        <v>28000</v>
      </c>
      <c r="I214" s="647">
        <v>28000</v>
      </c>
      <c r="J214" s="647">
        <v>28000</v>
      </c>
      <c r="K214" s="647">
        <v>28000</v>
      </c>
      <c r="L214" s="647">
        <v>28000</v>
      </c>
      <c r="M214" s="647">
        <v>28000</v>
      </c>
      <c r="N214" s="655">
        <v>28000</v>
      </c>
      <c r="O214" s="655">
        <v>28000</v>
      </c>
    </row>
    <row r="215" s="600" customFormat="1" spans="1:15">
      <c r="A215" s="646"/>
      <c r="B215" s="531" t="s">
        <v>632</v>
      </c>
      <c r="D215" s="647">
        <v>1.11</v>
      </c>
      <c r="E215" s="647">
        <v>1.11</v>
      </c>
      <c r="F215" s="647">
        <v>1.11</v>
      </c>
      <c r="G215" s="647">
        <v>1.11</v>
      </c>
      <c r="H215" s="647">
        <v>1.11</v>
      </c>
      <c r="I215" s="647">
        <v>1.11</v>
      </c>
      <c r="J215" s="647">
        <v>1.11</v>
      </c>
      <c r="K215" s="654">
        <v>1.1</v>
      </c>
      <c r="L215" s="654">
        <v>1.1</v>
      </c>
      <c r="M215" s="654">
        <v>1.1</v>
      </c>
      <c r="N215" s="656">
        <v>0.8</v>
      </c>
      <c r="O215" s="656">
        <v>0.8</v>
      </c>
    </row>
    <row r="216" s="600" customFormat="1" spans="1:15">
      <c r="A216" s="646"/>
      <c r="B216" s="531" t="s">
        <v>633</v>
      </c>
      <c r="D216" s="647">
        <v>1.15</v>
      </c>
      <c r="E216" s="647">
        <v>1.15</v>
      </c>
      <c r="F216" s="647">
        <v>1.15</v>
      </c>
      <c r="G216" s="647">
        <v>1.15</v>
      </c>
      <c r="H216" s="647">
        <v>1.15</v>
      </c>
      <c r="I216" s="647">
        <v>1.15</v>
      </c>
      <c r="J216" s="647">
        <v>1.15</v>
      </c>
      <c r="K216" s="654">
        <v>1.1</v>
      </c>
      <c r="L216" s="654">
        <v>1.1</v>
      </c>
      <c r="M216" s="654">
        <v>1.1</v>
      </c>
      <c r="N216" s="656">
        <v>0.8</v>
      </c>
      <c r="O216" s="656">
        <v>0.8</v>
      </c>
    </row>
    <row r="217" s="600" customFormat="1" spans="1:15">
      <c r="A217" s="646"/>
      <c r="B217" s="531" t="s">
        <v>634</v>
      </c>
      <c r="D217" s="647">
        <v>15000</v>
      </c>
      <c r="E217" s="647">
        <v>15000</v>
      </c>
      <c r="F217" s="647">
        <v>15000</v>
      </c>
      <c r="G217" s="647">
        <v>15000</v>
      </c>
      <c r="H217" s="647">
        <v>15000</v>
      </c>
      <c r="I217" s="647">
        <v>15000</v>
      </c>
      <c r="J217" s="647">
        <v>15000</v>
      </c>
      <c r="K217" s="647">
        <v>15000</v>
      </c>
      <c r="L217" s="647">
        <v>15000</v>
      </c>
      <c r="M217" s="647">
        <v>15000</v>
      </c>
      <c r="N217" s="655">
        <v>15000</v>
      </c>
      <c r="O217" s="655">
        <v>15000</v>
      </c>
    </row>
    <row r="218" s="600" customFormat="1" spans="1:15">
      <c r="A218" s="646"/>
      <c r="B218" s="531" t="s">
        <v>635</v>
      </c>
      <c r="D218" s="647">
        <v>1.11</v>
      </c>
      <c r="E218" s="647">
        <v>1.11</v>
      </c>
      <c r="F218" s="647">
        <v>1.11</v>
      </c>
      <c r="G218" s="647">
        <v>1.11</v>
      </c>
      <c r="H218" s="647">
        <v>1.11</v>
      </c>
      <c r="I218" s="647">
        <v>1.11</v>
      </c>
      <c r="J218" s="647">
        <v>1.11</v>
      </c>
      <c r="K218" s="654">
        <v>1.1</v>
      </c>
      <c r="L218" s="654">
        <v>1.1</v>
      </c>
      <c r="M218" s="654">
        <v>1.1</v>
      </c>
      <c r="N218" s="656">
        <v>0.9</v>
      </c>
      <c r="O218" s="656">
        <v>0.9</v>
      </c>
    </row>
    <row r="219" s="600" customFormat="1" spans="1:15">
      <c r="A219" s="646"/>
      <c r="B219" s="531" t="s">
        <v>636</v>
      </c>
      <c r="D219" s="647">
        <v>1.2</v>
      </c>
      <c r="E219" s="647">
        <v>1.2</v>
      </c>
      <c r="F219" s="647">
        <v>1.2</v>
      </c>
      <c r="G219" s="647">
        <v>1.2</v>
      </c>
      <c r="H219" s="647">
        <v>1.2</v>
      </c>
      <c r="I219" s="647">
        <v>1.2</v>
      </c>
      <c r="J219" s="647">
        <v>1.2</v>
      </c>
      <c r="K219" s="654">
        <v>1.1</v>
      </c>
      <c r="L219" s="654">
        <v>1.1</v>
      </c>
      <c r="M219" s="654">
        <v>1.1</v>
      </c>
      <c r="N219" s="656">
        <v>0.9</v>
      </c>
      <c r="O219" s="656">
        <v>0.9</v>
      </c>
    </row>
    <row r="220" s="600" customFormat="1" spans="1:15">
      <c r="A220" s="646"/>
      <c r="B220" s="531" t="s">
        <v>637</v>
      </c>
      <c r="D220" s="647">
        <v>3000</v>
      </c>
      <c r="E220" s="647">
        <v>3000</v>
      </c>
      <c r="F220" s="647">
        <v>3000</v>
      </c>
      <c r="G220" s="647">
        <v>3000</v>
      </c>
      <c r="H220" s="647">
        <v>3000</v>
      </c>
      <c r="I220" s="647">
        <v>3000</v>
      </c>
      <c r="J220" s="647">
        <v>3000</v>
      </c>
      <c r="K220" s="647">
        <v>3000</v>
      </c>
      <c r="L220" s="647">
        <v>3000</v>
      </c>
      <c r="M220" s="647">
        <v>3000</v>
      </c>
      <c r="N220" s="655">
        <v>3000</v>
      </c>
      <c r="O220" s="655">
        <v>3000</v>
      </c>
    </row>
    <row r="221" s="600" customFormat="1" spans="1:15">
      <c r="A221" s="646"/>
      <c r="B221" s="531" t="s">
        <v>638</v>
      </c>
      <c r="D221" s="647">
        <v>1.11</v>
      </c>
      <c r="E221" s="647">
        <v>1.11</v>
      </c>
      <c r="F221" s="647">
        <v>1.11</v>
      </c>
      <c r="G221" s="647">
        <v>1.11</v>
      </c>
      <c r="H221" s="647">
        <v>1.11</v>
      </c>
      <c r="I221" s="647">
        <v>1.11</v>
      </c>
      <c r="J221" s="647">
        <v>1.11</v>
      </c>
      <c r="K221" s="654">
        <v>1.1</v>
      </c>
      <c r="L221" s="654">
        <v>1.1</v>
      </c>
      <c r="M221" s="654">
        <v>1.1</v>
      </c>
      <c r="N221" s="656">
        <v>0.9</v>
      </c>
      <c r="O221" s="656">
        <v>0.9</v>
      </c>
    </row>
    <row r="222" s="600" customFormat="1" spans="1:15">
      <c r="A222" s="646"/>
      <c r="B222" s="531" t="s">
        <v>639</v>
      </c>
      <c r="D222" s="647">
        <v>1.2</v>
      </c>
      <c r="E222" s="647">
        <v>1.2</v>
      </c>
      <c r="F222" s="647">
        <v>1.2</v>
      </c>
      <c r="G222" s="647">
        <v>1.2</v>
      </c>
      <c r="H222" s="647">
        <v>1.2</v>
      </c>
      <c r="I222" s="647">
        <v>1.2</v>
      </c>
      <c r="J222" s="647">
        <v>1.2</v>
      </c>
      <c r="K222" s="654">
        <v>1.1</v>
      </c>
      <c r="L222" s="654">
        <v>1.1</v>
      </c>
      <c r="M222" s="654">
        <v>1.1</v>
      </c>
      <c r="N222" s="656">
        <v>0.9</v>
      </c>
      <c r="O222" s="656">
        <v>0.9</v>
      </c>
    </row>
    <row r="223" s="600" customFormat="1" spans="1:15">
      <c r="A223" s="646"/>
      <c r="B223" s="531" t="s">
        <v>640</v>
      </c>
      <c r="D223" s="647">
        <v>2900</v>
      </c>
      <c r="E223" s="647">
        <v>2900</v>
      </c>
      <c r="F223" s="647">
        <v>2900</v>
      </c>
      <c r="G223" s="647">
        <v>2900</v>
      </c>
      <c r="H223" s="647">
        <v>2900</v>
      </c>
      <c r="I223" s="647">
        <v>2900</v>
      </c>
      <c r="J223" s="647">
        <v>2900</v>
      </c>
      <c r="K223" s="647">
        <v>2900</v>
      </c>
      <c r="L223" s="647">
        <v>2900</v>
      </c>
      <c r="M223" s="647">
        <v>2900</v>
      </c>
      <c r="N223" s="655">
        <v>2900</v>
      </c>
      <c r="O223" s="655">
        <v>2900</v>
      </c>
    </row>
    <row r="224" s="600" customFormat="1" spans="1:15">
      <c r="A224" s="646"/>
      <c r="B224" s="531" t="s">
        <v>641</v>
      </c>
      <c r="D224" s="647">
        <v>1.11</v>
      </c>
      <c r="E224" s="647">
        <v>1.11</v>
      </c>
      <c r="F224" s="647">
        <v>1.11</v>
      </c>
      <c r="G224" s="647">
        <v>1.11</v>
      </c>
      <c r="H224" s="647">
        <v>1.11</v>
      </c>
      <c r="I224" s="647">
        <v>1.11</v>
      </c>
      <c r="J224" s="647">
        <v>1.11</v>
      </c>
      <c r="K224" s="654">
        <v>1.1</v>
      </c>
      <c r="L224" s="654">
        <v>1.1</v>
      </c>
      <c r="M224" s="654">
        <v>1.1</v>
      </c>
      <c r="N224" s="656">
        <v>1.1</v>
      </c>
      <c r="O224" s="656">
        <v>1.1</v>
      </c>
    </row>
    <row r="225" s="600" customFormat="1" spans="1:15">
      <c r="A225" s="646"/>
      <c r="B225" s="531" t="s">
        <v>642</v>
      </c>
      <c r="D225" s="647">
        <v>1.2</v>
      </c>
      <c r="E225" s="647">
        <v>1.2</v>
      </c>
      <c r="F225" s="647">
        <v>1.2</v>
      </c>
      <c r="G225" s="647">
        <v>1.2</v>
      </c>
      <c r="H225" s="647">
        <v>1.2</v>
      </c>
      <c r="I225" s="647">
        <v>1.2</v>
      </c>
      <c r="J225" s="647">
        <v>1.2</v>
      </c>
      <c r="K225" s="654">
        <v>1.1</v>
      </c>
      <c r="L225" s="654">
        <v>1.1</v>
      </c>
      <c r="M225" s="654">
        <v>1.1</v>
      </c>
      <c r="N225" s="656">
        <v>1.1</v>
      </c>
      <c r="O225" s="656">
        <v>1.1</v>
      </c>
    </row>
    <row r="226" spans="1:2">
      <c r="A226" s="518"/>
      <c r="B226" s="519"/>
    </row>
    <row r="227" spans="1:15">
      <c r="A227" s="518">
        <v>2.41</v>
      </c>
      <c r="B227" s="519" t="s">
        <v>643</v>
      </c>
      <c r="C227" s="632">
        <v>38000</v>
      </c>
      <c r="D227" s="647">
        <v>86900</v>
      </c>
      <c r="E227" s="647">
        <v>86900</v>
      </c>
      <c r="F227" s="647">
        <v>86900</v>
      </c>
      <c r="G227" s="647">
        <v>86900</v>
      </c>
      <c r="H227" s="647">
        <v>86900</v>
      </c>
      <c r="I227" s="647">
        <v>86900</v>
      </c>
      <c r="J227" s="647">
        <v>86900</v>
      </c>
      <c r="K227" s="647">
        <v>86900</v>
      </c>
      <c r="L227" s="647">
        <v>86900</v>
      </c>
      <c r="M227" s="647">
        <v>86900</v>
      </c>
      <c r="N227" s="657">
        <v>86900</v>
      </c>
      <c r="O227" s="657">
        <v>86900</v>
      </c>
    </row>
    <row r="228" spans="1:15">
      <c r="A228" s="518">
        <v>2.42</v>
      </c>
      <c r="B228" s="519" t="s">
        <v>644</v>
      </c>
      <c r="C228" s="632">
        <v>42180</v>
      </c>
      <c r="D228" s="647">
        <v>96459</v>
      </c>
      <c r="E228" s="647">
        <v>96459</v>
      </c>
      <c r="F228" s="647">
        <v>96459</v>
      </c>
      <c r="G228" s="647">
        <v>96459</v>
      </c>
      <c r="H228" s="647">
        <v>96459</v>
      </c>
      <c r="I228" s="647">
        <v>96459</v>
      </c>
      <c r="J228" s="647">
        <v>96459</v>
      </c>
      <c r="K228" s="658">
        <v>95590</v>
      </c>
      <c r="L228" s="658">
        <v>95590</v>
      </c>
      <c r="M228" s="658">
        <v>95590</v>
      </c>
      <c r="N228" s="644">
        <v>72790</v>
      </c>
      <c r="O228" s="644">
        <v>72790</v>
      </c>
    </row>
    <row r="229" spans="1:15">
      <c r="A229" s="518">
        <v>2.43</v>
      </c>
      <c r="B229" s="519" t="s">
        <v>645</v>
      </c>
      <c r="C229" s="632">
        <v>50616</v>
      </c>
      <c r="D229" s="647">
        <v>114196.8</v>
      </c>
      <c r="E229" s="647">
        <v>114196.8</v>
      </c>
      <c r="F229" s="647">
        <v>114196.8</v>
      </c>
      <c r="G229" s="647">
        <v>114196.8</v>
      </c>
      <c r="H229" s="647">
        <v>114196.8</v>
      </c>
      <c r="I229" s="647">
        <v>114196.8</v>
      </c>
      <c r="J229" s="647">
        <v>114196.8</v>
      </c>
      <c r="K229" s="658">
        <v>105149</v>
      </c>
      <c r="L229" s="658">
        <v>105149</v>
      </c>
      <c r="M229" s="658">
        <v>105149</v>
      </c>
      <c r="N229" s="644">
        <v>58609</v>
      </c>
      <c r="O229" s="644">
        <v>61409</v>
      </c>
    </row>
    <row r="230" spans="1:2">
      <c r="A230" s="518"/>
      <c r="B230" s="519"/>
    </row>
    <row r="231" spans="1:15">
      <c r="A231" s="518">
        <v>2.5</v>
      </c>
      <c r="B231" s="519" t="s">
        <v>172</v>
      </c>
      <c r="D231" s="623"/>
      <c r="E231" s="623"/>
      <c r="F231" s="623"/>
      <c r="G231" s="623"/>
      <c r="H231" s="623"/>
      <c r="I231" s="623"/>
      <c r="J231" s="623"/>
      <c r="K231" s="623"/>
      <c r="L231" s="623"/>
      <c r="M231" s="623"/>
      <c r="N231" s="626"/>
      <c r="O231" s="626"/>
    </row>
    <row r="232" s="597" customFormat="1" spans="1:15">
      <c r="A232" s="618"/>
      <c r="B232" s="526" t="s">
        <v>646</v>
      </c>
      <c r="C232" s="632">
        <v>5000</v>
      </c>
      <c r="D232" s="633">
        <v>5000</v>
      </c>
      <c r="E232" s="633">
        <v>5000</v>
      </c>
      <c r="F232" s="648">
        <v>67500</v>
      </c>
      <c r="G232" s="648">
        <v>67500</v>
      </c>
      <c r="H232" s="648">
        <v>67500</v>
      </c>
      <c r="I232" s="648">
        <v>67500</v>
      </c>
      <c r="J232" s="648">
        <v>67500</v>
      </c>
      <c r="K232" s="648">
        <v>67500</v>
      </c>
      <c r="L232" s="648">
        <v>67500</v>
      </c>
      <c r="M232" s="648">
        <v>67500</v>
      </c>
      <c r="N232" s="659">
        <v>67500</v>
      </c>
      <c r="O232" s="659">
        <v>67500</v>
      </c>
    </row>
    <row r="233" s="597" customFormat="1" spans="1:15">
      <c r="A233" s="618"/>
      <c r="B233" s="526" t="s">
        <v>647</v>
      </c>
      <c r="C233" s="597">
        <v>200</v>
      </c>
      <c r="D233" s="635">
        <v>200</v>
      </c>
      <c r="E233" s="636">
        <v>2000</v>
      </c>
      <c r="F233" s="649">
        <v>1500</v>
      </c>
      <c r="G233" s="649">
        <v>1500</v>
      </c>
      <c r="H233" s="649">
        <v>1500</v>
      </c>
      <c r="I233" s="649">
        <v>1500</v>
      </c>
      <c r="J233" s="649">
        <v>1500</v>
      </c>
      <c r="K233" s="649">
        <v>1500</v>
      </c>
      <c r="L233" s="649">
        <v>1500</v>
      </c>
      <c r="M233" s="649">
        <v>1500</v>
      </c>
      <c r="N233" s="659">
        <v>1500</v>
      </c>
      <c r="O233" s="659">
        <v>1500</v>
      </c>
    </row>
    <row r="234" s="597" customFormat="1" spans="1:15">
      <c r="A234" s="618"/>
      <c r="B234" s="526" t="s">
        <v>648</v>
      </c>
      <c r="C234" s="597">
        <v>1.11</v>
      </c>
      <c r="D234" s="635">
        <v>1.11</v>
      </c>
      <c r="E234" s="635">
        <v>1.11</v>
      </c>
      <c r="F234" s="635">
        <v>1.11</v>
      </c>
      <c r="G234" s="635">
        <v>1.11</v>
      </c>
      <c r="H234" s="635">
        <v>1.11</v>
      </c>
      <c r="I234" s="635">
        <v>1.11</v>
      </c>
      <c r="J234" s="635">
        <v>1.11</v>
      </c>
      <c r="K234" s="635">
        <v>1.11</v>
      </c>
      <c r="L234" s="635">
        <v>1.11</v>
      </c>
      <c r="M234" s="635">
        <v>1.11</v>
      </c>
      <c r="N234" s="641">
        <v>1.05</v>
      </c>
      <c r="O234" s="641">
        <v>1.05</v>
      </c>
    </row>
    <row r="235" s="597" customFormat="1" spans="1:15">
      <c r="A235" s="618"/>
      <c r="B235" s="526" t="s">
        <v>649</v>
      </c>
      <c r="C235" s="597">
        <v>1.2</v>
      </c>
      <c r="D235" s="635">
        <v>1.2</v>
      </c>
      <c r="E235" s="635">
        <v>1.2</v>
      </c>
      <c r="F235" s="635">
        <v>1.2</v>
      </c>
      <c r="G235" s="635">
        <v>1.2</v>
      </c>
      <c r="H235" s="635">
        <v>1.2</v>
      </c>
      <c r="I235" s="635">
        <v>1.2</v>
      </c>
      <c r="J235" s="635">
        <v>1.2</v>
      </c>
      <c r="K235" s="635">
        <v>1.2</v>
      </c>
      <c r="L235" s="635">
        <v>1.2</v>
      </c>
      <c r="M235" s="635">
        <v>1.2</v>
      </c>
      <c r="N235" s="641">
        <v>1.05</v>
      </c>
      <c r="O235" s="641">
        <v>1.05</v>
      </c>
    </row>
    <row r="236" spans="1:2">
      <c r="A236" s="518"/>
      <c r="B236" s="519"/>
    </row>
    <row r="237" spans="1:15">
      <c r="A237" s="518">
        <v>2.51</v>
      </c>
      <c r="B237" s="519" t="s">
        <v>650</v>
      </c>
      <c r="C237" s="632">
        <v>5000</v>
      </c>
      <c r="D237" s="633">
        <v>5000</v>
      </c>
      <c r="E237" s="633">
        <v>5000</v>
      </c>
      <c r="F237" s="648">
        <v>67500</v>
      </c>
      <c r="G237" s="648">
        <v>67500</v>
      </c>
      <c r="H237" s="648">
        <v>67500</v>
      </c>
      <c r="I237" s="648">
        <v>67500</v>
      </c>
      <c r="J237" s="648">
        <v>67500</v>
      </c>
      <c r="K237" s="648">
        <v>67500</v>
      </c>
      <c r="L237" s="648">
        <v>67500</v>
      </c>
      <c r="M237" s="648">
        <v>67500</v>
      </c>
      <c r="N237" s="660">
        <v>67500</v>
      </c>
      <c r="O237" s="660">
        <v>67500</v>
      </c>
    </row>
    <row r="238" spans="1:15">
      <c r="A238" s="518">
        <v>2.52</v>
      </c>
      <c r="B238" s="519" t="s">
        <v>651</v>
      </c>
      <c r="C238" s="632">
        <v>5550</v>
      </c>
      <c r="D238" s="633">
        <v>5550</v>
      </c>
      <c r="E238" s="633">
        <v>5550</v>
      </c>
      <c r="F238" s="648">
        <v>74925</v>
      </c>
      <c r="G238" s="648">
        <v>74925</v>
      </c>
      <c r="H238" s="648">
        <v>74925</v>
      </c>
      <c r="I238" s="648">
        <v>74925</v>
      </c>
      <c r="J238" s="648">
        <v>74925</v>
      </c>
      <c r="K238" s="648">
        <v>74925</v>
      </c>
      <c r="L238" s="648">
        <v>74925</v>
      </c>
      <c r="M238" s="648">
        <v>74925</v>
      </c>
      <c r="N238" s="644">
        <v>70875</v>
      </c>
      <c r="O238" s="644">
        <v>70875</v>
      </c>
    </row>
    <row r="239" spans="1:15">
      <c r="A239" s="518">
        <v>2.53</v>
      </c>
      <c r="B239" s="519" t="s">
        <v>652</v>
      </c>
      <c r="C239" s="632">
        <v>6660</v>
      </c>
      <c r="D239" s="633">
        <v>6660</v>
      </c>
      <c r="E239" s="633">
        <v>6660</v>
      </c>
      <c r="F239" s="648">
        <v>89910</v>
      </c>
      <c r="G239" s="648">
        <v>89910</v>
      </c>
      <c r="H239" s="648">
        <v>89910</v>
      </c>
      <c r="I239" s="648">
        <v>89910</v>
      </c>
      <c r="J239" s="648">
        <v>89910</v>
      </c>
      <c r="K239" s="648">
        <v>89910</v>
      </c>
      <c r="L239" s="648">
        <v>89910</v>
      </c>
      <c r="M239" s="648">
        <v>89910</v>
      </c>
      <c r="N239" s="644">
        <v>74418.75</v>
      </c>
      <c r="O239" s="644">
        <v>74418.75</v>
      </c>
    </row>
    <row r="240" spans="1:2">
      <c r="A240" s="518"/>
      <c r="B240" s="519"/>
    </row>
    <row r="241" spans="1:15">
      <c r="A241" s="518">
        <v>2.6</v>
      </c>
      <c r="B241" s="519" t="s">
        <v>77</v>
      </c>
      <c r="D241" s="623"/>
      <c r="E241" s="623"/>
      <c r="F241" s="623"/>
      <c r="G241" s="623"/>
      <c r="H241" s="623"/>
      <c r="I241" s="623"/>
      <c r="J241" s="623"/>
      <c r="K241" s="623"/>
      <c r="L241" s="623"/>
      <c r="M241" s="623"/>
      <c r="N241" s="626"/>
      <c r="O241" s="626"/>
    </row>
    <row r="242" s="597" customFormat="1" spans="1:15">
      <c r="A242" s="618"/>
      <c r="B242" s="526" t="s">
        <v>653</v>
      </c>
      <c r="C242" s="632">
        <v>40000</v>
      </c>
      <c r="D242" s="633">
        <v>40000</v>
      </c>
      <c r="E242" s="633">
        <v>40000</v>
      </c>
      <c r="F242" s="633">
        <v>40000</v>
      </c>
      <c r="G242" s="633">
        <v>40000</v>
      </c>
      <c r="H242" s="633">
        <v>40000</v>
      </c>
      <c r="I242" s="633">
        <v>40000</v>
      </c>
      <c r="J242" s="633">
        <v>40000</v>
      </c>
      <c r="K242" s="633">
        <v>40000</v>
      </c>
      <c r="L242" s="633">
        <v>40000</v>
      </c>
      <c r="M242" s="633">
        <v>40000</v>
      </c>
      <c r="N242" s="640">
        <v>40000</v>
      </c>
      <c r="O242" s="640">
        <v>40000</v>
      </c>
    </row>
    <row r="243" s="597" customFormat="1" spans="1:15">
      <c r="A243" s="618"/>
      <c r="B243" s="526" t="s">
        <v>654</v>
      </c>
      <c r="C243" s="597">
        <v>0.1</v>
      </c>
      <c r="D243" s="635">
        <v>0.1</v>
      </c>
      <c r="E243" s="636">
        <v>0.04</v>
      </c>
      <c r="F243" s="636">
        <v>0.04</v>
      </c>
      <c r="G243" s="636">
        <v>0.04</v>
      </c>
      <c r="H243" s="636">
        <v>0.04</v>
      </c>
      <c r="I243" s="636">
        <v>0.04</v>
      </c>
      <c r="J243" s="636">
        <v>0.04</v>
      </c>
      <c r="K243" s="636">
        <v>0.04</v>
      </c>
      <c r="L243" s="636">
        <v>0.04</v>
      </c>
      <c r="M243" s="636">
        <v>0.04</v>
      </c>
      <c r="N243" s="642">
        <v>0.04</v>
      </c>
      <c r="O243" s="642">
        <v>0.04</v>
      </c>
    </row>
    <row r="244" s="597" customFormat="1" spans="1:15">
      <c r="A244" s="618"/>
      <c r="B244" s="526" t="s">
        <v>655</v>
      </c>
      <c r="C244" s="597">
        <v>36</v>
      </c>
      <c r="D244" s="635">
        <v>36</v>
      </c>
      <c r="E244" s="635">
        <v>36</v>
      </c>
      <c r="F244" s="635">
        <v>36</v>
      </c>
      <c r="G244" s="635">
        <v>36</v>
      </c>
      <c r="H244" s="635">
        <v>36</v>
      </c>
      <c r="I244" s="635">
        <v>36</v>
      </c>
      <c r="J244" s="635">
        <v>36</v>
      </c>
      <c r="K244" s="635">
        <v>36</v>
      </c>
      <c r="L244" s="635">
        <v>36</v>
      </c>
      <c r="M244" s="635">
        <v>36</v>
      </c>
      <c r="N244" s="640">
        <v>36</v>
      </c>
      <c r="O244" s="640">
        <v>36</v>
      </c>
    </row>
    <row r="245" s="597" customFormat="1" spans="1:15">
      <c r="A245" s="618"/>
      <c r="B245" s="526" t="s">
        <v>656</v>
      </c>
      <c r="C245" s="597">
        <v>12</v>
      </c>
      <c r="D245" s="635">
        <v>12</v>
      </c>
      <c r="E245" s="635">
        <v>12</v>
      </c>
      <c r="F245" s="635">
        <v>12</v>
      </c>
      <c r="G245" s="635">
        <v>12</v>
      </c>
      <c r="H245" s="635">
        <v>12</v>
      </c>
      <c r="I245" s="635">
        <v>12</v>
      </c>
      <c r="J245" s="635">
        <v>12</v>
      </c>
      <c r="K245" s="635">
        <v>12</v>
      </c>
      <c r="L245" s="635">
        <v>12</v>
      </c>
      <c r="M245" s="635">
        <v>12</v>
      </c>
      <c r="N245" s="640">
        <v>12</v>
      </c>
      <c r="O245" s="640">
        <v>12</v>
      </c>
    </row>
    <row r="246" s="597" customFormat="1" spans="1:15">
      <c r="A246" s="618"/>
      <c r="B246" s="526" t="s">
        <v>657</v>
      </c>
      <c r="C246" s="597" t="s">
        <v>183</v>
      </c>
      <c r="D246" s="635" t="s">
        <v>183</v>
      </c>
      <c r="E246" s="635" t="s">
        <v>183</v>
      </c>
      <c r="F246" s="635" t="s">
        <v>183</v>
      </c>
      <c r="G246" s="635" t="s">
        <v>183</v>
      </c>
      <c r="H246" s="635" t="s">
        <v>183</v>
      </c>
      <c r="I246" s="635" t="s">
        <v>183</v>
      </c>
      <c r="J246" s="635" t="s">
        <v>183</v>
      </c>
      <c r="K246" s="635" t="s">
        <v>183</v>
      </c>
      <c r="L246" s="635" t="s">
        <v>183</v>
      </c>
      <c r="M246" s="635" t="s">
        <v>183</v>
      </c>
      <c r="N246" s="640" t="s">
        <v>183</v>
      </c>
      <c r="O246" s="640" t="s">
        <v>183</v>
      </c>
    </row>
    <row r="247" spans="1:2">
      <c r="A247" s="518"/>
      <c r="B247" s="519"/>
    </row>
    <row r="248" spans="1:15">
      <c r="A248" s="518">
        <v>2.61</v>
      </c>
      <c r="B248" s="519" t="s">
        <v>658</v>
      </c>
      <c r="C248" s="632">
        <v>15391.3</v>
      </c>
      <c r="D248" s="633">
        <v>15391.3</v>
      </c>
      <c r="E248" s="634">
        <v>14156.25</v>
      </c>
      <c r="F248" s="634">
        <v>14156.25</v>
      </c>
      <c r="G248" s="634">
        <v>14156.25</v>
      </c>
      <c r="H248" s="634">
        <v>14156.25</v>
      </c>
      <c r="I248" s="634">
        <v>14156.25</v>
      </c>
      <c r="J248" s="634">
        <v>14156.25</v>
      </c>
      <c r="K248" s="634">
        <v>14156.25</v>
      </c>
      <c r="L248" s="634">
        <v>14156.25</v>
      </c>
      <c r="M248" s="634">
        <v>14156.25</v>
      </c>
      <c r="N248" s="644">
        <v>14156.2481792543</v>
      </c>
      <c r="O248" s="644">
        <v>14156.2481792543</v>
      </c>
    </row>
    <row r="249" spans="1:15">
      <c r="A249" s="518">
        <v>2.62</v>
      </c>
      <c r="B249" s="519" t="s">
        <v>659</v>
      </c>
      <c r="C249" s="632">
        <v>15391.3</v>
      </c>
      <c r="D249" s="633">
        <v>15391.3</v>
      </c>
      <c r="E249" s="634">
        <v>14156.25</v>
      </c>
      <c r="F249" s="634">
        <v>14156.25</v>
      </c>
      <c r="G249" s="634">
        <v>14156.25</v>
      </c>
      <c r="H249" s="634">
        <v>14156.25</v>
      </c>
      <c r="I249" s="634">
        <v>14156.25</v>
      </c>
      <c r="J249" s="634">
        <v>14156.25</v>
      </c>
      <c r="K249" s="634">
        <v>14156.25</v>
      </c>
      <c r="L249" s="634">
        <v>14156.25</v>
      </c>
      <c r="M249" s="634">
        <v>14156.25</v>
      </c>
      <c r="N249" s="644">
        <v>14156.2481792543</v>
      </c>
      <c r="O249" s="644">
        <v>14156.2481792543</v>
      </c>
    </row>
    <row r="250" spans="1:15">
      <c r="A250" s="518">
        <v>2.63</v>
      </c>
      <c r="B250" s="526" t="s">
        <v>660</v>
      </c>
      <c r="C250" s="632">
        <v>15391.3</v>
      </c>
      <c r="D250" s="633">
        <v>15391.3</v>
      </c>
      <c r="E250" s="634">
        <v>14156.25</v>
      </c>
      <c r="F250" s="634">
        <v>14156.25</v>
      </c>
      <c r="G250" s="634">
        <v>14156.25</v>
      </c>
      <c r="H250" s="634">
        <v>14156.25</v>
      </c>
      <c r="I250" s="634">
        <v>14156.25</v>
      </c>
      <c r="J250" s="634">
        <v>14156.25</v>
      </c>
      <c r="K250" s="634">
        <v>14156.25</v>
      </c>
      <c r="L250" s="634">
        <v>14156.25</v>
      </c>
      <c r="M250" s="634">
        <v>14156.25</v>
      </c>
      <c r="N250" s="644">
        <v>14156.2481792543</v>
      </c>
      <c r="O250" s="644">
        <v>14156.2481792543</v>
      </c>
    </row>
    <row r="251" spans="1:15">
      <c r="A251" s="518">
        <v>2.64</v>
      </c>
      <c r="B251" s="526" t="s">
        <v>661</v>
      </c>
      <c r="C251" s="632">
        <v>40000</v>
      </c>
      <c r="D251" s="633">
        <v>40000</v>
      </c>
      <c r="E251" s="633">
        <v>40000</v>
      </c>
      <c r="F251" s="633">
        <v>40000</v>
      </c>
      <c r="G251" s="633">
        <v>40000</v>
      </c>
      <c r="H251" s="633">
        <v>40000</v>
      </c>
      <c r="I251" s="633">
        <v>40000</v>
      </c>
      <c r="J251" s="633">
        <v>40000</v>
      </c>
      <c r="K251" s="633">
        <v>40000</v>
      </c>
      <c r="L251" s="633">
        <v>40000</v>
      </c>
      <c r="M251" s="633">
        <v>40000</v>
      </c>
      <c r="N251" s="626">
        <v>40000</v>
      </c>
      <c r="O251" s="626">
        <v>40000</v>
      </c>
    </row>
    <row r="252" spans="1:8">
      <c r="A252" s="518"/>
      <c r="B252" s="526"/>
      <c r="C252" s="632"/>
      <c r="D252" s="632"/>
      <c r="E252" s="632"/>
      <c r="F252" s="632"/>
      <c r="G252" s="632"/>
      <c r="H252" s="632"/>
    </row>
    <row r="253" spans="1:15">
      <c r="A253" s="650">
        <v>2.7</v>
      </c>
      <c r="B253" s="637" t="s">
        <v>168</v>
      </c>
      <c r="C253" s="632"/>
      <c r="D253" s="633"/>
      <c r="E253" s="633"/>
      <c r="F253" s="633"/>
      <c r="G253" s="633"/>
      <c r="H253" s="633"/>
      <c r="I253" s="623"/>
      <c r="J253" s="623"/>
      <c r="K253" s="623"/>
      <c r="L253" s="623"/>
      <c r="M253" s="623"/>
      <c r="N253" s="626"/>
      <c r="O253" s="626"/>
    </row>
    <row r="254" s="528" customFormat="1" spans="1:15">
      <c r="A254" s="651">
        <v>2.701</v>
      </c>
      <c r="B254" s="529" t="s">
        <v>662</v>
      </c>
      <c r="C254" s="528">
        <v>0.05</v>
      </c>
      <c r="D254" s="652">
        <v>0.05</v>
      </c>
      <c r="E254" s="652">
        <v>0.05</v>
      </c>
      <c r="F254" s="652">
        <v>0.05</v>
      </c>
      <c r="G254" s="652">
        <v>0.05</v>
      </c>
      <c r="H254" s="652">
        <v>0.05</v>
      </c>
      <c r="I254" s="652">
        <v>0.05</v>
      </c>
      <c r="J254" s="652">
        <v>0.05</v>
      </c>
      <c r="K254" s="652">
        <v>0.05</v>
      </c>
      <c r="L254" s="652">
        <v>0.05</v>
      </c>
      <c r="M254" s="652">
        <v>0.05</v>
      </c>
      <c r="N254" s="661">
        <v>0.05</v>
      </c>
      <c r="O254" s="661">
        <v>0.05</v>
      </c>
    </row>
    <row r="255" spans="1:15">
      <c r="A255" s="651">
        <v>2.71</v>
      </c>
      <c r="B255" s="526" t="s">
        <v>663</v>
      </c>
      <c r="C255" s="632">
        <v>2625</v>
      </c>
      <c r="D255" s="633">
        <v>2625</v>
      </c>
      <c r="E255" s="633">
        <v>2625</v>
      </c>
      <c r="F255" s="633">
        <v>2625</v>
      </c>
      <c r="G255" s="633">
        <v>2625</v>
      </c>
      <c r="H255" s="633">
        <v>2625</v>
      </c>
      <c r="I255" s="633">
        <v>2625</v>
      </c>
      <c r="J255" s="633">
        <v>2625</v>
      </c>
      <c r="K255" s="633">
        <v>2625</v>
      </c>
      <c r="L255" s="633">
        <v>2625</v>
      </c>
      <c r="M255" s="633">
        <v>2625</v>
      </c>
      <c r="N255" s="626">
        <v>2625</v>
      </c>
      <c r="O255" s="626">
        <v>2625</v>
      </c>
    </row>
    <row r="256" s="528" customFormat="1" spans="1:15">
      <c r="A256" s="651">
        <v>2.711</v>
      </c>
      <c r="B256" s="529" t="s">
        <v>664</v>
      </c>
      <c r="C256" s="528">
        <v>0.095</v>
      </c>
      <c r="D256" s="652">
        <v>0.095</v>
      </c>
      <c r="E256" s="652">
        <v>0.095</v>
      </c>
      <c r="F256" s="652">
        <v>0.095</v>
      </c>
      <c r="G256" s="652">
        <v>0.095</v>
      </c>
      <c r="H256" s="652">
        <v>0.095</v>
      </c>
      <c r="I256" s="652">
        <v>0.095</v>
      </c>
      <c r="J256" s="652">
        <v>0.095</v>
      </c>
      <c r="K256" s="652">
        <v>0.095</v>
      </c>
      <c r="L256" s="652">
        <v>0.095</v>
      </c>
      <c r="M256" s="652">
        <v>0.095</v>
      </c>
      <c r="N256" s="661">
        <v>0.095</v>
      </c>
      <c r="O256" s="661">
        <v>0.095</v>
      </c>
    </row>
    <row r="257" spans="1:15">
      <c r="A257" s="651">
        <v>2.72</v>
      </c>
      <c r="B257" s="526" t="s">
        <v>665</v>
      </c>
      <c r="C257" s="632">
        <v>4987.5</v>
      </c>
      <c r="D257" s="633">
        <v>4987.5</v>
      </c>
      <c r="E257" s="633">
        <v>4987.5</v>
      </c>
      <c r="F257" s="633">
        <v>4987.5</v>
      </c>
      <c r="G257" s="633">
        <v>4987.5</v>
      </c>
      <c r="H257" s="633">
        <v>4987.5</v>
      </c>
      <c r="I257" s="633">
        <v>4987.5</v>
      </c>
      <c r="J257" s="633">
        <v>4987.5</v>
      </c>
      <c r="K257" s="633">
        <v>4987.5</v>
      </c>
      <c r="L257" s="633">
        <v>4987.5</v>
      </c>
      <c r="M257" s="633">
        <v>4987.5</v>
      </c>
      <c r="N257" s="626">
        <v>4987.5</v>
      </c>
      <c r="O257" s="626">
        <v>4987.5</v>
      </c>
    </row>
    <row r="258" s="528" customFormat="1" spans="1:15">
      <c r="A258" s="651">
        <v>2.721</v>
      </c>
      <c r="B258" s="529" t="s">
        <v>666</v>
      </c>
      <c r="C258" s="528">
        <v>0.0855</v>
      </c>
      <c r="D258" s="652">
        <v>0.0855</v>
      </c>
      <c r="E258" s="652">
        <v>0.0855</v>
      </c>
      <c r="F258" s="652">
        <v>0.0855</v>
      </c>
      <c r="G258" s="652">
        <v>0.0855</v>
      </c>
      <c r="H258" s="652">
        <v>0.0855</v>
      </c>
      <c r="I258" s="652">
        <v>0.0855</v>
      </c>
      <c r="J258" s="652">
        <v>0.0855</v>
      </c>
      <c r="K258" s="652">
        <v>0.0855</v>
      </c>
      <c r="L258" s="652">
        <v>0.0855</v>
      </c>
      <c r="M258" s="652">
        <v>0.0855</v>
      </c>
      <c r="N258" s="661">
        <v>0.0855</v>
      </c>
      <c r="O258" s="661">
        <v>0.0855</v>
      </c>
    </row>
    <row r="259" spans="1:15">
      <c r="A259" s="651">
        <v>2.73</v>
      </c>
      <c r="B259" s="526" t="s">
        <v>667</v>
      </c>
      <c r="C259" s="632">
        <v>4488.75</v>
      </c>
      <c r="D259" s="633">
        <v>4488.75</v>
      </c>
      <c r="E259" s="633">
        <v>4488.75</v>
      </c>
      <c r="F259" s="633">
        <v>4488.75</v>
      </c>
      <c r="G259" s="633">
        <v>4488.75</v>
      </c>
      <c r="H259" s="633">
        <v>4488.75</v>
      </c>
      <c r="I259" s="633">
        <v>4488.75</v>
      </c>
      <c r="J259" s="633">
        <v>4488.75</v>
      </c>
      <c r="K259" s="633">
        <v>4488.75</v>
      </c>
      <c r="L259" s="633">
        <v>4488.75</v>
      </c>
      <c r="M259" s="633">
        <v>4488.75</v>
      </c>
      <c r="N259" s="626">
        <v>4488.75</v>
      </c>
      <c r="O259" s="626">
        <v>4488.75</v>
      </c>
    </row>
    <row r="260" spans="1:8">
      <c r="A260" s="518"/>
      <c r="B260" s="526"/>
      <c r="C260" s="632"/>
      <c r="D260" s="632"/>
      <c r="E260" s="632"/>
      <c r="F260" s="632"/>
      <c r="G260" s="632"/>
      <c r="H260" s="632"/>
    </row>
    <row r="261" spans="1:15">
      <c r="A261" s="518">
        <v>2.8</v>
      </c>
      <c r="B261" s="526" t="s">
        <v>187</v>
      </c>
      <c r="C261" s="632"/>
      <c r="D261" s="633"/>
      <c r="E261" s="633"/>
      <c r="F261" s="633"/>
      <c r="G261" s="633"/>
      <c r="H261" s="633"/>
      <c r="I261" s="623"/>
      <c r="J261" s="623"/>
      <c r="K261" s="623"/>
      <c r="L261" s="623"/>
      <c r="M261" s="623"/>
      <c r="N261" s="626"/>
      <c r="O261" s="626"/>
    </row>
    <row r="262" spans="1:15">
      <c r="A262" s="518"/>
      <c r="B262" s="526" t="s">
        <v>668</v>
      </c>
      <c r="C262" s="632">
        <v>0.05</v>
      </c>
      <c r="D262" s="633">
        <v>0.05</v>
      </c>
      <c r="E262" s="633">
        <v>0.05</v>
      </c>
      <c r="F262" s="633">
        <v>0.05</v>
      </c>
      <c r="G262" s="633">
        <v>0.05</v>
      </c>
      <c r="H262" s="633">
        <v>0.05</v>
      </c>
      <c r="I262" s="633">
        <v>0.05</v>
      </c>
      <c r="J262" s="633">
        <v>0.05</v>
      </c>
      <c r="K262" s="633">
        <v>0.05</v>
      </c>
      <c r="L262" s="633">
        <v>0.05</v>
      </c>
      <c r="M262" s="633">
        <v>0.05</v>
      </c>
      <c r="N262" s="626">
        <v>0.05</v>
      </c>
      <c r="O262" s="626">
        <v>0.05</v>
      </c>
    </row>
    <row r="263" spans="1:15">
      <c r="A263" s="518"/>
      <c r="B263" s="526" t="s">
        <v>669</v>
      </c>
      <c r="C263" s="632">
        <v>0.01</v>
      </c>
      <c r="D263" s="633">
        <v>0.01</v>
      </c>
      <c r="E263" s="633">
        <v>0.01</v>
      </c>
      <c r="F263" s="633">
        <v>0.01</v>
      </c>
      <c r="G263" s="633">
        <v>0.01</v>
      </c>
      <c r="H263" s="633">
        <v>0.01</v>
      </c>
      <c r="I263" s="633">
        <v>0.01</v>
      </c>
      <c r="J263" s="633">
        <v>0.01</v>
      </c>
      <c r="K263" s="633">
        <v>0.01</v>
      </c>
      <c r="L263" s="633">
        <v>0.01</v>
      </c>
      <c r="M263" s="633">
        <v>0.01</v>
      </c>
      <c r="N263" s="626">
        <v>0.01</v>
      </c>
      <c r="O263" s="626">
        <v>0.01</v>
      </c>
    </row>
    <row r="264" spans="1:2">
      <c r="A264" s="518"/>
      <c r="B264" s="526"/>
    </row>
    <row r="265" spans="1:15">
      <c r="A265" s="518">
        <v>3.1</v>
      </c>
      <c r="B265" s="519" t="s">
        <v>192</v>
      </c>
      <c r="D265" s="623"/>
      <c r="E265" s="623"/>
      <c r="F265" s="623"/>
      <c r="G265" s="623"/>
      <c r="H265" s="623"/>
      <c r="I265" s="623"/>
      <c r="J265" s="623"/>
      <c r="K265" s="623"/>
      <c r="L265" s="623"/>
      <c r="M265" s="623"/>
      <c r="N265" s="626"/>
      <c r="O265" s="626"/>
    </row>
    <row r="266" s="597" customFormat="1" spans="1:15">
      <c r="A266" s="618">
        <v>3.11</v>
      </c>
      <c r="B266" s="526" t="s">
        <v>670</v>
      </c>
      <c r="C266" s="597">
        <v>0.35</v>
      </c>
      <c r="D266" s="635">
        <v>0.35</v>
      </c>
      <c r="E266" s="636">
        <v>0.25</v>
      </c>
      <c r="F266" s="636">
        <v>0.25</v>
      </c>
      <c r="G266" s="636">
        <v>0.25</v>
      </c>
      <c r="H266" s="636">
        <v>0.25</v>
      </c>
      <c r="I266" s="636">
        <v>0.25</v>
      </c>
      <c r="J266" s="636">
        <v>0.25</v>
      </c>
      <c r="K266" s="636">
        <v>0.25</v>
      </c>
      <c r="L266" s="636">
        <v>0.25</v>
      </c>
      <c r="M266" s="636">
        <v>0.25</v>
      </c>
      <c r="N266" s="642">
        <v>0.25</v>
      </c>
      <c r="O266" s="642">
        <v>0.25</v>
      </c>
    </row>
    <row r="268" spans="1:15">
      <c r="A268" s="518">
        <v>3.2</v>
      </c>
      <c r="B268" s="519" t="s">
        <v>671</v>
      </c>
      <c r="D268" s="623"/>
      <c r="E268" s="623"/>
      <c r="F268" s="623"/>
      <c r="G268" s="623"/>
      <c r="H268" s="623"/>
      <c r="I268" s="623"/>
      <c r="J268" s="623"/>
      <c r="K268" s="623"/>
      <c r="L268" s="623"/>
      <c r="M268" s="623"/>
      <c r="N268" s="626"/>
      <c r="O268" s="626"/>
    </row>
    <row r="269" spans="1:2">
      <c r="A269" s="518"/>
      <c r="B269" s="519"/>
    </row>
    <row r="270" spans="1:15">
      <c r="A270" s="518">
        <v>3.21</v>
      </c>
      <c r="B270" s="519" t="s">
        <v>672</v>
      </c>
      <c r="D270" s="623"/>
      <c r="E270" s="623"/>
      <c r="F270" s="623"/>
      <c r="G270" s="623"/>
      <c r="H270" s="623"/>
      <c r="I270" s="623"/>
      <c r="J270" s="623"/>
      <c r="K270" s="623"/>
      <c r="L270" s="623"/>
      <c r="M270" s="623"/>
      <c r="N270" s="626"/>
      <c r="O270" s="626"/>
    </row>
    <row r="271" spans="1:2">
      <c r="A271" s="518"/>
      <c r="B271" s="519"/>
    </row>
    <row r="272" spans="1:15">
      <c r="A272" s="518">
        <v>4.1</v>
      </c>
      <c r="B272" s="519" t="s">
        <v>74</v>
      </c>
      <c r="D272" s="623"/>
      <c r="E272" s="623"/>
      <c r="F272" s="623"/>
      <c r="G272" s="623"/>
      <c r="H272" s="623"/>
      <c r="I272" s="623"/>
      <c r="J272" s="623"/>
      <c r="K272" s="623"/>
      <c r="L272" s="623"/>
      <c r="M272" s="623"/>
      <c r="N272" s="626"/>
      <c r="O272" s="626"/>
    </row>
    <row r="273" s="597" customFormat="1" spans="1:15">
      <c r="A273" s="618"/>
      <c r="B273" s="526" t="s">
        <v>673</v>
      </c>
      <c r="C273" s="597" t="s">
        <v>221</v>
      </c>
      <c r="D273" s="635" t="s">
        <v>221</v>
      </c>
      <c r="E273" s="635" t="s">
        <v>221</v>
      </c>
      <c r="F273" s="635" t="s">
        <v>221</v>
      </c>
      <c r="G273" s="635" t="s">
        <v>221</v>
      </c>
      <c r="H273" s="635" t="s">
        <v>221</v>
      </c>
      <c r="I273" s="635" t="s">
        <v>221</v>
      </c>
      <c r="J273" s="635" t="s">
        <v>221</v>
      </c>
      <c r="K273" s="635" t="s">
        <v>221</v>
      </c>
      <c r="L273" s="635" t="s">
        <v>221</v>
      </c>
      <c r="M273" s="635" t="s">
        <v>221</v>
      </c>
      <c r="N273" s="640" t="s">
        <v>221</v>
      </c>
      <c r="O273" s="640" t="s">
        <v>221</v>
      </c>
    </row>
    <row r="274" s="597" customFormat="1" spans="1:15">
      <c r="A274" s="618"/>
      <c r="B274" s="526" t="s">
        <v>674</v>
      </c>
      <c r="C274" s="597" t="s">
        <v>222</v>
      </c>
      <c r="D274" s="635" t="s">
        <v>222</v>
      </c>
      <c r="E274" s="635" t="s">
        <v>222</v>
      </c>
      <c r="F274" s="635" t="s">
        <v>222</v>
      </c>
      <c r="G274" s="635" t="s">
        <v>222</v>
      </c>
      <c r="H274" s="635" t="s">
        <v>222</v>
      </c>
      <c r="I274" s="635" t="s">
        <v>222</v>
      </c>
      <c r="J274" s="635" t="s">
        <v>222</v>
      </c>
      <c r="K274" s="635" t="s">
        <v>222</v>
      </c>
      <c r="L274" s="635" t="s">
        <v>222</v>
      </c>
      <c r="M274" s="635" t="s">
        <v>222</v>
      </c>
      <c r="N274" s="640" t="s">
        <v>222</v>
      </c>
      <c r="O274" s="640" t="s">
        <v>222</v>
      </c>
    </row>
    <row r="275" s="597" customFormat="1" spans="1:15">
      <c r="A275" s="618"/>
      <c r="B275" s="526" t="s">
        <v>675</v>
      </c>
      <c r="C275" s="597">
        <v>0.56</v>
      </c>
      <c r="D275" s="662">
        <v>0.36</v>
      </c>
      <c r="E275" s="663">
        <v>0.36</v>
      </c>
      <c r="F275" s="663">
        <v>0.36</v>
      </c>
      <c r="G275" s="662">
        <v>0.36</v>
      </c>
      <c r="H275" s="662">
        <v>0.36</v>
      </c>
      <c r="I275" s="663">
        <v>0.36</v>
      </c>
      <c r="J275" s="663">
        <v>0.36</v>
      </c>
      <c r="K275" s="662">
        <v>0.36</v>
      </c>
      <c r="L275" s="662">
        <v>0.36</v>
      </c>
      <c r="M275" s="662">
        <v>0.36</v>
      </c>
      <c r="N275" s="666">
        <v>0.36</v>
      </c>
      <c r="O275" s="666">
        <v>0.36</v>
      </c>
    </row>
    <row r="276" s="597" customFormat="1" spans="1:15">
      <c r="A276" s="618"/>
      <c r="B276" s="526" t="s">
        <v>676</v>
      </c>
      <c r="C276" s="597">
        <v>0.3</v>
      </c>
      <c r="D276" s="662">
        <v>0.24</v>
      </c>
      <c r="E276" s="663">
        <v>0.24</v>
      </c>
      <c r="F276" s="663">
        <v>0.24</v>
      </c>
      <c r="G276" s="662">
        <v>0.24</v>
      </c>
      <c r="H276" s="662">
        <v>0.24</v>
      </c>
      <c r="I276" s="663">
        <v>0.24</v>
      </c>
      <c r="J276" s="663">
        <v>0.24</v>
      </c>
      <c r="K276" s="662">
        <v>0.24</v>
      </c>
      <c r="L276" s="667">
        <v>0.2</v>
      </c>
      <c r="M276" s="667">
        <v>0.2</v>
      </c>
      <c r="N276" s="641">
        <v>0.2</v>
      </c>
      <c r="O276" s="641">
        <v>0.2</v>
      </c>
    </row>
    <row r="277" s="597" customFormat="1" spans="1:15">
      <c r="A277" s="618"/>
      <c r="B277" s="526" t="s">
        <v>677</v>
      </c>
      <c r="C277" s="597">
        <v>0.3</v>
      </c>
      <c r="D277" s="662">
        <v>0.33</v>
      </c>
      <c r="E277" s="663">
        <v>0.33</v>
      </c>
      <c r="F277" s="663">
        <v>0.33</v>
      </c>
      <c r="G277" s="662">
        <v>0.33</v>
      </c>
      <c r="H277" s="662">
        <v>0.33</v>
      </c>
      <c r="I277" s="663">
        <v>0.33</v>
      </c>
      <c r="J277" s="663">
        <v>0.33</v>
      </c>
      <c r="K277" s="662">
        <v>0.33</v>
      </c>
      <c r="L277" s="667">
        <v>0.26</v>
      </c>
      <c r="M277" s="667">
        <v>0.26</v>
      </c>
      <c r="N277" s="641">
        <v>0.26</v>
      </c>
      <c r="O277" s="641">
        <v>0.26</v>
      </c>
    </row>
    <row r="278" s="597" customFormat="1" spans="1:15">
      <c r="A278" s="618"/>
      <c r="B278" s="526" t="s">
        <v>678</v>
      </c>
      <c r="C278" s="632">
        <v>4</v>
      </c>
      <c r="D278" s="664">
        <v>4.49</v>
      </c>
      <c r="E278" s="647">
        <v>4.49</v>
      </c>
      <c r="F278" s="647">
        <v>4.49</v>
      </c>
      <c r="G278" s="664">
        <v>4.49</v>
      </c>
      <c r="H278" s="664">
        <v>4.49</v>
      </c>
      <c r="I278" s="647">
        <v>4.49</v>
      </c>
      <c r="J278" s="647">
        <v>4.49</v>
      </c>
      <c r="K278" s="664">
        <v>4.49</v>
      </c>
      <c r="L278" s="664">
        <v>4.49</v>
      </c>
      <c r="M278" s="664">
        <v>4.49</v>
      </c>
      <c r="N278" s="666">
        <v>4.49</v>
      </c>
      <c r="O278" s="666">
        <v>4.49</v>
      </c>
    </row>
    <row r="279" s="597" customFormat="1" spans="1:15">
      <c r="A279" s="618"/>
      <c r="B279" s="526" t="s">
        <v>679</v>
      </c>
      <c r="C279" s="597">
        <v>1</v>
      </c>
      <c r="D279" s="635">
        <v>1</v>
      </c>
      <c r="E279" s="635">
        <v>1</v>
      </c>
      <c r="F279" s="635">
        <v>1</v>
      </c>
      <c r="G279" s="635">
        <v>1</v>
      </c>
      <c r="H279" s="635">
        <v>1</v>
      </c>
      <c r="I279" s="635">
        <v>1</v>
      </c>
      <c r="J279" s="635">
        <v>1</v>
      </c>
      <c r="K279" s="635">
        <v>1</v>
      </c>
      <c r="L279" s="635">
        <v>1</v>
      </c>
      <c r="M279" s="635">
        <v>1</v>
      </c>
      <c r="N279" s="640">
        <v>1</v>
      </c>
      <c r="O279" s="640">
        <v>1</v>
      </c>
    </row>
    <row r="280" s="597" customFormat="1" spans="1:15">
      <c r="A280" s="618"/>
      <c r="B280" s="526" t="s">
        <v>680</v>
      </c>
      <c r="C280" s="597">
        <v>0.8</v>
      </c>
      <c r="D280" s="635">
        <v>0.8</v>
      </c>
      <c r="E280" s="635">
        <v>0.8</v>
      </c>
      <c r="F280" s="635">
        <v>0.8</v>
      </c>
      <c r="G280" s="635">
        <v>0.8</v>
      </c>
      <c r="H280" s="635">
        <v>0.8</v>
      </c>
      <c r="I280" s="635">
        <v>0.8</v>
      </c>
      <c r="J280" s="635">
        <v>0.8</v>
      </c>
      <c r="K280" s="635">
        <v>0.8</v>
      </c>
      <c r="L280" s="635">
        <v>0.8</v>
      </c>
      <c r="M280" s="635">
        <v>0.8</v>
      </c>
      <c r="N280" s="640">
        <v>0.8</v>
      </c>
      <c r="O280" s="640">
        <v>0.8</v>
      </c>
    </row>
    <row r="281" s="597" customFormat="1" spans="1:15">
      <c r="A281" s="618"/>
      <c r="B281" s="526" t="s">
        <v>681</v>
      </c>
      <c r="C281" s="597">
        <v>1.05</v>
      </c>
      <c r="D281" s="635">
        <v>1.05</v>
      </c>
      <c r="E281" s="635">
        <v>1.05</v>
      </c>
      <c r="F281" s="635">
        <v>1.05</v>
      </c>
      <c r="G281" s="635">
        <v>1.05</v>
      </c>
      <c r="H281" s="635">
        <v>1.05</v>
      </c>
      <c r="I281" s="635">
        <v>1.05</v>
      </c>
      <c r="J281" s="635">
        <v>1.05</v>
      </c>
      <c r="K281" s="635">
        <v>1.05</v>
      </c>
      <c r="L281" s="635">
        <v>1.05</v>
      </c>
      <c r="M281" s="635">
        <v>1.05</v>
      </c>
      <c r="N281" s="640">
        <v>1.05</v>
      </c>
      <c r="O281" s="640">
        <v>1.05</v>
      </c>
    </row>
    <row r="282" s="597" customFormat="1" spans="1:15">
      <c r="A282" s="618"/>
      <c r="B282" s="526" t="s">
        <v>682</v>
      </c>
      <c r="C282" s="597">
        <v>1.3</v>
      </c>
      <c r="D282" s="635">
        <v>1.3</v>
      </c>
      <c r="E282" s="635">
        <v>1.3</v>
      </c>
      <c r="F282" s="635">
        <v>1.3</v>
      </c>
      <c r="G282" s="635">
        <v>1.3</v>
      </c>
      <c r="H282" s="635">
        <v>1.3</v>
      </c>
      <c r="I282" s="635">
        <v>1.3</v>
      </c>
      <c r="J282" s="635">
        <v>1.3</v>
      </c>
      <c r="K282" s="635">
        <v>1.3</v>
      </c>
      <c r="L282" s="635">
        <v>1.3</v>
      </c>
      <c r="M282" s="635">
        <v>1.3</v>
      </c>
      <c r="N282" s="640">
        <v>1.3</v>
      </c>
      <c r="O282" s="640">
        <v>1.3</v>
      </c>
    </row>
    <row r="283" s="597" customFormat="1" spans="1:15">
      <c r="A283" s="618"/>
      <c r="B283" s="526" t="s">
        <v>683</v>
      </c>
      <c r="C283" s="597">
        <v>0</v>
      </c>
      <c r="D283" s="635">
        <v>0</v>
      </c>
      <c r="E283" s="635">
        <v>0</v>
      </c>
      <c r="F283" s="635">
        <v>0</v>
      </c>
      <c r="G283" s="635">
        <v>0</v>
      </c>
      <c r="H283" s="635">
        <v>0</v>
      </c>
      <c r="I283" s="635">
        <v>0</v>
      </c>
      <c r="J283" s="635">
        <v>0</v>
      </c>
      <c r="K283" s="635">
        <v>0</v>
      </c>
      <c r="L283" s="635">
        <v>0</v>
      </c>
      <c r="M283" s="635">
        <v>0</v>
      </c>
      <c r="N283" s="640">
        <v>0</v>
      </c>
      <c r="O283" s="640">
        <v>0</v>
      </c>
    </row>
    <row r="284" s="597" customFormat="1" spans="1:15">
      <c r="A284" s="618"/>
      <c r="B284" s="526" t="s">
        <v>684</v>
      </c>
      <c r="C284" s="597">
        <v>0</v>
      </c>
      <c r="D284" s="635">
        <v>0</v>
      </c>
      <c r="E284" s="635">
        <v>0</v>
      </c>
      <c r="F284" s="635">
        <v>0</v>
      </c>
      <c r="G284" s="635">
        <v>0</v>
      </c>
      <c r="H284" s="635">
        <v>0</v>
      </c>
      <c r="I284" s="635">
        <v>0</v>
      </c>
      <c r="J284" s="635">
        <v>0</v>
      </c>
      <c r="K284" s="635">
        <v>0</v>
      </c>
      <c r="L284" s="635">
        <v>0</v>
      </c>
      <c r="M284" s="635">
        <v>0</v>
      </c>
      <c r="N284" s="640">
        <v>0</v>
      </c>
      <c r="O284" s="640">
        <v>0</v>
      </c>
    </row>
    <row r="285" s="597" customFormat="1" spans="1:15">
      <c r="A285" s="618"/>
      <c r="B285" s="526" t="s">
        <v>685</v>
      </c>
      <c r="C285" s="597" t="s">
        <v>221</v>
      </c>
      <c r="D285" s="635" t="s">
        <v>221</v>
      </c>
      <c r="E285" s="635" t="s">
        <v>221</v>
      </c>
      <c r="F285" s="635" t="s">
        <v>221</v>
      </c>
      <c r="G285" s="635" t="s">
        <v>221</v>
      </c>
      <c r="H285" s="635" t="s">
        <v>221</v>
      </c>
      <c r="I285" s="635" t="s">
        <v>221</v>
      </c>
      <c r="J285" s="635" t="s">
        <v>221</v>
      </c>
      <c r="K285" s="635" t="s">
        <v>221</v>
      </c>
      <c r="L285" s="635" t="s">
        <v>221</v>
      </c>
      <c r="M285" s="635" t="s">
        <v>221</v>
      </c>
      <c r="N285" s="640" t="s">
        <v>221</v>
      </c>
      <c r="O285" s="640" t="s">
        <v>221</v>
      </c>
    </row>
    <row r="286" s="597" customFormat="1" spans="1:15">
      <c r="A286" s="618"/>
      <c r="B286" s="526" t="s">
        <v>686</v>
      </c>
      <c r="C286" s="597" t="s">
        <v>225</v>
      </c>
      <c r="D286" s="635" t="s">
        <v>225</v>
      </c>
      <c r="E286" s="635" t="s">
        <v>225</v>
      </c>
      <c r="F286" s="635" t="s">
        <v>225</v>
      </c>
      <c r="G286" s="635" t="s">
        <v>225</v>
      </c>
      <c r="H286" s="635" t="s">
        <v>225</v>
      </c>
      <c r="I286" s="635" t="s">
        <v>225</v>
      </c>
      <c r="J286" s="635" t="s">
        <v>225</v>
      </c>
      <c r="K286" s="635" t="s">
        <v>225</v>
      </c>
      <c r="L286" s="635" t="s">
        <v>225</v>
      </c>
      <c r="M286" s="635" t="s">
        <v>225</v>
      </c>
      <c r="N286" s="640" t="s">
        <v>225</v>
      </c>
      <c r="O286" s="640" t="s">
        <v>225</v>
      </c>
    </row>
    <row r="287" s="597" customFormat="1" spans="1:15">
      <c r="A287" s="618"/>
      <c r="B287" s="526" t="s">
        <v>687</v>
      </c>
      <c r="C287" s="597">
        <v>0.5</v>
      </c>
      <c r="D287" s="662">
        <v>0.4</v>
      </c>
      <c r="E287" s="663">
        <v>0.4</v>
      </c>
      <c r="F287" s="663">
        <v>0.4</v>
      </c>
      <c r="G287" s="662">
        <v>0.4</v>
      </c>
      <c r="H287" s="662">
        <v>0.4</v>
      </c>
      <c r="I287" s="663">
        <v>0.4</v>
      </c>
      <c r="J287" s="663">
        <v>0.4</v>
      </c>
      <c r="K287" s="662">
        <v>0.4</v>
      </c>
      <c r="L287" s="662">
        <v>0.4</v>
      </c>
      <c r="M287" s="662">
        <v>0.4</v>
      </c>
      <c r="N287" s="666">
        <v>0.4</v>
      </c>
      <c r="O287" s="666">
        <v>0.4</v>
      </c>
    </row>
    <row r="288" s="597" customFormat="1" spans="1:15">
      <c r="A288" s="618"/>
      <c r="B288" s="526" t="s">
        <v>688</v>
      </c>
      <c r="C288" s="597">
        <v>0.3</v>
      </c>
      <c r="D288" s="662">
        <v>0.24</v>
      </c>
      <c r="E288" s="663">
        <v>0.24</v>
      </c>
      <c r="F288" s="663">
        <v>0.24</v>
      </c>
      <c r="G288" s="662">
        <v>0.24</v>
      </c>
      <c r="H288" s="662">
        <v>0.24</v>
      </c>
      <c r="I288" s="663">
        <v>0.24</v>
      </c>
      <c r="J288" s="663">
        <v>0.24</v>
      </c>
      <c r="K288" s="662">
        <v>0.24</v>
      </c>
      <c r="L288" s="667">
        <v>0.2</v>
      </c>
      <c r="M288" s="667">
        <v>0.2</v>
      </c>
      <c r="N288" s="641">
        <v>0.2</v>
      </c>
      <c r="O288" s="641">
        <v>0.2</v>
      </c>
    </row>
    <row r="289" s="597" customFormat="1" spans="1:15">
      <c r="A289" s="618"/>
      <c r="B289" s="526" t="s">
        <v>689</v>
      </c>
      <c r="C289" s="597">
        <v>0.3</v>
      </c>
      <c r="D289" s="662">
        <v>0.33</v>
      </c>
      <c r="E289" s="663">
        <v>0.33</v>
      </c>
      <c r="F289" s="663">
        <v>0.33</v>
      </c>
      <c r="G289" s="662">
        <v>0.33</v>
      </c>
      <c r="H289" s="662">
        <v>0.33</v>
      </c>
      <c r="I289" s="663">
        <v>0.33</v>
      </c>
      <c r="J289" s="663">
        <v>0.33</v>
      </c>
      <c r="K289" s="662">
        <v>0.33</v>
      </c>
      <c r="L289" s="667">
        <v>0.26</v>
      </c>
      <c r="M289" s="667">
        <v>0.26</v>
      </c>
      <c r="N289" s="641">
        <v>0.26</v>
      </c>
      <c r="O289" s="641">
        <v>0.26</v>
      </c>
    </row>
    <row r="290" s="597" customFormat="1" spans="1:15">
      <c r="A290" s="618"/>
      <c r="B290" s="526" t="s">
        <v>690</v>
      </c>
      <c r="C290" s="632">
        <v>4</v>
      </c>
      <c r="D290" s="664">
        <v>6.99</v>
      </c>
      <c r="E290" s="647">
        <v>6.99</v>
      </c>
      <c r="F290" s="647">
        <v>6.99</v>
      </c>
      <c r="G290" s="664">
        <v>6.99</v>
      </c>
      <c r="H290" s="664">
        <v>6.99</v>
      </c>
      <c r="I290" s="647">
        <v>6.99</v>
      </c>
      <c r="J290" s="647">
        <v>6.99</v>
      </c>
      <c r="K290" s="664">
        <v>6.99</v>
      </c>
      <c r="L290" s="664">
        <v>6.99</v>
      </c>
      <c r="M290" s="664">
        <v>6.99</v>
      </c>
      <c r="N290" s="666">
        <v>6.99</v>
      </c>
      <c r="O290" s="666">
        <v>6.99</v>
      </c>
    </row>
    <row r="291" s="597" customFormat="1" spans="1:15">
      <c r="A291" s="618"/>
      <c r="B291" s="526" t="s">
        <v>691</v>
      </c>
      <c r="C291" s="597">
        <v>1</v>
      </c>
      <c r="D291" s="635">
        <v>1</v>
      </c>
      <c r="E291" s="635">
        <v>1</v>
      </c>
      <c r="F291" s="635">
        <v>1</v>
      </c>
      <c r="G291" s="635">
        <v>1</v>
      </c>
      <c r="H291" s="635">
        <v>1</v>
      </c>
      <c r="I291" s="635">
        <v>1</v>
      </c>
      <c r="J291" s="635">
        <v>1</v>
      </c>
      <c r="K291" s="635">
        <v>1</v>
      </c>
      <c r="L291" s="635">
        <v>1</v>
      </c>
      <c r="M291" s="635">
        <v>1</v>
      </c>
      <c r="N291" s="640">
        <v>1</v>
      </c>
      <c r="O291" s="640">
        <v>1</v>
      </c>
    </row>
    <row r="292" s="597" customFormat="1" spans="1:15">
      <c r="A292" s="618"/>
      <c r="B292" s="526" t="s">
        <v>692</v>
      </c>
      <c r="C292" s="597">
        <v>0.8</v>
      </c>
      <c r="D292" s="635">
        <v>0.8</v>
      </c>
      <c r="E292" s="635">
        <v>0.8</v>
      </c>
      <c r="F292" s="635">
        <v>0.8</v>
      </c>
      <c r="G292" s="635">
        <v>0.8</v>
      </c>
      <c r="H292" s="635">
        <v>0.8</v>
      </c>
      <c r="I292" s="635">
        <v>0.8</v>
      </c>
      <c r="J292" s="635">
        <v>0.8</v>
      </c>
      <c r="K292" s="635">
        <v>0.8</v>
      </c>
      <c r="L292" s="635">
        <v>0.8</v>
      </c>
      <c r="M292" s="635">
        <v>0.8</v>
      </c>
      <c r="N292" s="640">
        <v>0.8</v>
      </c>
      <c r="O292" s="640">
        <v>0.8</v>
      </c>
    </row>
    <row r="293" s="597" customFormat="1" spans="1:15">
      <c r="A293" s="618"/>
      <c r="B293" s="526" t="s">
        <v>693</v>
      </c>
      <c r="C293" s="597">
        <v>1.05</v>
      </c>
      <c r="D293" s="635">
        <v>1.05</v>
      </c>
      <c r="E293" s="635">
        <v>1.05</v>
      </c>
      <c r="F293" s="635">
        <v>1.05</v>
      </c>
      <c r="G293" s="635">
        <v>1.05</v>
      </c>
      <c r="H293" s="635">
        <v>1.05</v>
      </c>
      <c r="I293" s="635">
        <v>1.05</v>
      </c>
      <c r="J293" s="635">
        <v>1.05</v>
      </c>
      <c r="K293" s="635">
        <v>1.05</v>
      </c>
      <c r="L293" s="635">
        <v>1.05</v>
      </c>
      <c r="M293" s="635">
        <v>1.05</v>
      </c>
      <c r="N293" s="640">
        <v>1.05</v>
      </c>
      <c r="O293" s="640">
        <v>1.05</v>
      </c>
    </row>
    <row r="294" s="597" customFormat="1" spans="1:15">
      <c r="A294" s="618"/>
      <c r="B294" s="526" t="s">
        <v>694</v>
      </c>
      <c r="C294" s="597">
        <v>1.3</v>
      </c>
      <c r="D294" s="635">
        <v>1.3</v>
      </c>
      <c r="E294" s="635">
        <v>1.3</v>
      </c>
      <c r="F294" s="635">
        <v>1.3</v>
      </c>
      <c r="G294" s="635">
        <v>1.3</v>
      </c>
      <c r="H294" s="635">
        <v>1.3</v>
      </c>
      <c r="I294" s="635">
        <v>1.3</v>
      </c>
      <c r="J294" s="635">
        <v>1.3</v>
      </c>
      <c r="K294" s="635">
        <v>1.3</v>
      </c>
      <c r="L294" s="635">
        <v>1.3</v>
      </c>
      <c r="M294" s="635">
        <v>1.3</v>
      </c>
      <c r="N294" s="640">
        <v>1.3</v>
      </c>
      <c r="O294" s="640">
        <v>1.3</v>
      </c>
    </row>
    <row r="295" s="597" customFormat="1" spans="1:15">
      <c r="A295" s="618"/>
      <c r="B295" s="526" t="s">
        <v>695</v>
      </c>
      <c r="C295" s="597">
        <v>0</v>
      </c>
      <c r="D295" s="635">
        <v>0</v>
      </c>
      <c r="E295" s="635">
        <v>0</v>
      </c>
      <c r="F295" s="635">
        <v>0</v>
      </c>
      <c r="G295" s="635">
        <v>0</v>
      </c>
      <c r="H295" s="635">
        <v>0</v>
      </c>
      <c r="I295" s="635">
        <v>0</v>
      </c>
      <c r="J295" s="635">
        <v>0</v>
      </c>
      <c r="K295" s="635">
        <v>0</v>
      </c>
      <c r="L295" s="635">
        <v>0</v>
      </c>
      <c r="M295" s="635">
        <v>0</v>
      </c>
      <c r="N295" s="640">
        <v>0</v>
      </c>
      <c r="O295" s="640">
        <v>0</v>
      </c>
    </row>
    <row r="296" s="597" customFormat="1" spans="1:15">
      <c r="A296" s="618"/>
      <c r="B296" s="526" t="s">
        <v>696</v>
      </c>
      <c r="C296" s="597">
        <v>0</v>
      </c>
      <c r="D296" s="635">
        <v>0</v>
      </c>
      <c r="E296" s="635">
        <v>0</v>
      </c>
      <c r="F296" s="635">
        <v>0</v>
      </c>
      <c r="G296" s="635">
        <v>0</v>
      </c>
      <c r="H296" s="635">
        <v>0</v>
      </c>
      <c r="I296" s="635">
        <v>0</v>
      </c>
      <c r="J296" s="635">
        <v>0</v>
      </c>
      <c r="K296" s="635">
        <v>0</v>
      </c>
      <c r="L296" s="635">
        <v>0</v>
      </c>
      <c r="M296" s="635">
        <v>0</v>
      </c>
      <c r="N296" s="640">
        <v>0</v>
      </c>
      <c r="O296" s="640">
        <v>0</v>
      </c>
    </row>
    <row r="297" s="597" customFormat="1" spans="1:15">
      <c r="A297" s="618"/>
      <c r="B297" s="526" t="s">
        <v>697</v>
      </c>
      <c r="C297" s="597" t="s">
        <v>221</v>
      </c>
      <c r="D297" s="635" t="s">
        <v>221</v>
      </c>
      <c r="E297" s="635" t="s">
        <v>221</v>
      </c>
      <c r="F297" s="635" t="s">
        <v>221</v>
      </c>
      <c r="G297" s="635" t="s">
        <v>221</v>
      </c>
      <c r="H297" s="635" t="s">
        <v>221</v>
      </c>
      <c r="I297" s="635" t="s">
        <v>221</v>
      </c>
      <c r="J297" s="635" t="s">
        <v>221</v>
      </c>
      <c r="K297" s="635" t="s">
        <v>221</v>
      </c>
      <c r="L297" s="635" t="s">
        <v>221</v>
      </c>
      <c r="M297" s="635" t="s">
        <v>221</v>
      </c>
      <c r="N297" s="640" t="s">
        <v>221</v>
      </c>
      <c r="O297" s="640" t="s">
        <v>221</v>
      </c>
    </row>
    <row r="298" s="597" customFormat="1" spans="1:15">
      <c r="A298" s="618"/>
      <c r="B298" s="526" t="s">
        <v>698</v>
      </c>
      <c r="C298" s="597" t="s">
        <v>229</v>
      </c>
      <c r="D298" s="635" t="s">
        <v>229</v>
      </c>
      <c r="E298" s="635" t="s">
        <v>229</v>
      </c>
      <c r="F298" s="635" t="s">
        <v>229</v>
      </c>
      <c r="G298" s="635" t="s">
        <v>229</v>
      </c>
      <c r="H298" s="635" t="s">
        <v>229</v>
      </c>
      <c r="I298" s="635" t="s">
        <v>229</v>
      </c>
      <c r="J298" s="635" t="s">
        <v>229</v>
      </c>
      <c r="K298" s="635" t="s">
        <v>229</v>
      </c>
      <c r="L298" s="635" t="s">
        <v>229</v>
      </c>
      <c r="M298" s="635" t="s">
        <v>229</v>
      </c>
      <c r="N298" s="640" t="s">
        <v>229</v>
      </c>
      <c r="O298" s="640" t="s">
        <v>229</v>
      </c>
    </row>
    <row r="299" s="597" customFormat="1" spans="1:15">
      <c r="A299" s="618"/>
      <c r="B299" s="526" t="s">
        <v>699</v>
      </c>
      <c r="C299" s="597">
        <v>0.5</v>
      </c>
      <c r="D299" s="662">
        <v>0.37</v>
      </c>
      <c r="E299" s="663">
        <v>0.37</v>
      </c>
      <c r="F299" s="663">
        <v>0.37</v>
      </c>
      <c r="G299" s="662">
        <v>0.37</v>
      </c>
      <c r="H299" s="662">
        <v>0.37</v>
      </c>
      <c r="I299" s="663">
        <v>0.37</v>
      </c>
      <c r="J299" s="663">
        <v>0.37</v>
      </c>
      <c r="K299" s="662">
        <v>0.37</v>
      </c>
      <c r="L299" s="662">
        <v>0.37</v>
      </c>
      <c r="M299" s="662">
        <v>0.37</v>
      </c>
      <c r="N299" s="666">
        <v>0.37</v>
      </c>
      <c r="O299" s="666">
        <v>0.37</v>
      </c>
    </row>
    <row r="300" s="597" customFormat="1" spans="1:15">
      <c r="A300" s="618"/>
      <c r="B300" s="526" t="s">
        <v>700</v>
      </c>
      <c r="C300" s="597">
        <v>0.3</v>
      </c>
      <c r="D300" s="662">
        <v>0.24</v>
      </c>
      <c r="E300" s="663">
        <v>0.24</v>
      </c>
      <c r="F300" s="663">
        <v>0.24</v>
      </c>
      <c r="G300" s="662">
        <v>0.24</v>
      </c>
      <c r="H300" s="662">
        <v>0.24</v>
      </c>
      <c r="I300" s="663">
        <v>0.24</v>
      </c>
      <c r="J300" s="663">
        <v>0.24</v>
      </c>
      <c r="K300" s="662">
        <v>0.24</v>
      </c>
      <c r="L300" s="667">
        <v>0.2</v>
      </c>
      <c r="M300" s="667">
        <v>0.2</v>
      </c>
      <c r="N300" s="641">
        <v>0.2</v>
      </c>
      <c r="O300" s="641">
        <v>0.2</v>
      </c>
    </row>
    <row r="301" s="597" customFormat="1" spans="1:15">
      <c r="A301" s="618"/>
      <c r="B301" s="526" t="s">
        <v>701</v>
      </c>
      <c r="C301" s="597">
        <v>0.3</v>
      </c>
      <c r="D301" s="662">
        <v>0.33</v>
      </c>
      <c r="E301" s="663">
        <v>0.33</v>
      </c>
      <c r="F301" s="663">
        <v>0.33</v>
      </c>
      <c r="G301" s="662">
        <v>0.33</v>
      </c>
      <c r="H301" s="662">
        <v>0.33</v>
      </c>
      <c r="I301" s="663">
        <v>0.33</v>
      </c>
      <c r="J301" s="663">
        <v>0.33</v>
      </c>
      <c r="K301" s="662">
        <v>0.33</v>
      </c>
      <c r="L301" s="667">
        <v>0.26</v>
      </c>
      <c r="M301" s="667">
        <v>0.26</v>
      </c>
      <c r="N301" s="641">
        <v>0.26</v>
      </c>
      <c r="O301" s="641">
        <v>0.26</v>
      </c>
    </row>
    <row r="302" s="597" customFormat="1" spans="1:15">
      <c r="A302" s="618"/>
      <c r="B302" s="526" t="s">
        <v>702</v>
      </c>
      <c r="C302" s="632">
        <v>3.5</v>
      </c>
      <c r="D302" s="664">
        <v>5.49</v>
      </c>
      <c r="E302" s="647">
        <v>5.49</v>
      </c>
      <c r="F302" s="647">
        <v>5.49</v>
      </c>
      <c r="G302" s="664">
        <v>5.49</v>
      </c>
      <c r="H302" s="664">
        <v>5.49</v>
      </c>
      <c r="I302" s="647">
        <v>5.49</v>
      </c>
      <c r="J302" s="647">
        <v>5.49</v>
      </c>
      <c r="K302" s="664">
        <v>5.49</v>
      </c>
      <c r="L302" s="664">
        <v>5.49</v>
      </c>
      <c r="M302" s="664">
        <v>5.49</v>
      </c>
      <c r="N302" s="666">
        <v>5.49</v>
      </c>
      <c r="O302" s="666">
        <v>5.49</v>
      </c>
    </row>
    <row r="303" s="597" customFormat="1" spans="1:15">
      <c r="A303" s="618"/>
      <c r="B303" s="526" t="s">
        <v>703</v>
      </c>
      <c r="C303" s="597">
        <v>1</v>
      </c>
      <c r="D303" s="635">
        <v>1</v>
      </c>
      <c r="E303" s="635">
        <v>1</v>
      </c>
      <c r="F303" s="635">
        <v>1</v>
      </c>
      <c r="G303" s="635">
        <v>1</v>
      </c>
      <c r="H303" s="635">
        <v>1</v>
      </c>
      <c r="I303" s="635">
        <v>1</v>
      </c>
      <c r="J303" s="635">
        <v>1</v>
      </c>
      <c r="K303" s="635">
        <v>1</v>
      </c>
      <c r="L303" s="635">
        <v>1</v>
      </c>
      <c r="M303" s="635">
        <v>1</v>
      </c>
      <c r="N303" s="640">
        <v>1</v>
      </c>
      <c r="O303" s="640">
        <v>1</v>
      </c>
    </row>
    <row r="304" s="597" customFormat="1" spans="1:15">
      <c r="A304" s="618"/>
      <c r="B304" s="526" t="s">
        <v>704</v>
      </c>
      <c r="C304" s="597">
        <v>0.8</v>
      </c>
      <c r="D304" s="635">
        <v>0.8</v>
      </c>
      <c r="E304" s="635">
        <v>0.8</v>
      </c>
      <c r="F304" s="635">
        <v>0.8</v>
      </c>
      <c r="G304" s="665">
        <v>0.5</v>
      </c>
      <c r="H304" s="665">
        <v>0.5</v>
      </c>
      <c r="I304" s="665">
        <v>0.5</v>
      </c>
      <c r="J304" s="665">
        <v>0.5</v>
      </c>
      <c r="K304" s="665">
        <v>0.5</v>
      </c>
      <c r="L304" s="665">
        <v>0.5</v>
      </c>
      <c r="M304" s="665">
        <v>0.5</v>
      </c>
      <c r="N304" s="668">
        <v>0.5</v>
      </c>
      <c r="O304" s="668">
        <v>0.5</v>
      </c>
    </row>
    <row r="305" s="597" customFormat="1" spans="1:15">
      <c r="A305" s="618"/>
      <c r="B305" s="526" t="s">
        <v>705</v>
      </c>
      <c r="C305" s="597">
        <v>1.05</v>
      </c>
      <c r="D305" s="635">
        <v>1.05</v>
      </c>
      <c r="E305" s="635">
        <v>1.05</v>
      </c>
      <c r="F305" s="635">
        <v>1.05</v>
      </c>
      <c r="G305" s="635">
        <v>1.05</v>
      </c>
      <c r="H305" s="635">
        <v>1.05</v>
      </c>
      <c r="I305" s="635">
        <v>1.05</v>
      </c>
      <c r="J305" s="635">
        <v>1.05</v>
      </c>
      <c r="K305" s="635">
        <v>1.05</v>
      </c>
      <c r="L305" s="635">
        <v>1.05</v>
      </c>
      <c r="M305" s="635">
        <v>1.05</v>
      </c>
      <c r="N305" s="640">
        <v>1.05</v>
      </c>
      <c r="O305" s="640">
        <v>1.05</v>
      </c>
    </row>
    <row r="306" s="597" customFormat="1" spans="1:15">
      <c r="A306" s="618"/>
      <c r="B306" s="526" t="s">
        <v>706</v>
      </c>
      <c r="C306" s="597">
        <v>1.3</v>
      </c>
      <c r="D306" s="635">
        <v>1.3</v>
      </c>
      <c r="E306" s="635">
        <v>1.3</v>
      </c>
      <c r="F306" s="635">
        <v>1.3</v>
      </c>
      <c r="G306" s="635">
        <v>1.3</v>
      </c>
      <c r="H306" s="635">
        <v>1.3</v>
      </c>
      <c r="I306" s="635">
        <v>1.3</v>
      </c>
      <c r="J306" s="635">
        <v>1.3</v>
      </c>
      <c r="K306" s="635">
        <v>1.3</v>
      </c>
      <c r="L306" s="635">
        <v>1.3</v>
      </c>
      <c r="M306" s="635">
        <v>1.3</v>
      </c>
      <c r="N306" s="640">
        <v>1.3</v>
      </c>
      <c r="O306" s="640">
        <v>1.3</v>
      </c>
    </row>
    <row r="307" s="597" customFormat="1" spans="1:15">
      <c r="A307" s="618"/>
      <c r="B307" s="526" t="s">
        <v>707</v>
      </c>
      <c r="C307" s="597">
        <v>0</v>
      </c>
      <c r="D307" s="635">
        <v>0</v>
      </c>
      <c r="E307" s="635">
        <v>0</v>
      </c>
      <c r="F307" s="635">
        <v>0</v>
      </c>
      <c r="G307" s="635">
        <v>0</v>
      </c>
      <c r="H307" s="635">
        <v>0</v>
      </c>
      <c r="I307" s="635">
        <v>0</v>
      </c>
      <c r="J307" s="635">
        <v>0</v>
      </c>
      <c r="K307" s="635">
        <v>0</v>
      </c>
      <c r="L307" s="635">
        <v>0</v>
      </c>
      <c r="M307" s="635">
        <v>0</v>
      </c>
      <c r="N307" s="640">
        <v>0</v>
      </c>
      <c r="O307" s="640">
        <v>0</v>
      </c>
    </row>
    <row r="308" s="597" customFormat="1" spans="1:15">
      <c r="A308" s="618"/>
      <c r="B308" s="526" t="s">
        <v>708</v>
      </c>
      <c r="C308" s="597">
        <v>0</v>
      </c>
      <c r="D308" s="635">
        <v>0</v>
      </c>
      <c r="E308" s="635">
        <v>0</v>
      </c>
      <c r="F308" s="635">
        <v>0</v>
      </c>
      <c r="G308" s="635">
        <v>0</v>
      </c>
      <c r="H308" s="635">
        <v>0</v>
      </c>
      <c r="I308" s="635">
        <v>0</v>
      </c>
      <c r="J308" s="635">
        <v>0</v>
      </c>
      <c r="K308" s="635">
        <v>0</v>
      </c>
      <c r="L308" s="635">
        <v>0</v>
      </c>
      <c r="M308" s="635">
        <v>0</v>
      </c>
      <c r="N308" s="640">
        <v>0</v>
      </c>
      <c r="O308" s="640">
        <v>0</v>
      </c>
    </row>
    <row r="309" s="597" customFormat="1" spans="1:15">
      <c r="A309" s="618"/>
      <c r="B309" s="526" t="s">
        <v>709</v>
      </c>
      <c r="C309" s="597" t="s">
        <v>221</v>
      </c>
      <c r="D309" s="635" t="s">
        <v>221</v>
      </c>
      <c r="E309" s="635" t="s">
        <v>221</v>
      </c>
      <c r="F309" s="635" t="s">
        <v>221</v>
      </c>
      <c r="G309" s="635" t="s">
        <v>221</v>
      </c>
      <c r="H309" s="635" t="s">
        <v>221</v>
      </c>
      <c r="I309" s="635" t="s">
        <v>221</v>
      </c>
      <c r="J309" s="635" t="s">
        <v>221</v>
      </c>
      <c r="K309" s="635" t="s">
        <v>221</v>
      </c>
      <c r="L309" s="635" t="s">
        <v>221</v>
      </c>
      <c r="M309" s="635" t="s">
        <v>221</v>
      </c>
      <c r="N309" s="640" t="s">
        <v>221</v>
      </c>
      <c r="O309" s="640" t="s">
        <v>221</v>
      </c>
    </row>
    <row r="310" s="597" customFormat="1" spans="1:15">
      <c r="A310" s="618"/>
      <c r="B310" s="526" t="s">
        <v>710</v>
      </c>
      <c r="C310" s="597" t="s">
        <v>233</v>
      </c>
      <c r="D310" s="635" t="s">
        <v>233</v>
      </c>
      <c r="E310" s="635" t="s">
        <v>233</v>
      </c>
      <c r="F310" s="635" t="s">
        <v>233</v>
      </c>
      <c r="G310" s="635" t="s">
        <v>233</v>
      </c>
      <c r="H310" s="635" t="s">
        <v>233</v>
      </c>
      <c r="I310" s="635" t="s">
        <v>233</v>
      </c>
      <c r="J310" s="635" t="s">
        <v>233</v>
      </c>
      <c r="K310" s="635" t="s">
        <v>233</v>
      </c>
      <c r="L310" s="635" t="s">
        <v>233</v>
      </c>
      <c r="M310" s="635" t="s">
        <v>233</v>
      </c>
      <c r="N310" s="640" t="s">
        <v>233</v>
      </c>
      <c r="O310" s="640" t="s">
        <v>233</v>
      </c>
    </row>
    <row r="311" s="597" customFormat="1" spans="1:15">
      <c r="A311" s="618"/>
      <c r="B311" s="526" t="s">
        <v>711</v>
      </c>
      <c r="C311" s="597">
        <v>0.5</v>
      </c>
      <c r="D311" s="662">
        <v>0.38</v>
      </c>
      <c r="E311" s="663">
        <v>0.38</v>
      </c>
      <c r="F311" s="663">
        <v>0.38</v>
      </c>
      <c r="G311" s="662">
        <v>0.38</v>
      </c>
      <c r="H311" s="662">
        <v>0.38</v>
      </c>
      <c r="I311" s="663">
        <v>0.38</v>
      </c>
      <c r="J311" s="663">
        <v>0.38</v>
      </c>
      <c r="K311" s="662">
        <v>0.38</v>
      </c>
      <c r="L311" s="662">
        <v>0.38</v>
      </c>
      <c r="M311" s="662">
        <v>0.38</v>
      </c>
      <c r="N311" s="666">
        <v>0.38</v>
      </c>
      <c r="O311" s="666">
        <v>0.38</v>
      </c>
    </row>
    <row r="312" s="597" customFormat="1" spans="1:15">
      <c r="A312" s="618"/>
      <c r="B312" s="526" t="s">
        <v>712</v>
      </c>
      <c r="C312" s="597">
        <v>0.3</v>
      </c>
      <c r="D312" s="662">
        <v>0.24</v>
      </c>
      <c r="E312" s="663">
        <v>0.24</v>
      </c>
      <c r="F312" s="663">
        <v>0.24</v>
      </c>
      <c r="G312" s="662">
        <v>0.24</v>
      </c>
      <c r="H312" s="662">
        <v>0.24</v>
      </c>
      <c r="I312" s="663">
        <v>0.24</v>
      </c>
      <c r="J312" s="663">
        <v>0.24</v>
      </c>
      <c r="K312" s="662">
        <v>0.24</v>
      </c>
      <c r="L312" s="667">
        <v>0.2</v>
      </c>
      <c r="M312" s="667">
        <v>0.2</v>
      </c>
      <c r="N312" s="641">
        <v>0.2</v>
      </c>
      <c r="O312" s="641">
        <v>0.2</v>
      </c>
    </row>
    <row r="313" s="597" customFormat="1" spans="1:15">
      <c r="A313" s="618"/>
      <c r="B313" s="526" t="s">
        <v>713</v>
      </c>
      <c r="C313" s="597">
        <v>0.3</v>
      </c>
      <c r="D313" s="662">
        <v>0.33</v>
      </c>
      <c r="E313" s="663">
        <v>0.33</v>
      </c>
      <c r="F313" s="663">
        <v>0.33</v>
      </c>
      <c r="G313" s="662">
        <v>0.33</v>
      </c>
      <c r="H313" s="662">
        <v>0.33</v>
      </c>
      <c r="I313" s="663">
        <v>0.33</v>
      </c>
      <c r="J313" s="663">
        <v>0.33</v>
      </c>
      <c r="K313" s="662">
        <v>0.33</v>
      </c>
      <c r="L313" s="667">
        <v>0.26</v>
      </c>
      <c r="M313" s="667">
        <v>0.26</v>
      </c>
      <c r="N313" s="641">
        <v>0.26</v>
      </c>
      <c r="O313" s="641">
        <v>0.26</v>
      </c>
    </row>
    <row r="314" s="597" customFormat="1" spans="1:15">
      <c r="A314" s="618"/>
      <c r="B314" s="526" t="s">
        <v>714</v>
      </c>
      <c r="C314" s="632">
        <v>3.5</v>
      </c>
      <c r="D314" s="664">
        <v>6.99</v>
      </c>
      <c r="E314" s="647">
        <v>6.99</v>
      </c>
      <c r="F314" s="647">
        <v>6.99</v>
      </c>
      <c r="G314" s="664">
        <v>6.99</v>
      </c>
      <c r="H314" s="664">
        <v>6.99</v>
      </c>
      <c r="I314" s="647">
        <v>6.99</v>
      </c>
      <c r="J314" s="647">
        <v>6.99</v>
      </c>
      <c r="K314" s="664">
        <v>6.99</v>
      </c>
      <c r="L314" s="664">
        <v>6.99</v>
      </c>
      <c r="M314" s="664">
        <v>6.99</v>
      </c>
      <c r="N314" s="666">
        <v>6.99</v>
      </c>
      <c r="O314" s="666">
        <v>6.99</v>
      </c>
    </row>
    <row r="315" s="597" customFormat="1" spans="1:15">
      <c r="A315" s="618"/>
      <c r="B315" s="526" t="s">
        <v>715</v>
      </c>
      <c r="C315" s="597">
        <v>1</v>
      </c>
      <c r="D315" s="635">
        <v>1</v>
      </c>
      <c r="E315" s="635">
        <v>1</v>
      </c>
      <c r="F315" s="635">
        <v>1</v>
      </c>
      <c r="G315" s="635">
        <v>1</v>
      </c>
      <c r="H315" s="635">
        <v>1</v>
      </c>
      <c r="I315" s="635">
        <v>1</v>
      </c>
      <c r="J315" s="635">
        <v>1</v>
      </c>
      <c r="K315" s="635">
        <v>1</v>
      </c>
      <c r="L315" s="635">
        <v>1</v>
      </c>
      <c r="M315" s="635">
        <v>1</v>
      </c>
      <c r="N315" s="640">
        <v>1</v>
      </c>
      <c r="O315" s="640">
        <v>1</v>
      </c>
    </row>
    <row r="316" s="597" customFormat="1" spans="1:15">
      <c r="A316" s="618"/>
      <c r="B316" s="526" t="s">
        <v>716</v>
      </c>
      <c r="C316" s="597">
        <v>0.8</v>
      </c>
      <c r="D316" s="635">
        <v>0.8</v>
      </c>
      <c r="E316" s="635">
        <v>0.8</v>
      </c>
      <c r="F316" s="635">
        <v>0.8</v>
      </c>
      <c r="G316" s="665">
        <v>0.55</v>
      </c>
      <c r="H316" s="665">
        <v>0.55</v>
      </c>
      <c r="I316" s="665">
        <v>0.55</v>
      </c>
      <c r="J316" s="665">
        <v>0.55</v>
      </c>
      <c r="K316" s="665">
        <v>0.55</v>
      </c>
      <c r="L316" s="665">
        <v>0.55</v>
      </c>
      <c r="M316" s="665">
        <v>0.55</v>
      </c>
      <c r="N316" s="668">
        <v>0.55</v>
      </c>
      <c r="O316" s="668">
        <v>0.55</v>
      </c>
    </row>
    <row r="317" s="597" customFormat="1" spans="1:15">
      <c r="A317" s="618"/>
      <c r="B317" s="526" t="s">
        <v>717</v>
      </c>
      <c r="C317" s="597">
        <v>1.05</v>
      </c>
      <c r="D317" s="635">
        <v>1.05</v>
      </c>
      <c r="E317" s="635">
        <v>1.05</v>
      </c>
      <c r="F317" s="635">
        <v>1.05</v>
      </c>
      <c r="G317" s="635">
        <v>1.05</v>
      </c>
      <c r="H317" s="635">
        <v>1.05</v>
      </c>
      <c r="I317" s="635">
        <v>1.05</v>
      </c>
      <c r="J317" s="635">
        <v>1.05</v>
      </c>
      <c r="K317" s="635">
        <v>1.05</v>
      </c>
      <c r="L317" s="635">
        <v>1.05</v>
      </c>
      <c r="M317" s="635">
        <v>1.05</v>
      </c>
      <c r="N317" s="640">
        <v>1.05</v>
      </c>
      <c r="O317" s="640">
        <v>1.05</v>
      </c>
    </row>
    <row r="318" s="597" customFormat="1" spans="1:15">
      <c r="A318" s="618"/>
      <c r="B318" s="526" t="s">
        <v>718</v>
      </c>
      <c r="C318" s="597">
        <v>1.3</v>
      </c>
      <c r="D318" s="635">
        <v>1.3</v>
      </c>
      <c r="E318" s="635">
        <v>1.3</v>
      </c>
      <c r="F318" s="635">
        <v>1.3</v>
      </c>
      <c r="G318" s="635">
        <v>1.3</v>
      </c>
      <c r="H318" s="635">
        <v>1.3</v>
      </c>
      <c r="I318" s="635">
        <v>1.3</v>
      </c>
      <c r="J318" s="635">
        <v>1.3</v>
      </c>
      <c r="K318" s="635">
        <v>1.3</v>
      </c>
      <c r="L318" s="635">
        <v>1.3</v>
      </c>
      <c r="M318" s="635">
        <v>1.3</v>
      </c>
      <c r="N318" s="640">
        <v>1.3</v>
      </c>
      <c r="O318" s="640">
        <v>1.3</v>
      </c>
    </row>
    <row r="319" s="597" customFormat="1" spans="1:15">
      <c r="A319" s="618"/>
      <c r="B319" s="526" t="s">
        <v>719</v>
      </c>
      <c r="C319" s="597">
        <v>0</v>
      </c>
      <c r="D319" s="635">
        <v>0</v>
      </c>
      <c r="E319" s="635">
        <v>0</v>
      </c>
      <c r="F319" s="635">
        <v>0</v>
      </c>
      <c r="G319" s="635">
        <v>0</v>
      </c>
      <c r="H319" s="635">
        <v>0</v>
      </c>
      <c r="I319" s="635">
        <v>0</v>
      </c>
      <c r="J319" s="635">
        <v>0</v>
      </c>
      <c r="K319" s="635">
        <v>0</v>
      </c>
      <c r="L319" s="635">
        <v>0</v>
      </c>
      <c r="M319" s="635">
        <v>0</v>
      </c>
      <c r="N319" s="640">
        <v>0</v>
      </c>
      <c r="O319" s="640">
        <v>0</v>
      </c>
    </row>
    <row r="320" s="597" customFormat="1" spans="1:15">
      <c r="A320" s="618"/>
      <c r="B320" s="526" t="s">
        <v>720</v>
      </c>
      <c r="C320" s="597">
        <v>0</v>
      </c>
      <c r="D320" s="635">
        <v>0</v>
      </c>
      <c r="E320" s="635">
        <v>0</v>
      </c>
      <c r="F320" s="635">
        <v>0</v>
      </c>
      <c r="G320" s="635">
        <v>0</v>
      </c>
      <c r="H320" s="635">
        <v>0</v>
      </c>
      <c r="I320" s="635">
        <v>0</v>
      </c>
      <c r="J320" s="635">
        <v>0</v>
      </c>
      <c r="K320" s="635">
        <v>0</v>
      </c>
      <c r="L320" s="635">
        <v>0</v>
      </c>
      <c r="M320" s="635">
        <v>0</v>
      </c>
      <c r="N320" s="640">
        <v>0</v>
      </c>
      <c r="O320" s="640">
        <v>0</v>
      </c>
    </row>
    <row r="321" s="597" customFormat="1" spans="1:15">
      <c r="A321" s="618"/>
      <c r="B321" s="526" t="s">
        <v>721</v>
      </c>
      <c r="C321" s="597" t="s">
        <v>221</v>
      </c>
      <c r="D321" s="635" t="s">
        <v>221</v>
      </c>
      <c r="E321" s="635" t="s">
        <v>221</v>
      </c>
      <c r="F321" s="635" t="s">
        <v>221</v>
      </c>
      <c r="G321" s="635" t="s">
        <v>221</v>
      </c>
      <c r="H321" s="635" t="s">
        <v>221</v>
      </c>
      <c r="I321" s="635" t="s">
        <v>221</v>
      </c>
      <c r="J321" s="635" t="s">
        <v>221</v>
      </c>
      <c r="K321" s="635" t="s">
        <v>221</v>
      </c>
      <c r="L321" s="635" t="s">
        <v>221</v>
      </c>
      <c r="M321" s="635" t="s">
        <v>221</v>
      </c>
      <c r="N321" s="640" t="s">
        <v>221</v>
      </c>
      <c r="O321" s="640" t="s">
        <v>221</v>
      </c>
    </row>
    <row r="322" s="597" customFormat="1" spans="1:15">
      <c r="A322" s="618"/>
      <c r="B322" s="526" t="s">
        <v>722</v>
      </c>
      <c r="C322" s="597" t="s">
        <v>237</v>
      </c>
      <c r="D322" s="635" t="s">
        <v>237</v>
      </c>
      <c r="E322" s="635" t="s">
        <v>237</v>
      </c>
      <c r="F322" s="635" t="s">
        <v>237</v>
      </c>
      <c r="G322" s="635" t="s">
        <v>237</v>
      </c>
      <c r="H322" s="635" t="s">
        <v>237</v>
      </c>
      <c r="I322" s="635" t="s">
        <v>237</v>
      </c>
      <c r="J322" s="635" t="s">
        <v>237</v>
      </c>
      <c r="K322" s="635" t="s">
        <v>237</v>
      </c>
      <c r="L322" s="635" t="s">
        <v>237</v>
      </c>
      <c r="M322" s="635" t="s">
        <v>237</v>
      </c>
      <c r="N322" s="640" t="s">
        <v>237</v>
      </c>
      <c r="O322" s="640" t="s">
        <v>237</v>
      </c>
    </row>
    <row r="323" s="597" customFormat="1" spans="1:15">
      <c r="A323" s="618"/>
      <c r="B323" s="526" t="s">
        <v>723</v>
      </c>
      <c r="C323" s="597">
        <v>0.5</v>
      </c>
      <c r="D323" s="662">
        <v>0.37</v>
      </c>
      <c r="E323" s="663">
        <v>0.37</v>
      </c>
      <c r="F323" s="663">
        <v>0.37</v>
      </c>
      <c r="G323" s="662">
        <v>0.37</v>
      </c>
      <c r="H323" s="662">
        <v>0.37</v>
      </c>
      <c r="I323" s="663">
        <v>0.37</v>
      </c>
      <c r="J323" s="663">
        <v>0.37</v>
      </c>
      <c r="K323" s="662">
        <v>0.37</v>
      </c>
      <c r="L323" s="662">
        <v>0.37</v>
      </c>
      <c r="M323" s="662">
        <v>0.37</v>
      </c>
      <c r="N323" s="666">
        <v>0.37</v>
      </c>
      <c r="O323" s="666">
        <v>0.37</v>
      </c>
    </row>
    <row r="324" s="597" customFormat="1" spans="1:15">
      <c r="A324" s="618"/>
      <c r="B324" s="526" t="s">
        <v>724</v>
      </c>
      <c r="C324" s="597">
        <v>0.3</v>
      </c>
      <c r="D324" s="662">
        <v>0.24</v>
      </c>
      <c r="E324" s="663">
        <v>0.24</v>
      </c>
      <c r="F324" s="663">
        <v>0.24</v>
      </c>
      <c r="G324" s="662">
        <v>0.24</v>
      </c>
      <c r="H324" s="662">
        <v>0.24</v>
      </c>
      <c r="I324" s="663">
        <v>0.24</v>
      </c>
      <c r="J324" s="663">
        <v>0.24</v>
      </c>
      <c r="K324" s="662">
        <v>0.24</v>
      </c>
      <c r="L324" s="667">
        <v>0.2</v>
      </c>
      <c r="M324" s="667">
        <v>0.2</v>
      </c>
      <c r="N324" s="641">
        <v>0.2</v>
      </c>
      <c r="O324" s="641">
        <v>0.2</v>
      </c>
    </row>
    <row r="325" s="597" customFormat="1" spans="1:15">
      <c r="A325" s="618"/>
      <c r="B325" s="526" t="s">
        <v>725</v>
      </c>
      <c r="C325" s="597">
        <v>0.3</v>
      </c>
      <c r="D325" s="662">
        <v>0.33</v>
      </c>
      <c r="E325" s="663">
        <v>0.33</v>
      </c>
      <c r="F325" s="663">
        <v>0.33</v>
      </c>
      <c r="G325" s="662">
        <v>0.33</v>
      </c>
      <c r="H325" s="662">
        <v>0.33</v>
      </c>
      <c r="I325" s="663">
        <v>0.33</v>
      </c>
      <c r="J325" s="663">
        <v>0.33</v>
      </c>
      <c r="K325" s="662">
        <v>0.33</v>
      </c>
      <c r="L325" s="667">
        <v>0.26</v>
      </c>
      <c r="M325" s="667">
        <v>0.26</v>
      </c>
      <c r="N325" s="641">
        <v>0.26</v>
      </c>
      <c r="O325" s="641">
        <v>0.26</v>
      </c>
    </row>
    <row r="326" s="597" customFormat="1" spans="1:15">
      <c r="A326" s="618"/>
      <c r="B326" s="526" t="s">
        <v>726</v>
      </c>
      <c r="C326" s="632">
        <v>3.5</v>
      </c>
      <c r="D326" s="664">
        <v>5.99</v>
      </c>
      <c r="E326" s="647">
        <v>5.99</v>
      </c>
      <c r="F326" s="647">
        <v>5.99</v>
      </c>
      <c r="G326" s="664">
        <v>5.99</v>
      </c>
      <c r="H326" s="664">
        <v>5.99</v>
      </c>
      <c r="I326" s="647">
        <v>5.99</v>
      </c>
      <c r="J326" s="647">
        <v>5.99</v>
      </c>
      <c r="K326" s="664">
        <v>5.99</v>
      </c>
      <c r="L326" s="664">
        <v>5.99</v>
      </c>
      <c r="M326" s="664">
        <v>5.99</v>
      </c>
      <c r="N326" s="666">
        <v>5.99</v>
      </c>
      <c r="O326" s="666">
        <v>5.99</v>
      </c>
    </row>
    <row r="327" s="597" customFormat="1" spans="1:15">
      <c r="A327" s="618"/>
      <c r="B327" s="526" t="s">
        <v>727</v>
      </c>
      <c r="C327" s="597">
        <v>1</v>
      </c>
      <c r="D327" s="635">
        <v>1</v>
      </c>
      <c r="E327" s="635">
        <v>1</v>
      </c>
      <c r="F327" s="635">
        <v>1</v>
      </c>
      <c r="G327" s="635">
        <v>1</v>
      </c>
      <c r="H327" s="635">
        <v>1</v>
      </c>
      <c r="I327" s="635">
        <v>1</v>
      </c>
      <c r="J327" s="635">
        <v>1</v>
      </c>
      <c r="K327" s="635">
        <v>1</v>
      </c>
      <c r="L327" s="635">
        <v>1</v>
      </c>
      <c r="M327" s="635">
        <v>1</v>
      </c>
      <c r="N327" s="640">
        <v>1</v>
      </c>
      <c r="O327" s="640">
        <v>1</v>
      </c>
    </row>
    <row r="328" s="597" customFormat="1" spans="1:15">
      <c r="A328" s="618"/>
      <c r="B328" s="526" t="s">
        <v>728</v>
      </c>
      <c r="C328" s="597">
        <v>0.8</v>
      </c>
      <c r="D328" s="635">
        <v>0.8</v>
      </c>
      <c r="E328" s="635">
        <v>0.8</v>
      </c>
      <c r="F328" s="635">
        <v>0.8</v>
      </c>
      <c r="G328" s="665">
        <v>0.55</v>
      </c>
      <c r="H328" s="665">
        <v>0.55</v>
      </c>
      <c r="I328" s="665">
        <v>0.55</v>
      </c>
      <c r="J328" s="665">
        <v>0.55</v>
      </c>
      <c r="K328" s="665">
        <v>0.55</v>
      </c>
      <c r="L328" s="665">
        <v>0.55</v>
      </c>
      <c r="M328" s="665">
        <v>0.55</v>
      </c>
      <c r="N328" s="668">
        <v>0.55</v>
      </c>
      <c r="O328" s="668">
        <v>0.55</v>
      </c>
    </row>
    <row r="329" s="597" customFormat="1" spans="1:15">
      <c r="A329" s="618"/>
      <c r="B329" s="526" t="s">
        <v>729</v>
      </c>
      <c r="C329" s="597">
        <v>1.05</v>
      </c>
      <c r="D329" s="635">
        <v>1.05</v>
      </c>
      <c r="E329" s="635">
        <v>1.05</v>
      </c>
      <c r="F329" s="635">
        <v>1.05</v>
      </c>
      <c r="G329" s="635">
        <v>1.05</v>
      </c>
      <c r="H329" s="635">
        <v>1.05</v>
      </c>
      <c r="I329" s="635">
        <v>1.05</v>
      </c>
      <c r="J329" s="635">
        <v>1.05</v>
      </c>
      <c r="K329" s="635">
        <v>1.05</v>
      </c>
      <c r="L329" s="635">
        <v>1.05</v>
      </c>
      <c r="M329" s="635">
        <v>1.05</v>
      </c>
      <c r="N329" s="640">
        <v>1.05</v>
      </c>
      <c r="O329" s="640">
        <v>1.05</v>
      </c>
    </row>
    <row r="330" s="597" customFormat="1" spans="1:15">
      <c r="A330" s="618"/>
      <c r="B330" s="526" t="s">
        <v>730</v>
      </c>
      <c r="C330" s="597">
        <v>1.3</v>
      </c>
      <c r="D330" s="635">
        <v>1.3</v>
      </c>
      <c r="E330" s="635">
        <v>1.3</v>
      </c>
      <c r="F330" s="635">
        <v>1.3</v>
      </c>
      <c r="G330" s="635">
        <v>1.3</v>
      </c>
      <c r="H330" s="635">
        <v>1.3</v>
      </c>
      <c r="I330" s="635">
        <v>1.3</v>
      </c>
      <c r="J330" s="635">
        <v>1.3</v>
      </c>
      <c r="K330" s="635">
        <v>1.3</v>
      </c>
      <c r="L330" s="635">
        <v>1.3</v>
      </c>
      <c r="M330" s="635">
        <v>1.3</v>
      </c>
      <c r="N330" s="640">
        <v>1.3</v>
      </c>
      <c r="O330" s="640">
        <v>1.3</v>
      </c>
    </row>
    <row r="331" s="597" customFormat="1" spans="1:15">
      <c r="A331" s="618"/>
      <c r="B331" s="526" t="s">
        <v>731</v>
      </c>
      <c r="C331" s="597">
        <v>0</v>
      </c>
      <c r="D331" s="635">
        <v>0</v>
      </c>
      <c r="E331" s="635">
        <v>0</v>
      </c>
      <c r="F331" s="635">
        <v>0</v>
      </c>
      <c r="G331" s="635">
        <v>0</v>
      </c>
      <c r="H331" s="635">
        <v>0</v>
      </c>
      <c r="I331" s="635">
        <v>0</v>
      </c>
      <c r="J331" s="635">
        <v>0</v>
      </c>
      <c r="K331" s="635">
        <v>0</v>
      </c>
      <c r="L331" s="635">
        <v>0</v>
      </c>
      <c r="M331" s="635">
        <v>0</v>
      </c>
      <c r="N331" s="640">
        <v>0</v>
      </c>
      <c r="O331" s="640">
        <v>0</v>
      </c>
    </row>
    <row r="332" s="597" customFormat="1" spans="1:15">
      <c r="A332" s="618"/>
      <c r="B332" s="526" t="s">
        <v>732</v>
      </c>
      <c r="C332" s="597">
        <v>0</v>
      </c>
      <c r="D332" s="635">
        <v>0</v>
      </c>
      <c r="E332" s="635">
        <v>0</v>
      </c>
      <c r="F332" s="635">
        <v>0</v>
      </c>
      <c r="G332" s="635">
        <v>0</v>
      </c>
      <c r="H332" s="635">
        <v>0</v>
      </c>
      <c r="I332" s="635">
        <v>0</v>
      </c>
      <c r="J332" s="635">
        <v>0</v>
      </c>
      <c r="K332" s="635">
        <v>0</v>
      </c>
      <c r="L332" s="635">
        <v>0</v>
      </c>
      <c r="M332" s="635">
        <v>0</v>
      </c>
      <c r="N332" s="640">
        <v>0</v>
      </c>
      <c r="O332" s="640">
        <v>0</v>
      </c>
    </row>
    <row r="333" s="597" customFormat="1" spans="1:15">
      <c r="A333" s="618"/>
      <c r="B333" s="526" t="s">
        <v>733</v>
      </c>
      <c r="C333" s="597" t="s">
        <v>221</v>
      </c>
      <c r="D333" s="635" t="s">
        <v>221</v>
      </c>
      <c r="E333" s="635" t="s">
        <v>221</v>
      </c>
      <c r="F333" s="635" t="s">
        <v>221</v>
      </c>
      <c r="G333" s="635" t="s">
        <v>221</v>
      </c>
      <c r="H333" s="635" t="s">
        <v>221</v>
      </c>
      <c r="I333" s="635" t="s">
        <v>221</v>
      </c>
      <c r="J333" s="635" t="s">
        <v>221</v>
      </c>
      <c r="K333" s="635" t="s">
        <v>221</v>
      </c>
      <c r="L333" s="635" t="s">
        <v>221</v>
      </c>
      <c r="M333" s="635" t="s">
        <v>221</v>
      </c>
      <c r="N333" s="640" t="s">
        <v>221</v>
      </c>
      <c r="O333" s="640" t="s">
        <v>221</v>
      </c>
    </row>
    <row r="334" s="597" customFormat="1" spans="1:15">
      <c r="A334" s="618"/>
      <c r="B334" s="526" t="s">
        <v>734</v>
      </c>
      <c r="C334" s="597" t="s">
        <v>239</v>
      </c>
      <c r="D334" s="635" t="s">
        <v>239</v>
      </c>
      <c r="E334" s="635" t="s">
        <v>239</v>
      </c>
      <c r="F334" s="635" t="s">
        <v>239</v>
      </c>
      <c r="G334" s="635" t="s">
        <v>239</v>
      </c>
      <c r="H334" s="635" t="s">
        <v>239</v>
      </c>
      <c r="I334" s="635" t="s">
        <v>239</v>
      </c>
      <c r="J334" s="635" t="s">
        <v>239</v>
      </c>
      <c r="K334" s="635" t="s">
        <v>239</v>
      </c>
      <c r="L334" s="635" t="s">
        <v>239</v>
      </c>
      <c r="M334" s="635" t="s">
        <v>239</v>
      </c>
      <c r="N334" s="640" t="s">
        <v>239</v>
      </c>
      <c r="O334" s="640" t="s">
        <v>239</v>
      </c>
    </row>
    <row r="335" s="597" customFormat="1" spans="1:15">
      <c r="A335" s="618"/>
      <c r="B335" s="526" t="s">
        <v>735</v>
      </c>
      <c r="C335" s="597">
        <v>0.5</v>
      </c>
      <c r="D335" s="662">
        <v>0.37</v>
      </c>
      <c r="E335" s="663">
        <v>0.37</v>
      </c>
      <c r="F335" s="663">
        <v>0.37</v>
      </c>
      <c r="G335" s="662">
        <v>0.37</v>
      </c>
      <c r="H335" s="662">
        <v>0.37</v>
      </c>
      <c r="I335" s="663">
        <v>0.37</v>
      </c>
      <c r="J335" s="663">
        <v>0.37</v>
      </c>
      <c r="K335" s="662">
        <v>0.37</v>
      </c>
      <c r="L335" s="662">
        <v>0.37</v>
      </c>
      <c r="M335" s="662">
        <v>0.37</v>
      </c>
      <c r="N335" s="666">
        <v>0.37</v>
      </c>
      <c r="O335" s="666">
        <v>0.37</v>
      </c>
    </row>
    <row r="336" s="597" customFormat="1" spans="1:15">
      <c r="A336" s="618"/>
      <c r="B336" s="526" t="s">
        <v>736</v>
      </c>
      <c r="C336" s="597">
        <v>0.3</v>
      </c>
      <c r="D336" s="662">
        <v>0.24</v>
      </c>
      <c r="E336" s="663">
        <v>0.24</v>
      </c>
      <c r="F336" s="663">
        <v>0.24</v>
      </c>
      <c r="G336" s="662">
        <v>0.24</v>
      </c>
      <c r="H336" s="662">
        <v>0.24</v>
      </c>
      <c r="I336" s="663">
        <v>0.24</v>
      </c>
      <c r="J336" s="663">
        <v>0.24</v>
      </c>
      <c r="K336" s="662">
        <v>0.24</v>
      </c>
      <c r="L336" s="667">
        <v>0.2</v>
      </c>
      <c r="M336" s="667">
        <v>0.2</v>
      </c>
      <c r="N336" s="641">
        <v>0.2</v>
      </c>
      <c r="O336" s="641">
        <v>0.2</v>
      </c>
    </row>
    <row r="337" s="597" customFormat="1" spans="1:15">
      <c r="A337" s="618"/>
      <c r="B337" s="526" t="s">
        <v>737</v>
      </c>
      <c r="C337" s="597">
        <v>0.3</v>
      </c>
      <c r="D337" s="662">
        <v>0.33</v>
      </c>
      <c r="E337" s="663">
        <v>0.33</v>
      </c>
      <c r="F337" s="663">
        <v>0.33</v>
      </c>
      <c r="G337" s="662">
        <v>0.33</v>
      </c>
      <c r="H337" s="662">
        <v>0.33</v>
      </c>
      <c r="I337" s="663">
        <v>0.33</v>
      </c>
      <c r="J337" s="663">
        <v>0.33</v>
      </c>
      <c r="K337" s="662">
        <v>0.33</v>
      </c>
      <c r="L337" s="667">
        <v>0.26</v>
      </c>
      <c r="M337" s="667">
        <v>0.26</v>
      </c>
      <c r="N337" s="641">
        <v>0.26</v>
      </c>
      <c r="O337" s="641">
        <v>0.26</v>
      </c>
    </row>
    <row r="338" s="597" customFormat="1" spans="1:15">
      <c r="A338" s="618"/>
      <c r="B338" s="526" t="s">
        <v>738</v>
      </c>
      <c r="C338" s="632">
        <v>3.5</v>
      </c>
      <c r="D338" s="664">
        <v>5.99</v>
      </c>
      <c r="E338" s="647">
        <v>5.99</v>
      </c>
      <c r="F338" s="647">
        <v>5.99</v>
      </c>
      <c r="G338" s="664">
        <v>5.99</v>
      </c>
      <c r="H338" s="664">
        <v>5.99</v>
      </c>
      <c r="I338" s="647">
        <v>5.99</v>
      </c>
      <c r="J338" s="647">
        <v>5.99</v>
      </c>
      <c r="K338" s="664">
        <v>5.99</v>
      </c>
      <c r="L338" s="664">
        <v>5.99</v>
      </c>
      <c r="M338" s="664">
        <v>5.99</v>
      </c>
      <c r="N338" s="666">
        <v>5.99</v>
      </c>
      <c r="O338" s="666">
        <v>5.99</v>
      </c>
    </row>
    <row r="339" s="597" customFormat="1" spans="1:15">
      <c r="A339" s="618"/>
      <c r="B339" s="526" t="s">
        <v>739</v>
      </c>
      <c r="C339" s="597">
        <v>1</v>
      </c>
      <c r="D339" s="635">
        <v>1</v>
      </c>
      <c r="E339" s="635">
        <v>1</v>
      </c>
      <c r="F339" s="635">
        <v>1</v>
      </c>
      <c r="G339" s="635">
        <v>1</v>
      </c>
      <c r="H339" s="635">
        <v>1</v>
      </c>
      <c r="I339" s="635">
        <v>1</v>
      </c>
      <c r="J339" s="635">
        <v>1</v>
      </c>
      <c r="K339" s="635">
        <v>1</v>
      </c>
      <c r="L339" s="635">
        <v>1</v>
      </c>
      <c r="M339" s="635">
        <v>1</v>
      </c>
      <c r="N339" s="640">
        <v>1</v>
      </c>
      <c r="O339" s="640">
        <v>1</v>
      </c>
    </row>
    <row r="340" s="597" customFormat="1" spans="1:15">
      <c r="A340" s="618"/>
      <c r="B340" s="526" t="s">
        <v>740</v>
      </c>
      <c r="C340" s="597">
        <v>0.8</v>
      </c>
      <c r="D340" s="635">
        <v>0.8</v>
      </c>
      <c r="E340" s="635">
        <v>0.8</v>
      </c>
      <c r="F340" s="635">
        <v>0.8</v>
      </c>
      <c r="G340" s="665">
        <v>0.55</v>
      </c>
      <c r="H340" s="665">
        <v>0.55</v>
      </c>
      <c r="I340" s="665">
        <v>0.55</v>
      </c>
      <c r="J340" s="665">
        <v>0.55</v>
      </c>
      <c r="K340" s="665">
        <v>0.55</v>
      </c>
      <c r="L340" s="665">
        <v>0.55</v>
      </c>
      <c r="M340" s="665">
        <v>0.55</v>
      </c>
      <c r="N340" s="668">
        <v>0.55</v>
      </c>
      <c r="O340" s="668">
        <v>0.55</v>
      </c>
    </row>
    <row r="341" s="597" customFormat="1" spans="1:15">
      <c r="A341" s="618"/>
      <c r="B341" s="526" t="s">
        <v>741</v>
      </c>
      <c r="C341" s="597">
        <v>1.05</v>
      </c>
      <c r="D341" s="635">
        <v>1.05</v>
      </c>
      <c r="E341" s="635">
        <v>1.05</v>
      </c>
      <c r="F341" s="635">
        <v>1.05</v>
      </c>
      <c r="G341" s="635">
        <v>1.05</v>
      </c>
      <c r="H341" s="635">
        <v>1.05</v>
      </c>
      <c r="I341" s="635">
        <v>1.05</v>
      </c>
      <c r="J341" s="635">
        <v>1.05</v>
      </c>
      <c r="K341" s="635">
        <v>1.05</v>
      </c>
      <c r="L341" s="635">
        <v>1.05</v>
      </c>
      <c r="M341" s="635">
        <v>1.05</v>
      </c>
      <c r="N341" s="640">
        <v>1.05</v>
      </c>
      <c r="O341" s="640">
        <v>1.05</v>
      </c>
    </row>
    <row r="342" s="597" customFormat="1" spans="1:15">
      <c r="A342" s="618"/>
      <c r="B342" s="526" t="s">
        <v>742</v>
      </c>
      <c r="C342" s="597">
        <v>1.3</v>
      </c>
      <c r="D342" s="635">
        <v>1.3</v>
      </c>
      <c r="E342" s="635">
        <v>1.3</v>
      </c>
      <c r="F342" s="635">
        <v>1.3</v>
      </c>
      <c r="G342" s="635">
        <v>1.3</v>
      </c>
      <c r="H342" s="635">
        <v>1.3</v>
      </c>
      <c r="I342" s="635">
        <v>1.3</v>
      </c>
      <c r="J342" s="635">
        <v>1.3</v>
      </c>
      <c r="K342" s="635">
        <v>1.3</v>
      </c>
      <c r="L342" s="635">
        <v>1.3</v>
      </c>
      <c r="M342" s="635">
        <v>1.3</v>
      </c>
      <c r="N342" s="640">
        <v>1.3</v>
      </c>
      <c r="O342" s="640">
        <v>1.3</v>
      </c>
    </row>
    <row r="343" s="597" customFormat="1" spans="1:15">
      <c r="A343" s="618"/>
      <c r="B343" s="526" t="s">
        <v>743</v>
      </c>
      <c r="C343" s="597">
        <v>0</v>
      </c>
      <c r="D343" s="635">
        <v>0</v>
      </c>
      <c r="E343" s="635">
        <v>0</v>
      </c>
      <c r="F343" s="635">
        <v>0</v>
      </c>
      <c r="G343" s="635">
        <v>0</v>
      </c>
      <c r="H343" s="635">
        <v>0</v>
      </c>
      <c r="I343" s="635">
        <v>0</v>
      </c>
      <c r="J343" s="635">
        <v>0</v>
      </c>
      <c r="K343" s="635">
        <v>0</v>
      </c>
      <c r="L343" s="635">
        <v>0</v>
      </c>
      <c r="M343" s="635">
        <v>0</v>
      </c>
      <c r="N343" s="640">
        <v>0</v>
      </c>
      <c r="O343" s="640">
        <v>0</v>
      </c>
    </row>
    <row r="344" s="597" customFormat="1" spans="1:15">
      <c r="A344" s="618"/>
      <c r="B344" s="526" t="s">
        <v>744</v>
      </c>
      <c r="C344" s="597">
        <v>0</v>
      </c>
      <c r="D344" s="635">
        <v>0</v>
      </c>
      <c r="E344" s="635">
        <v>0</v>
      </c>
      <c r="F344" s="635">
        <v>0</v>
      </c>
      <c r="G344" s="635">
        <v>0</v>
      </c>
      <c r="H344" s="635">
        <v>0</v>
      </c>
      <c r="I344" s="635">
        <v>0</v>
      </c>
      <c r="J344" s="635">
        <v>0</v>
      </c>
      <c r="K344" s="635">
        <v>0</v>
      </c>
      <c r="L344" s="635">
        <v>0</v>
      </c>
      <c r="M344" s="635">
        <v>0</v>
      </c>
      <c r="N344" s="640">
        <v>0</v>
      </c>
      <c r="O344" s="640">
        <v>0</v>
      </c>
    </row>
    <row r="345" s="597" customFormat="1" spans="1:15">
      <c r="A345" s="618"/>
      <c r="B345" s="526" t="s">
        <v>745</v>
      </c>
      <c r="C345" s="597" t="s">
        <v>241</v>
      </c>
      <c r="D345" s="635" t="s">
        <v>241</v>
      </c>
      <c r="E345" s="635" t="s">
        <v>241</v>
      </c>
      <c r="F345" s="635" t="s">
        <v>241</v>
      </c>
      <c r="G345" s="635" t="s">
        <v>241</v>
      </c>
      <c r="H345" s="635" t="s">
        <v>241</v>
      </c>
      <c r="I345" s="635" t="s">
        <v>241</v>
      </c>
      <c r="J345" s="635" t="s">
        <v>241</v>
      </c>
      <c r="K345" s="635" t="s">
        <v>241</v>
      </c>
      <c r="L345" s="635" t="s">
        <v>241</v>
      </c>
      <c r="M345" s="635" t="s">
        <v>241</v>
      </c>
      <c r="N345" s="640" t="s">
        <v>241</v>
      </c>
      <c r="O345" s="640" t="s">
        <v>241</v>
      </c>
    </row>
    <row r="346" s="597" customFormat="1" spans="1:15">
      <c r="A346" s="618"/>
      <c r="B346" s="526" t="s">
        <v>746</v>
      </c>
      <c r="C346" s="597" t="s">
        <v>222</v>
      </c>
      <c r="D346" s="635" t="s">
        <v>222</v>
      </c>
      <c r="E346" s="635" t="s">
        <v>222</v>
      </c>
      <c r="F346" s="635" t="s">
        <v>222</v>
      </c>
      <c r="G346" s="635" t="s">
        <v>222</v>
      </c>
      <c r="H346" s="635" t="s">
        <v>222</v>
      </c>
      <c r="I346" s="635" t="s">
        <v>222</v>
      </c>
      <c r="J346" s="635" t="s">
        <v>222</v>
      </c>
      <c r="K346" s="635" t="s">
        <v>222</v>
      </c>
      <c r="L346" s="635" t="s">
        <v>222</v>
      </c>
      <c r="M346" s="635" t="s">
        <v>222</v>
      </c>
      <c r="N346" s="640" t="s">
        <v>222</v>
      </c>
      <c r="O346" s="640" t="s">
        <v>222</v>
      </c>
    </row>
    <row r="347" s="597" customFormat="1" spans="1:15">
      <c r="A347" s="618"/>
      <c r="B347" s="526" t="s">
        <v>747</v>
      </c>
      <c r="C347" s="597">
        <v>0.56</v>
      </c>
      <c r="D347" s="662">
        <v>0.36</v>
      </c>
      <c r="E347" s="663">
        <v>0.36</v>
      </c>
      <c r="F347" s="663">
        <v>0.36</v>
      </c>
      <c r="G347" s="662">
        <v>0.36</v>
      </c>
      <c r="H347" s="662">
        <v>0.36</v>
      </c>
      <c r="I347" s="663">
        <v>0.36</v>
      </c>
      <c r="J347" s="663">
        <v>0.36</v>
      </c>
      <c r="K347" s="662">
        <v>0.36</v>
      </c>
      <c r="L347" s="662">
        <v>0.36</v>
      </c>
      <c r="M347" s="662">
        <v>0.36</v>
      </c>
      <c r="N347" s="666">
        <v>0.36</v>
      </c>
      <c r="O347" s="666">
        <v>0.36</v>
      </c>
    </row>
    <row r="348" s="597" customFormat="1" spans="1:15">
      <c r="A348" s="618"/>
      <c r="B348" s="526" t="s">
        <v>748</v>
      </c>
      <c r="C348" s="597">
        <v>0.24</v>
      </c>
      <c r="D348" s="669">
        <v>0.24</v>
      </c>
      <c r="E348" s="635">
        <v>0.24</v>
      </c>
      <c r="F348" s="635">
        <v>0.24</v>
      </c>
      <c r="G348" s="669">
        <v>0.24</v>
      </c>
      <c r="H348" s="669">
        <v>0.24</v>
      </c>
      <c r="I348" s="635">
        <v>0.24</v>
      </c>
      <c r="J348" s="635">
        <v>0.24</v>
      </c>
      <c r="K348" s="669">
        <v>0.24</v>
      </c>
      <c r="L348" s="667">
        <v>0.2</v>
      </c>
      <c r="M348" s="667">
        <v>0.2</v>
      </c>
      <c r="N348" s="641">
        <v>0.2</v>
      </c>
      <c r="O348" s="641">
        <v>0.2</v>
      </c>
    </row>
    <row r="349" s="597" customFormat="1" spans="1:15">
      <c r="A349" s="618"/>
      <c r="B349" s="526" t="s">
        <v>749</v>
      </c>
      <c r="C349" s="597">
        <v>0.26</v>
      </c>
      <c r="D349" s="662">
        <v>0.33</v>
      </c>
      <c r="E349" s="663">
        <v>0.33</v>
      </c>
      <c r="F349" s="663">
        <v>0.33</v>
      </c>
      <c r="G349" s="662">
        <v>0.33</v>
      </c>
      <c r="H349" s="662">
        <v>0.33</v>
      </c>
      <c r="I349" s="663">
        <v>0.33</v>
      </c>
      <c r="J349" s="663">
        <v>0.33</v>
      </c>
      <c r="K349" s="662">
        <v>0.33</v>
      </c>
      <c r="L349" s="667">
        <v>0.26</v>
      </c>
      <c r="M349" s="667">
        <v>0.26</v>
      </c>
      <c r="N349" s="641">
        <v>0.26</v>
      </c>
      <c r="O349" s="641">
        <v>0.26</v>
      </c>
    </row>
    <row r="350" s="597" customFormat="1" spans="1:15">
      <c r="A350" s="618"/>
      <c r="B350" s="526" t="s">
        <v>750</v>
      </c>
      <c r="C350" s="632">
        <v>1.25</v>
      </c>
      <c r="D350" s="664">
        <v>2.45</v>
      </c>
      <c r="E350" s="647">
        <v>2.45</v>
      </c>
      <c r="F350" s="647">
        <v>2.45</v>
      </c>
      <c r="G350" s="664">
        <v>2.45</v>
      </c>
      <c r="H350" s="664">
        <v>2.45</v>
      </c>
      <c r="I350" s="647">
        <v>2.45</v>
      </c>
      <c r="J350" s="647">
        <v>2.45</v>
      </c>
      <c r="K350" s="664">
        <v>2.45</v>
      </c>
      <c r="L350" s="664">
        <v>2.45</v>
      </c>
      <c r="M350" s="664">
        <v>2.45</v>
      </c>
      <c r="N350" s="666">
        <v>2.45</v>
      </c>
      <c r="O350" s="666">
        <v>2.45</v>
      </c>
    </row>
    <row r="351" s="597" customFormat="1" spans="1:15">
      <c r="A351" s="618"/>
      <c r="B351" s="526" t="s">
        <v>751</v>
      </c>
      <c r="C351" s="597">
        <v>124</v>
      </c>
      <c r="D351" s="635">
        <v>124</v>
      </c>
      <c r="E351" s="635">
        <v>124</v>
      </c>
      <c r="F351" s="635">
        <v>124</v>
      </c>
      <c r="G351" s="635">
        <v>124</v>
      </c>
      <c r="H351" s="635">
        <v>124</v>
      </c>
      <c r="I351" s="635">
        <v>124</v>
      </c>
      <c r="J351" s="635">
        <v>124</v>
      </c>
      <c r="K351" s="635">
        <v>124</v>
      </c>
      <c r="L351" s="635">
        <v>124</v>
      </c>
      <c r="M351" s="635">
        <v>124</v>
      </c>
      <c r="N351" s="640">
        <v>124</v>
      </c>
      <c r="O351" s="640">
        <v>124</v>
      </c>
    </row>
    <row r="352" s="597" customFormat="1" spans="1:15">
      <c r="A352" s="618"/>
      <c r="B352" s="526" t="s">
        <v>752</v>
      </c>
      <c r="C352" s="597">
        <v>0.8</v>
      </c>
      <c r="D352" s="635">
        <v>0.8</v>
      </c>
      <c r="E352" s="635">
        <v>0.8</v>
      </c>
      <c r="F352" s="635">
        <v>0.8</v>
      </c>
      <c r="G352" s="635">
        <v>0.8</v>
      </c>
      <c r="H352" s="635">
        <v>0.8</v>
      </c>
      <c r="I352" s="635">
        <v>0.8</v>
      </c>
      <c r="J352" s="635">
        <v>0.8</v>
      </c>
      <c r="K352" s="635">
        <v>0.8</v>
      </c>
      <c r="L352" s="635">
        <v>0.8</v>
      </c>
      <c r="M352" s="635">
        <v>0.8</v>
      </c>
      <c r="N352" s="640">
        <v>0.8</v>
      </c>
      <c r="O352" s="640">
        <v>0.8</v>
      </c>
    </row>
    <row r="353" s="597" customFormat="1" spans="1:15">
      <c r="A353" s="618"/>
      <c r="B353" s="526" t="s">
        <v>753</v>
      </c>
      <c r="C353" s="597">
        <v>130.8</v>
      </c>
      <c r="D353" s="635">
        <v>130.8</v>
      </c>
      <c r="E353" s="635">
        <v>130.8</v>
      </c>
      <c r="F353" s="635">
        <v>130.8</v>
      </c>
      <c r="G353" s="635">
        <v>130.8</v>
      </c>
      <c r="H353" s="635">
        <v>130.8</v>
      </c>
      <c r="I353" s="635">
        <v>130.8</v>
      </c>
      <c r="J353" s="635">
        <v>130.8</v>
      </c>
      <c r="K353" s="635">
        <v>130.8</v>
      </c>
      <c r="L353" s="635">
        <v>130.8</v>
      </c>
      <c r="M353" s="635">
        <v>130.8</v>
      </c>
      <c r="N353" s="640">
        <v>130.8</v>
      </c>
      <c r="O353" s="640">
        <v>130.8</v>
      </c>
    </row>
    <row r="354" s="597" customFormat="1" spans="1:15">
      <c r="A354" s="618"/>
      <c r="B354" s="526" t="s">
        <v>754</v>
      </c>
      <c r="C354" s="597">
        <v>160.5</v>
      </c>
      <c r="D354" s="635">
        <v>160.5</v>
      </c>
      <c r="E354" s="635">
        <v>160.5</v>
      </c>
      <c r="F354" s="635">
        <v>160.5</v>
      </c>
      <c r="G354" s="635">
        <v>160.5</v>
      </c>
      <c r="H354" s="635">
        <v>160.5</v>
      </c>
      <c r="I354" s="635">
        <v>160.5</v>
      </c>
      <c r="J354" s="635">
        <v>160.5</v>
      </c>
      <c r="K354" s="635">
        <v>160.5</v>
      </c>
      <c r="L354" s="635">
        <v>160.5</v>
      </c>
      <c r="M354" s="635">
        <v>160.5</v>
      </c>
      <c r="N354" s="640">
        <v>160.5</v>
      </c>
      <c r="O354" s="640">
        <v>160.5</v>
      </c>
    </row>
    <row r="355" s="597" customFormat="1" spans="1:15">
      <c r="A355" s="618"/>
      <c r="B355" s="526" t="s">
        <v>755</v>
      </c>
      <c r="C355" s="597" t="s">
        <v>242</v>
      </c>
      <c r="D355" s="635" t="s">
        <v>242</v>
      </c>
      <c r="E355" s="635" t="s">
        <v>242</v>
      </c>
      <c r="F355" s="635" t="s">
        <v>242</v>
      </c>
      <c r="G355" s="635" t="s">
        <v>242</v>
      </c>
      <c r="H355" s="635" t="s">
        <v>242</v>
      </c>
      <c r="I355" s="635" t="s">
        <v>242</v>
      </c>
      <c r="J355" s="635" t="s">
        <v>242</v>
      </c>
      <c r="K355" s="635" t="s">
        <v>242</v>
      </c>
      <c r="L355" s="635" t="s">
        <v>242</v>
      </c>
      <c r="M355" s="635" t="s">
        <v>242</v>
      </c>
      <c r="N355" s="640" t="s">
        <v>242</v>
      </c>
      <c r="O355" s="640" t="s">
        <v>242</v>
      </c>
    </row>
    <row r="356" s="597" customFormat="1" spans="1:15">
      <c r="A356" s="618"/>
      <c r="B356" s="526" t="s">
        <v>756</v>
      </c>
      <c r="C356" s="597">
        <v>16</v>
      </c>
      <c r="D356" s="635">
        <v>16</v>
      </c>
      <c r="E356" s="635">
        <v>16</v>
      </c>
      <c r="F356" s="635">
        <v>16</v>
      </c>
      <c r="G356" s="635">
        <v>16</v>
      </c>
      <c r="H356" s="635">
        <v>16</v>
      </c>
      <c r="I356" s="635">
        <v>16</v>
      </c>
      <c r="J356" s="635">
        <v>16</v>
      </c>
      <c r="K356" s="635">
        <v>16</v>
      </c>
      <c r="L356" s="635">
        <v>16</v>
      </c>
      <c r="M356" s="635">
        <v>16</v>
      </c>
      <c r="N356" s="640">
        <v>16</v>
      </c>
      <c r="O356" s="640">
        <v>16</v>
      </c>
    </row>
    <row r="357" s="597" customFormat="1" spans="1:15">
      <c r="A357" s="618"/>
      <c r="B357" s="526" t="s">
        <v>757</v>
      </c>
      <c r="C357" s="597" t="s">
        <v>241</v>
      </c>
      <c r="D357" s="635" t="s">
        <v>241</v>
      </c>
      <c r="E357" s="635" t="s">
        <v>241</v>
      </c>
      <c r="F357" s="635" t="s">
        <v>241</v>
      </c>
      <c r="G357" s="635" t="s">
        <v>241</v>
      </c>
      <c r="H357" s="635" t="s">
        <v>241</v>
      </c>
      <c r="I357" s="635" t="s">
        <v>241</v>
      </c>
      <c r="J357" s="635" t="s">
        <v>241</v>
      </c>
      <c r="K357" s="635" t="s">
        <v>241</v>
      </c>
      <c r="L357" s="635" t="s">
        <v>241</v>
      </c>
      <c r="M357" s="635" t="s">
        <v>241</v>
      </c>
      <c r="N357" s="640" t="s">
        <v>241</v>
      </c>
      <c r="O357" s="640" t="s">
        <v>241</v>
      </c>
    </row>
    <row r="358" s="597" customFormat="1" spans="1:15">
      <c r="A358" s="618"/>
      <c r="B358" s="526" t="s">
        <v>758</v>
      </c>
      <c r="C358" s="597" t="s">
        <v>225</v>
      </c>
      <c r="D358" s="635" t="s">
        <v>225</v>
      </c>
      <c r="E358" s="635" t="s">
        <v>225</v>
      </c>
      <c r="F358" s="635" t="s">
        <v>225</v>
      </c>
      <c r="G358" s="635" t="s">
        <v>225</v>
      </c>
      <c r="H358" s="635" t="s">
        <v>225</v>
      </c>
      <c r="I358" s="635" t="s">
        <v>225</v>
      </c>
      <c r="J358" s="635" t="s">
        <v>225</v>
      </c>
      <c r="K358" s="635" t="s">
        <v>225</v>
      </c>
      <c r="L358" s="635" t="s">
        <v>225</v>
      </c>
      <c r="M358" s="635" t="s">
        <v>225</v>
      </c>
      <c r="N358" s="640" t="s">
        <v>225</v>
      </c>
      <c r="O358" s="640" t="s">
        <v>225</v>
      </c>
    </row>
    <row r="359" s="597" customFormat="1" spans="1:15">
      <c r="A359" s="618"/>
      <c r="B359" s="526" t="s">
        <v>759</v>
      </c>
      <c r="C359" s="597">
        <v>0.56</v>
      </c>
      <c r="D359" s="662">
        <v>0.4</v>
      </c>
      <c r="E359" s="663">
        <v>0.4</v>
      </c>
      <c r="F359" s="663">
        <v>0.4</v>
      </c>
      <c r="G359" s="662">
        <v>0.4</v>
      </c>
      <c r="H359" s="662">
        <v>0.4</v>
      </c>
      <c r="I359" s="663">
        <v>0.4</v>
      </c>
      <c r="J359" s="663">
        <v>0.4</v>
      </c>
      <c r="K359" s="662">
        <v>0.4</v>
      </c>
      <c r="L359" s="662">
        <v>0.4</v>
      </c>
      <c r="M359" s="662">
        <v>0.4</v>
      </c>
      <c r="N359" s="666">
        <v>0.4</v>
      </c>
      <c r="O359" s="666">
        <v>0.4</v>
      </c>
    </row>
    <row r="360" s="597" customFormat="1" spans="1:15">
      <c r="A360" s="618"/>
      <c r="B360" s="526" t="s">
        <v>760</v>
      </c>
      <c r="C360" s="597">
        <v>0.24</v>
      </c>
      <c r="D360" s="669">
        <v>0.24</v>
      </c>
      <c r="E360" s="635">
        <v>0.24</v>
      </c>
      <c r="F360" s="635">
        <v>0.24</v>
      </c>
      <c r="G360" s="669">
        <v>0.24</v>
      </c>
      <c r="H360" s="669">
        <v>0.24</v>
      </c>
      <c r="I360" s="635">
        <v>0.24</v>
      </c>
      <c r="J360" s="635">
        <v>0.24</v>
      </c>
      <c r="K360" s="669">
        <v>0.24</v>
      </c>
      <c r="L360" s="667">
        <v>0.2</v>
      </c>
      <c r="M360" s="667">
        <v>0.2</v>
      </c>
      <c r="N360" s="641">
        <v>0.2</v>
      </c>
      <c r="O360" s="641">
        <v>0.2</v>
      </c>
    </row>
    <row r="361" s="597" customFormat="1" spans="1:15">
      <c r="A361" s="618"/>
      <c r="B361" s="526" t="s">
        <v>761</v>
      </c>
      <c r="C361" s="597">
        <v>0.26</v>
      </c>
      <c r="D361" s="662">
        <v>0.33</v>
      </c>
      <c r="E361" s="663">
        <v>0.33</v>
      </c>
      <c r="F361" s="663">
        <v>0.33</v>
      </c>
      <c r="G361" s="662">
        <v>0.33</v>
      </c>
      <c r="H361" s="662">
        <v>0.33</v>
      </c>
      <c r="I361" s="663">
        <v>0.33</v>
      </c>
      <c r="J361" s="663">
        <v>0.33</v>
      </c>
      <c r="K361" s="662">
        <v>0.33</v>
      </c>
      <c r="L361" s="667">
        <v>0.26</v>
      </c>
      <c r="M361" s="667">
        <v>0.26</v>
      </c>
      <c r="N361" s="641">
        <v>0.26</v>
      </c>
      <c r="O361" s="641">
        <v>0.26</v>
      </c>
    </row>
    <row r="362" s="597" customFormat="1" spans="1:15">
      <c r="A362" s="618"/>
      <c r="B362" s="526" t="s">
        <v>762</v>
      </c>
      <c r="C362" s="632">
        <v>1.28</v>
      </c>
      <c r="D362" s="664">
        <v>2.99</v>
      </c>
      <c r="E362" s="647">
        <v>2.99</v>
      </c>
      <c r="F362" s="647">
        <v>2.99</v>
      </c>
      <c r="G362" s="664">
        <v>2.99</v>
      </c>
      <c r="H362" s="664">
        <v>2.99</v>
      </c>
      <c r="I362" s="647">
        <v>2.99</v>
      </c>
      <c r="J362" s="647">
        <v>2.99</v>
      </c>
      <c r="K362" s="664">
        <v>2.99</v>
      </c>
      <c r="L362" s="664">
        <v>2.99</v>
      </c>
      <c r="M362" s="664">
        <v>2.99</v>
      </c>
      <c r="N362" s="666">
        <v>2.99</v>
      </c>
      <c r="O362" s="666">
        <v>2.99</v>
      </c>
    </row>
    <row r="363" s="597" customFormat="1" spans="1:15">
      <c r="A363" s="618"/>
      <c r="B363" s="526" t="s">
        <v>763</v>
      </c>
      <c r="C363" s="597">
        <v>124</v>
      </c>
      <c r="D363" s="635">
        <v>124</v>
      </c>
      <c r="E363" s="635">
        <v>124</v>
      </c>
      <c r="F363" s="635">
        <v>124</v>
      </c>
      <c r="G363" s="635">
        <v>124</v>
      </c>
      <c r="H363" s="635">
        <v>124</v>
      </c>
      <c r="I363" s="635">
        <v>124</v>
      </c>
      <c r="J363" s="635">
        <v>124</v>
      </c>
      <c r="K363" s="635">
        <v>124</v>
      </c>
      <c r="L363" s="635">
        <v>124</v>
      </c>
      <c r="M363" s="635">
        <v>124</v>
      </c>
      <c r="N363" s="640">
        <v>124</v>
      </c>
      <c r="O363" s="640">
        <v>124</v>
      </c>
    </row>
    <row r="364" s="597" customFormat="1" spans="1:15">
      <c r="A364" s="618"/>
      <c r="B364" s="526" t="s">
        <v>764</v>
      </c>
      <c r="C364" s="597">
        <v>0.8</v>
      </c>
      <c r="D364" s="635">
        <v>0.8</v>
      </c>
      <c r="E364" s="635">
        <v>0.8</v>
      </c>
      <c r="F364" s="635">
        <v>0.8</v>
      </c>
      <c r="G364" s="635">
        <v>0.8</v>
      </c>
      <c r="H364" s="635">
        <v>0.8</v>
      </c>
      <c r="I364" s="635">
        <v>0.8</v>
      </c>
      <c r="J364" s="635">
        <v>0.8</v>
      </c>
      <c r="K364" s="635">
        <v>0.8</v>
      </c>
      <c r="L364" s="635">
        <v>0.8</v>
      </c>
      <c r="M364" s="635">
        <v>0.8</v>
      </c>
      <c r="N364" s="640">
        <v>0.8</v>
      </c>
      <c r="O364" s="640">
        <v>0.8</v>
      </c>
    </row>
    <row r="365" s="597" customFormat="1" spans="1:15">
      <c r="A365" s="618"/>
      <c r="B365" s="526" t="s">
        <v>765</v>
      </c>
      <c r="C365" s="597">
        <v>130.8</v>
      </c>
      <c r="D365" s="635">
        <v>130.8</v>
      </c>
      <c r="E365" s="635">
        <v>130.8</v>
      </c>
      <c r="F365" s="635">
        <v>130.8</v>
      </c>
      <c r="G365" s="635">
        <v>130.8</v>
      </c>
      <c r="H365" s="635">
        <v>130.8</v>
      </c>
      <c r="I365" s="635">
        <v>130.8</v>
      </c>
      <c r="J365" s="635">
        <v>130.8</v>
      </c>
      <c r="K365" s="635">
        <v>130.8</v>
      </c>
      <c r="L365" s="635">
        <v>130.8</v>
      </c>
      <c r="M365" s="635">
        <v>130.8</v>
      </c>
      <c r="N365" s="640">
        <v>130.8</v>
      </c>
      <c r="O365" s="640">
        <v>130.8</v>
      </c>
    </row>
    <row r="366" s="597" customFormat="1" spans="1:15">
      <c r="A366" s="618"/>
      <c r="B366" s="526" t="s">
        <v>766</v>
      </c>
      <c r="C366" s="597">
        <v>160.5</v>
      </c>
      <c r="D366" s="635">
        <v>160.5</v>
      </c>
      <c r="E366" s="635">
        <v>160.5</v>
      </c>
      <c r="F366" s="635">
        <v>160.5</v>
      </c>
      <c r="G366" s="635">
        <v>160.5</v>
      </c>
      <c r="H366" s="635">
        <v>160.5</v>
      </c>
      <c r="I366" s="635">
        <v>160.5</v>
      </c>
      <c r="J366" s="635">
        <v>160.5</v>
      </c>
      <c r="K366" s="635">
        <v>160.5</v>
      </c>
      <c r="L366" s="635">
        <v>160.5</v>
      </c>
      <c r="M366" s="635">
        <v>160.5</v>
      </c>
      <c r="N366" s="640">
        <v>160.5</v>
      </c>
      <c r="O366" s="640">
        <v>160.5</v>
      </c>
    </row>
    <row r="367" s="597" customFormat="1" spans="1:15">
      <c r="A367" s="618"/>
      <c r="B367" s="526" t="s">
        <v>767</v>
      </c>
      <c r="C367" s="597">
        <v>23.3</v>
      </c>
      <c r="D367" s="635">
        <v>23.3</v>
      </c>
      <c r="E367" s="635">
        <v>23.3</v>
      </c>
      <c r="F367" s="635">
        <v>23.3</v>
      </c>
      <c r="G367" s="635">
        <v>23.3</v>
      </c>
      <c r="H367" s="635">
        <v>23.3</v>
      </c>
      <c r="I367" s="635">
        <v>23.3</v>
      </c>
      <c r="J367" s="635">
        <v>23.3</v>
      </c>
      <c r="K367" s="635">
        <v>23.3</v>
      </c>
      <c r="L367" s="635">
        <v>23.3</v>
      </c>
      <c r="M367" s="635">
        <v>23.3</v>
      </c>
      <c r="N367" s="640">
        <v>23.3</v>
      </c>
      <c r="O367" s="640">
        <v>23.3</v>
      </c>
    </row>
    <row r="368" s="597" customFormat="1" spans="1:15">
      <c r="A368" s="618"/>
      <c r="B368" s="526" t="s">
        <v>768</v>
      </c>
      <c r="C368" s="597">
        <v>16</v>
      </c>
      <c r="D368" s="635">
        <v>16</v>
      </c>
      <c r="E368" s="635">
        <v>16</v>
      </c>
      <c r="F368" s="635">
        <v>16</v>
      </c>
      <c r="G368" s="635">
        <v>16</v>
      </c>
      <c r="H368" s="635">
        <v>16</v>
      </c>
      <c r="I368" s="635">
        <v>16</v>
      </c>
      <c r="J368" s="635">
        <v>16</v>
      </c>
      <c r="K368" s="635">
        <v>16</v>
      </c>
      <c r="L368" s="635">
        <v>16</v>
      </c>
      <c r="M368" s="635">
        <v>16</v>
      </c>
      <c r="N368" s="640">
        <v>16</v>
      </c>
      <c r="O368" s="640">
        <v>16</v>
      </c>
    </row>
    <row r="369" s="597" customFormat="1" spans="1:15">
      <c r="A369" s="618"/>
      <c r="B369" s="526" t="s">
        <v>769</v>
      </c>
      <c r="C369" s="597" t="s">
        <v>221</v>
      </c>
      <c r="D369" s="635" t="s">
        <v>221</v>
      </c>
      <c r="E369" s="635" t="s">
        <v>221</v>
      </c>
      <c r="F369" s="635" t="s">
        <v>221</v>
      </c>
      <c r="G369" s="635" t="s">
        <v>221</v>
      </c>
      <c r="H369" s="635" t="s">
        <v>221</v>
      </c>
      <c r="I369" s="635" t="s">
        <v>221</v>
      </c>
      <c r="J369" s="635" t="s">
        <v>221</v>
      </c>
      <c r="K369" s="635" t="s">
        <v>221</v>
      </c>
      <c r="L369" s="635" t="s">
        <v>221</v>
      </c>
      <c r="M369" s="635" t="s">
        <v>221</v>
      </c>
      <c r="N369" s="640" t="s">
        <v>221</v>
      </c>
      <c r="O369" s="640" t="s">
        <v>221</v>
      </c>
    </row>
    <row r="370" s="597" customFormat="1" spans="1:15">
      <c r="A370" s="618"/>
      <c r="B370" s="526" t="s">
        <v>770</v>
      </c>
      <c r="C370" s="597" t="s">
        <v>245</v>
      </c>
      <c r="D370" s="635" t="s">
        <v>245</v>
      </c>
      <c r="E370" s="635" t="s">
        <v>245</v>
      </c>
      <c r="F370" s="635" t="s">
        <v>245</v>
      </c>
      <c r="G370" s="635" t="s">
        <v>245</v>
      </c>
      <c r="H370" s="635" t="s">
        <v>245</v>
      </c>
      <c r="I370" s="635" t="s">
        <v>245</v>
      </c>
      <c r="J370" s="635" t="s">
        <v>245</v>
      </c>
      <c r="K370" s="635" t="s">
        <v>245</v>
      </c>
      <c r="L370" s="635" t="s">
        <v>245</v>
      </c>
      <c r="M370" s="635" t="s">
        <v>245</v>
      </c>
      <c r="N370" s="640" t="s">
        <v>245</v>
      </c>
      <c r="O370" s="640" t="s">
        <v>245</v>
      </c>
    </row>
    <row r="371" s="597" customFormat="1" spans="1:15">
      <c r="A371" s="618"/>
      <c r="B371" s="526" t="s">
        <v>771</v>
      </c>
      <c r="C371" s="597">
        <v>0.5225</v>
      </c>
      <c r="D371" s="662">
        <v>0.37</v>
      </c>
      <c r="E371" s="663">
        <v>0.37</v>
      </c>
      <c r="F371" s="663">
        <v>0.37</v>
      </c>
      <c r="G371" s="662">
        <v>0.37</v>
      </c>
      <c r="H371" s="662">
        <v>0.37</v>
      </c>
      <c r="I371" s="663">
        <v>0.37</v>
      </c>
      <c r="J371" s="663">
        <v>0.37</v>
      </c>
      <c r="K371" s="662">
        <v>0.37</v>
      </c>
      <c r="L371" s="662">
        <v>0.37</v>
      </c>
      <c r="M371" s="662">
        <v>0.37</v>
      </c>
      <c r="N371" s="666">
        <v>0.37</v>
      </c>
      <c r="O371" s="666">
        <v>0.37</v>
      </c>
    </row>
    <row r="372" s="597" customFormat="1" spans="1:15">
      <c r="A372" s="618"/>
      <c r="B372" s="526" t="s">
        <v>772</v>
      </c>
      <c r="C372" s="597">
        <v>0.285</v>
      </c>
      <c r="D372" s="662">
        <v>0.24</v>
      </c>
      <c r="E372" s="663">
        <v>0.24</v>
      </c>
      <c r="F372" s="663">
        <v>0.24</v>
      </c>
      <c r="G372" s="662">
        <v>0.24</v>
      </c>
      <c r="H372" s="662">
        <v>0.24</v>
      </c>
      <c r="I372" s="663">
        <v>0.24</v>
      </c>
      <c r="J372" s="663">
        <v>0.24</v>
      </c>
      <c r="K372" s="662">
        <v>0.24</v>
      </c>
      <c r="L372" s="667">
        <v>0.2</v>
      </c>
      <c r="M372" s="667">
        <v>0.2</v>
      </c>
      <c r="N372" s="641">
        <v>0.2</v>
      </c>
      <c r="O372" s="641">
        <v>0.2</v>
      </c>
    </row>
    <row r="373" s="597" customFormat="1" spans="1:15">
      <c r="A373" s="618"/>
      <c r="B373" s="526" t="s">
        <v>773</v>
      </c>
      <c r="C373" s="597">
        <v>0.29</v>
      </c>
      <c r="D373" s="662">
        <v>0.33</v>
      </c>
      <c r="E373" s="663">
        <v>0.33</v>
      </c>
      <c r="F373" s="663">
        <v>0.33</v>
      </c>
      <c r="G373" s="662">
        <v>0.33</v>
      </c>
      <c r="H373" s="662">
        <v>0.33</v>
      </c>
      <c r="I373" s="663">
        <v>0.33</v>
      </c>
      <c r="J373" s="663">
        <v>0.33</v>
      </c>
      <c r="K373" s="662">
        <v>0.33</v>
      </c>
      <c r="L373" s="667">
        <v>0.26</v>
      </c>
      <c r="M373" s="667">
        <v>0.26</v>
      </c>
      <c r="N373" s="641">
        <v>0.26</v>
      </c>
      <c r="O373" s="641">
        <v>0.26</v>
      </c>
    </row>
    <row r="374" s="597" customFormat="1" spans="1:15">
      <c r="A374" s="618"/>
      <c r="B374" s="526" t="s">
        <v>774</v>
      </c>
      <c r="C374" s="632">
        <v>1.25</v>
      </c>
      <c r="D374" s="664">
        <v>1.99</v>
      </c>
      <c r="E374" s="647">
        <v>1.99</v>
      </c>
      <c r="F374" s="647">
        <v>1.99</v>
      </c>
      <c r="G374" s="664">
        <v>1.99</v>
      </c>
      <c r="H374" s="664">
        <v>1.99</v>
      </c>
      <c r="I374" s="647">
        <v>1.99</v>
      </c>
      <c r="J374" s="647">
        <v>1.99</v>
      </c>
      <c r="K374" s="664">
        <v>1.99</v>
      </c>
      <c r="L374" s="664">
        <v>1.99</v>
      </c>
      <c r="M374" s="664">
        <v>1.99</v>
      </c>
      <c r="N374" s="666">
        <v>1.99</v>
      </c>
      <c r="O374" s="666">
        <v>1.99</v>
      </c>
    </row>
    <row r="375" s="597" customFormat="1" spans="1:15">
      <c r="A375" s="618"/>
      <c r="B375" s="526" t="s">
        <v>775</v>
      </c>
      <c r="C375" s="597">
        <v>1</v>
      </c>
      <c r="D375" s="635">
        <v>1</v>
      </c>
      <c r="E375" s="635">
        <v>1</v>
      </c>
      <c r="F375" s="635">
        <v>1</v>
      </c>
      <c r="G375" s="635">
        <v>1</v>
      </c>
      <c r="H375" s="635">
        <v>1</v>
      </c>
      <c r="I375" s="635">
        <v>1</v>
      </c>
      <c r="J375" s="635">
        <v>1</v>
      </c>
      <c r="K375" s="635">
        <v>1</v>
      </c>
      <c r="L375" s="635">
        <v>1</v>
      </c>
      <c r="M375" s="635">
        <v>1</v>
      </c>
      <c r="N375" s="640">
        <v>1</v>
      </c>
      <c r="O375" s="640">
        <v>1</v>
      </c>
    </row>
    <row r="376" s="597" customFormat="1" spans="1:15">
      <c r="A376" s="618"/>
      <c r="B376" s="526" t="s">
        <v>776</v>
      </c>
      <c r="C376" s="597">
        <v>1</v>
      </c>
      <c r="D376" s="635">
        <v>1</v>
      </c>
      <c r="E376" s="635">
        <v>1</v>
      </c>
      <c r="F376" s="635">
        <v>1</v>
      </c>
      <c r="G376" s="635">
        <v>1</v>
      </c>
      <c r="H376" s="635">
        <v>1</v>
      </c>
      <c r="I376" s="635">
        <v>1</v>
      </c>
      <c r="J376" s="635">
        <v>1</v>
      </c>
      <c r="K376" s="635">
        <v>1</v>
      </c>
      <c r="L376" s="635">
        <v>1</v>
      </c>
      <c r="M376" s="635">
        <v>1</v>
      </c>
      <c r="N376" s="640">
        <v>1</v>
      </c>
      <c r="O376" s="640">
        <v>1</v>
      </c>
    </row>
    <row r="377" s="597" customFormat="1" spans="1:15">
      <c r="A377" s="618"/>
      <c r="B377" s="526" t="s">
        <v>777</v>
      </c>
      <c r="C377" s="597">
        <v>1.05</v>
      </c>
      <c r="D377" s="635">
        <v>1.05</v>
      </c>
      <c r="E377" s="635">
        <v>1.05</v>
      </c>
      <c r="F377" s="635">
        <v>1.05</v>
      </c>
      <c r="G377" s="635">
        <v>1.05</v>
      </c>
      <c r="H377" s="635">
        <v>1.05</v>
      </c>
      <c r="I377" s="635">
        <v>1.05</v>
      </c>
      <c r="J377" s="635">
        <v>1.05</v>
      </c>
      <c r="K377" s="635">
        <v>1.05</v>
      </c>
      <c r="L377" s="635">
        <v>1.05</v>
      </c>
      <c r="M377" s="635">
        <v>1.05</v>
      </c>
      <c r="N377" s="640">
        <v>1.05</v>
      </c>
      <c r="O377" s="640">
        <v>1.05</v>
      </c>
    </row>
    <row r="378" s="597" customFormat="1" spans="1:15">
      <c r="A378" s="618"/>
      <c r="B378" s="526" t="s">
        <v>778</v>
      </c>
      <c r="C378" s="597">
        <v>1.3</v>
      </c>
      <c r="D378" s="635">
        <v>1.3</v>
      </c>
      <c r="E378" s="635">
        <v>1.3</v>
      </c>
      <c r="F378" s="635">
        <v>1.3</v>
      </c>
      <c r="G378" s="635">
        <v>1.3</v>
      </c>
      <c r="H378" s="635">
        <v>1.3</v>
      </c>
      <c r="I378" s="635">
        <v>1.3</v>
      </c>
      <c r="J378" s="635">
        <v>1.3</v>
      </c>
      <c r="K378" s="635">
        <v>1.3</v>
      </c>
      <c r="L378" s="635">
        <v>1.3</v>
      </c>
      <c r="M378" s="635">
        <v>1.3</v>
      </c>
      <c r="N378" s="640">
        <v>1.3</v>
      </c>
      <c r="O378" s="640">
        <v>1.3</v>
      </c>
    </row>
    <row r="379" s="597" customFormat="1" spans="1:15">
      <c r="A379" s="618"/>
      <c r="B379" s="526" t="s">
        <v>779</v>
      </c>
      <c r="C379" s="597">
        <v>0</v>
      </c>
      <c r="D379" s="635">
        <v>0</v>
      </c>
      <c r="E379" s="635">
        <v>0</v>
      </c>
      <c r="F379" s="635">
        <v>0</v>
      </c>
      <c r="G379" s="635">
        <v>0</v>
      </c>
      <c r="H379" s="635">
        <v>0</v>
      </c>
      <c r="I379" s="635">
        <v>0</v>
      </c>
      <c r="J379" s="635">
        <v>0</v>
      </c>
      <c r="K379" s="635">
        <v>0</v>
      </c>
      <c r="L379" s="635">
        <v>0</v>
      </c>
      <c r="M379" s="635">
        <v>0</v>
      </c>
      <c r="N379" s="640">
        <v>0</v>
      </c>
      <c r="O379" s="640">
        <v>0</v>
      </c>
    </row>
    <row r="380" s="597" customFormat="1" spans="1:15">
      <c r="A380" s="618"/>
      <c r="B380" s="526" t="s">
        <v>780</v>
      </c>
      <c r="C380" s="597">
        <v>0</v>
      </c>
      <c r="D380" s="635">
        <v>0</v>
      </c>
      <c r="E380" s="635">
        <v>0</v>
      </c>
      <c r="F380" s="635">
        <v>0</v>
      </c>
      <c r="G380" s="635">
        <v>0</v>
      </c>
      <c r="H380" s="635">
        <v>0</v>
      </c>
      <c r="I380" s="635">
        <v>0</v>
      </c>
      <c r="J380" s="635">
        <v>0</v>
      </c>
      <c r="K380" s="635">
        <v>0</v>
      </c>
      <c r="L380" s="635">
        <v>0</v>
      </c>
      <c r="M380" s="635">
        <v>0</v>
      </c>
      <c r="N380" s="640">
        <v>0</v>
      </c>
      <c r="O380" s="640">
        <v>0</v>
      </c>
    </row>
    <row r="381" spans="1:2">
      <c r="A381" s="518"/>
      <c r="B381" s="519"/>
    </row>
    <row r="382" s="482" customFormat="1" spans="1:15">
      <c r="A382" s="530">
        <v>5.1</v>
      </c>
      <c r="B382" s="535" t="s">
        <v>781</v>
      </c>
      <c r="D382" s="623"/>
      <c r="E382" s="623"/>
      <c r="F382" s="623"/>
      <c r="G382" s="623"/>
      <c r="H382" s="623"/>
      <c r="I382" s="623"/>
      <c r="J382" s="623"/>
      <c r="K382" s="623"/>
      <c r="L382" s="623"/>
      <c r="M382" s="623"/>
      <c r="N382" s="670"/>
      <c r="O382" s="670"/>
    </row>
    <row r="383" s="600" customFormat="1" spans="1:15">
      <c r="A383" s="646"/>
      <c r="B383" s="531" t="s">
        <v>782</v>
      </c>
      <c r="C383" s="600">
        <v>0.23</v>
      </c>
      <c r="D383" s="663">
        <v>0.11</v>
      </c>
      <c r="E383" s="663">
        <v>0.11</v>
      </c>
      <c r="F383" s="663">
        <v>0.11</v>
      </c>
      <c r="G383" s="663">
        <v>0.11</v>
      </c>
      <c r="H383" s="663">
        <v>0.11</v>
      </c>
      <c r="I383" s="663">
        <v>0.11</v>
      </c>
      <c r="J383" s="663">
        <v>0.11</v>
      </c>
      <c r="K383" s="663">
        <v>0.11</v>
      </c>
      <c r="L383" s="663">
        <v>0.11</v>
      </c>
      <c r="M383" s="663">
        <v>0.11</v>
      </c>
      <c r="N383" s="655">
        <v>0.11</v>
      </c>
      <c r="O383" s="655">
        <v>0.11</v>
      </c>
    </row>
    <row r="384" s="600" customFormat="1" spans="1:15">
      <c r="A384" s="646"/>
      <c r="B384" s="531" t="s">
        <v>782</v>
      </c>
      <c r="C384" s="600">
        <v>23118.387703488</v>
      </c>
      <c r="D384" s="663">
        <v>11056.620206016</v>
      </c>
      <c r="E384" s="663">
        <v>11056.620206016</v>
      </c>
      <c r="F384" s="663">
        <v>11056.620206016</v>
      </c>
      <c r="G384" s="663">
        <v>11056.620206016</v>
      </c>
      <c r="H384" s="663">
        <v>11056.620206016</v>
      </c>
      <c r="I384" s="663">
        <v>11056.620206016</v>
      </c>
      <c r="J384" s="663">
        <v>11056.620206016</v>
      </c>
      <c r="K384" s="663">
        <v>11056.620206016</v>
      </c>
      <c r="L384" s="663">
        <v>11056.620206016</v>
      </c>
      <c r="M384" s="663">
        <v>11056.620206016</v>
      </c>
      <c r="N384" s="655">
        <v>11056.620206016</v>
      </c>
      <c r="O384" s="655">
        <v>11056.620206016</v>
      </c>
    </row>
    <row r="385" s="600" customFormat="1" spans="1:15">
      <c r="A385" s="646"/>
      <c r="B385" s="531" t="s">
        <v>783</v>
      </c>
      <c r="C385" s="600">
        <v>0.24</v>
      </c>
      <c r="D385" s="663">
        <v>0.11</v>
      </c>
      <c r="E385" s="663">
        <v>0.11</v>
      </c>
      <c r="F385" s="663">
        <v>0.11</v>
      </c>
      <c r="G385" s="663">
        <v>0.11</v>
      </c>
      <c r="H385" s="663">
        <v>0.11</v>
      </c>
      <c r="I385" s="663">
        <v>0.11</v>
      </c>
      <c r="J385" s="663">
        <v>0.11</v>
      </c>
      <c r="K385" s="663">
        <v>0.11</v>
      </c>
      <c r="L385" s="663">
        <v>0.11</v>
      </c>
      <c r="M385" s="663">
        <v>0.11</v>
      </c>
      <c r="N385" s="655">
        <v>0.11</v>
      </c>
      <c r="O385" s="655">
        <v>0.11</v>
      </c>
    </row>
    <row r="386" s="600" customFormat="1" spans="1:15">
      <c r="A386" s="646"/>
      <c r="B386" s="531" t="s">
        <v>783</v>
      </c>
      <c r="C386" s="600">
        <v>25679.892091392</v>
      </c>
      <c r="D386" s="663">
        <v>11769.950541888</v>
      </c>
      <c r="E386" s="663">
        <v>11769.950541888</v>
      </c>
      <c r="F386" s="663">
        <v>11769.950541888</v>
      </c>
      <c r="G386" s="663">
        <v>11769.950541888</v>
      </c>
      <c r="H386" s="663">
        <v>11769.950541888</v>
      </c>
      <c r="I386" s="663">
        <v>11769.950541888</v>
      </c>
      <c r="J386" s="663">
        <v>11769.950541888</v>
      </c>
      <c r="K386" s="663">
        <v>11769.950541888</v>
      </c>
      <c r="L386" s="663">
        <v>11769.950541888</v>
      </c>
      <c r="M386" s="663">
        <v>11769.950541888</v>
      </c>
      <c r="N386" s="655">
        <v>11769.950541888</v>
      </c>
      <c r="O386" s="655">
        <v>11769.950541888</v>
      </c>
    </row>
    <row r="387" s="600" customFormat="1" spans="1:15">
      <c r="A387" s="646"/>
      <c r="B387" s="531" t="s">
        <v>784</v>
      </c>
      <c r="C387" s="600">
        <v>0.23</v>
      </c>
      <c r="D387" s="663">
        <v>0.11</v>
      </c>
      <c r="E387" s="663">
        <v>0.11</v>
      </c>
      <c r="F387" s="663">
        <v>0.11</v>
      </c>
      <c r="G387" s="663">
        <v>0.11</v>
      </c>
      <c r="H387" s="671">
        <v>0.15</v>
      </c>
      <c r="I387" s="671">
        <v>0.15</v>
      </c>
      <c r="J387" s="671">
        <v>0.15</v>
      </c>
      <c r="K387" s="671">
        <v>0.15</v>
      </c>
      <c r="L387" s="671">
        <v>0.15</v>
      </c>
      <c r="M387" s="671">
        <v>0.15</v>
      </c>
      <c r="N387" s="672">
        <v>0.15</v>
      </c>
      <c r="O387" s="672">
        <v>0.15</v>
      </c>
    </row>
    <row r="388" s="600" customFormat="1" spans="1:15">
      <c r="A388" s="646"/>
      <c r="B388" s="531" t="s">
        <v>784</v>
      </c>
      <c r="C388" s="600">
        <v>25434.151497216</v>
      </c>
      <c r="D388" s="663">
        <v>12164.159411712</v>
      </c>
      <c r="E388" s="663">
        <v>12164.159411712</v>
      </c>
      <c r="F388" s="663">
        <v>12164.159411712</v>
      </c>
      <c r="G388" s="663">
        <v>12164.159411712</v>
      </c>
      <c r="H388" s="671">
        <v>16587.49010688</v>
      </c>
      <c r="I388" s="671">
        <v>16587.49010688</v>
      </c>
      <c r="J388" s="671">
        <v>16587.49010688</v>
      </c>
      <c r="K388" s="671">
        <v>16587.49010688</v>
      </c>
      <c r="L388" s="671">
        <v>16587.49010688</v>
      </c>
      <c r="M388" s="671">
        <v>16587.49010688</v>
      </c>
      <c r="N388" s="672">
        <v>16587.49010688</v>
      </c>
      <c r="O388" s="672">
        <v>16587.49010688</v>
      </c>
    </row>
    <row r="389" s="600" customFormat="1" spans="1:15">
      <c r="A389" s="646"/>
      <c r="B389" s="531" t="s">
        <v>785</v>
      </c>
      <c r="C389" s="600">
        <v>0.25</v>
      </c>
      <c r="D389" s="663">
        <v>0.11</v>
      </c>
      <c r="E389" s="663">
        <v>0.11</v>
      </c>
      <c r="F389" s="663">
        <v>0.11</v>
      </c>
      <c r="G389" s="663">
        <v>0.11</v>
      </c>
      <c r="H389" s="663">
        <v>0.11</v>
      </c>
      <c r="I389" s="663">
        <v>0.11</v>
      </c>
      <c r="J389" s="663">
        <v>0.11</v>
      </c>
      <c r="K389" s="663">
        <v>0.11</v>
      </c>
      <c r="L389" s="663">
        <v>0.11</v>
      </c>
      <c r="M389" s="663">
        <v>0.11</v>
      </c>
      <c r="N389" s="655">
        <v>0.11</v>
      </c>
      <c r="O389" s="655">
        <v>0.11</v>
      </c>
    </row>
    <row r="390" s="600" customFormat="1" spans="1:15">
      <c r="A390" s="646"/>
      <c r="B390" s="531" t="s">
        <v>785</v>
      </c>
      <c r="C390" s="600">
        <v>25128.6822864</v>
      </c>
      <c r="D390" s="663">
        <v>11056.620206016</v>
      </c>
      <c r="E390" s="663">
        <v>11056.620206016</v>
      </c>
      <c r="F390" s="663">
        <v>11056.620206016</v>
      </c>
      <c r="G390" s="663">
        <v>11056.620206016</v>
      </c>
      <c r="H390" s="663">
        <v>11056.620206016</v>
      </c>
      <c r="I390" s="663">
        <v>11056.620206016</v>
      </c>
      <c r="J390" s="663">
        <v>11056.620206016</v>
      </c>
      <c r="K390" s="663">
        <v>11056.620206016</v>
      </c>
      <c r="L390" s="663">
        <v>11056.620206016</v>
      </c>
      <c r="M390" s="663">
        <v>11056.620206016</v>
      </c>
      <c r="N390" s="655">
        <v>11056.620206016</v>
      </c>
      <c r="O390" s="655">
        <v>11056.620206016</v>
      </c>
    </row>
    <row r="391" s="600" customFormat="1" spans="1:15">
      <c r="A391" s="646"/>
      <c r="B391" s="531" t="s">
        <v>786</v>
      </c>
      <c r="C391" s="600">
        <v>0.23</v>
      </c>
      <c r="D391" s="663">
        <v>0.11</v>
      </c>
      <c r="E391" s="663">
        <v>0.11</v>
      </c>
      <c r="F391" s="663">
        <v>0.11</v>
      </c>
      <c r="G391" s="663">
        <v>0.11</v>
      </c>
      <c r="H391" s="663">
        <v>0.11</v>
      </c>
      <c r="I391" s="663">
        <v>0.11</v>
      </c>
      <c r="J391" s="663">
        <v>0.11</v>
      </c>
      <c r="K391" s="663">
        <v>0.11</v>
      </c>
      <c r="L391" s="663">
        <v>0.11</v>
      </c>
      <c r="M391" s="663">
        <v>0.11</v>
      </c>
      <c r="N391" s="655">
        <v>0.11</v>
      </c>
      <c r="O391" s="655">
        <v>0.11</v>
      </c>
    </row>
    <row r="392" s="600" customFormat="1" spans="1:15">
      <c r="A392" s="646"/>
      <c r="B392" s="531" t="s">
        <v>786</v>
      </c>
      <c r="C392" s="600">
        <v>24609.896587584</v>
      </c>
      <c r="D392" s="663">
        <v>11769.950541888</v>
      </c>
      <c r="E392" s="663">
        <v>11769.950541888</v>
      </c>
      <c r="F392" s="663">
        <v>11769.950541888</v>
      </c>
      <c r="G392" s="663">
        <v>11769.950541888</v>
      </c>
      <c r="H392" s="663">
        <v>11769.950541888</v>
      </c>
      <c r="I392" s="663">
        <v>11769.950541888</v>
      </c>
      <c r="J392" s="663">
        <v>11769.950541888</v>
      </c>
      <c r="K392" s="663">
        <v>11769.950541888</v>
      </c>
      <c r="L392" s="663">
        <v>11769.950541888</v>
      </c>
      <c r="M392" s="663">
        <v>11769.950541888</v>
      </c>
      <c r="N392" s="655">
        <v>11769.950541888</v>
      </c>
      <c r="O392" s="655">
        <v>11769.950541888</v>
      </c>
    </row>
    <row r="393" s="600" customFormat="1" spans="1:15">
      <c r="A393" s="646"/>
      <c r="B393" s="531" t="s">
        <v>787</v>
      </c>
      <c r="C393" s="600">
        <v>0.22</v>
      </c>
      <c r="D393" s="663">
        <v>0.11</v>
      </c>
      <c r="E393" s="663">
        <v>0.11</v>
      </c>
      <c r="F393" s="663">
        <v>0.11</v>
      </c>
      <c r="G393" s="663">
        <v>0.11</v>
      </c>
      <c r="H393" s="671">
        <v>0.16</v>
      </c>
      <c r="I393" s="671">
        <v>0.16</v>
      </c>
      <c r="J393" s="671">
        <v>0.16</v>
      </c>
      <c r="K393" s="671">
        <v>0.16</v>
      </c>
      <c r="L393" s="671">
        <v>0.16</v>
      </c>
      <c r="M393" s="671">
        <v>0.16</v>
      </c>
      <c r="N393" s="672">
        <v>0.16</v>
      </c>
      <c r="O393" s="672">
        <v>0.16</v>
      </c>
    </row>
    <row r="394" s="600" customFormat="1" spans="1:15">
      <c r="A394" s="646"/>
      <c r="B394" s="531" t="s">
        <v>787</v>
      </c>
      <c r="C394" s="600">
        <v>24328.318823424</v>
      </c>
      <c r="D394" s="663">
        <v>12164.159411712</v>
      </c>
      <c r="E394" s="663">
        <v>12164.159411712</v>
      </c>
      <c r="F394" s="663">
        <v>12164.159411712</v>
      </c>
      <c r="G394" s="663">
        <v>12164.159411712</v>
      </c>
      <c r="H394" s="671">
        <v>17693.322780672</v>
      </c>
      <c r="I394" s="671">
        <v>17693.322780672</v>
      </c>
      <c r="J394" s="671">
        <v>17693.322780672</v>
      </c>
      <c r="K394" s="671">
        <v>17693.322780672</v>
      </c>
      <c r="L394" s="671">
        <v>17693.322780672</v>
      </c>
      <c r="M394" s="671">
        <v>17693.322780672</v>
      </c>
      <c r="N394" s="672">
        <v>17693.322780672</v>
      </c>
      <c r="O394" s="672">
        <v>17693.322780672</v>
      </c>
    </row>
    <row r="395" s="600" customFormat="1" spans="1:15">
      <c r="A395" s="646"/>
      <c r="B395" s="531" t="s">
        <v>788</v>
      </c>
      <c r="C395" s="600">
        <v>0.14</v>
      </c>
      <c r="D395" s="663">
        <v>0.09</v>
      </c>
      <c r="E395" s="663">
        <v>0.09</v>
      </c>
      <c r="F395" s="663">
        <v>0.09</v>
      </c>
      <c r="G395" s="663">
        <v>0.09</v>
      </c>
      <c r="H395" s="663">
        <v>0.09</v>
      </c>
      <c r="I395" s="663">
        <v>0.09</v>
      </c>
      <c r="J395" s="663">
        <v>0.09</v>
      </c>
      <c r="K395" s="663">
        <v>0.09</v>
      </c>
      <c r="L395" s="663">
        <v>0.09</v>
      </c>
      <c r="M395" s="663">
        <v>0.09</v>
      </c>
      <c r="N395" s="655">
        <v>0.09</v>
      </c>
      <c r="O395" s="655">
        <v>0.09</v>
      </c>
    </row>
    <row r="396" s="600" customFormat="1" spans="1:15">
      <c r="A396" s="646"/>
      <c r="B396" s="531" t="s">
        <v>788</v>
      </c>
      <c r="C396" s="600">
        <v>14072.062080384</v>
      </c>
      <c r="D396" s="663">
        <v>9046.325623104</v>
      </c>
      <c r="E396" s="663">
        <v>9046.325623104</v>
      </c>
      <c r="F396" s="663">
        <v>9046.325623104</v>
      </c>
      <c r="G396" s="663">
        <v>9046.325623104</v>
      </c>
      <c r="H396" s="663">
        <v>9046.325623104</v>
      </c>
      <c r="I396" s="663">
        <v>9046.325623104</v>
      </c>
      <c r="J396" s="663">
        <v>9046.325623104</v>
      </c>
      <c r="K396" s="663">
        <v>9046.325623104</v>
      </c>
      <c r="L396" s="663">
        <v>9046.325623104</v>
      </c>
      <c r="M396" s="663">
        <v>9046.325623104</v>
      </c>
      <c r="N396" s="655">
        <v>9046.325623104</v>
      </c>
      <c r="O396" s="655">
        <v>9046.325623104</v>
      </c>
    </row>
    <row r="397" s="600" customFormat="1" spans="1:15">
      <c r="A397" s="646"/>
      <c r="B397" s="531" t="s">
        <v>789</v>
      </c>
      <c r="C397" s="600">
        <v>0.14</v>
      </c>
      <c r="D397" s="663">
        <v>0.09</v>
      </c>
      <c r="E397" s="663">
        <v>0.09</v>
      </c>
      <c r="F397" s="663">
        <v>0.09</v>
      </c>
      <c r="G397" s="663">
        <v>0.09</v>
      </c>
      <c r="H397" s="663">
        <v>0.09</v>
      </c>
      <c r="I397" s="663">
        <v>0.09</v>
      </c>
      <c r="J397" s="663">
        <v>0.09</v>
      </c>
      <c r="K397" s="663">
        <v>0.09</v>
      </c>
      <c r="L397" s="663">
        <v>0.09</v>
      </c>
      <c r="M397" s="663">
        <v>0.09</v>
      </c>
      <c r="N397" s="655">
        <v>0.09</v>
      </c>
      <c r="O397" s="655">
        <v>0.09</v>
      </c>
    </row>
    <row r="398" s="600" customFormat="1" spans="1:15">
      <c r="A398" s="646"/>
      <c r="B398" s="531" t="s">
        <v>789</v>
      </c>
      <c r="C398" s="600">
        <v>14979.937053312</v>
      </c>
      <c r="D398" s="663">
        <v>9629.959534272</v>
      </c>
      <c r="E398" s="663">
        <v>9629.959534272</v>
      </c>
      <c r="F398" s="663">
        <v>9629.959534272</v>
      </c>
      <c r="G398" s="663">
        <v>9629.959534272</v>
      </c>
      <c r="H398" s="663">
        <v>9629.959534272</v>
      </c>
      <c r="I398" s="663">
        <v>9629.959534272</v>
      </c>
      <c r="J398" s="663">
        <v>9629.959534272</v>
      </c>
      <c r="K398" s="663">
        <v>9629.959534272</v>
      </c>
      <c r="L398" s="663">
        <v>9629.959534272</v>
      </c>
      <c r="M398" s="663">
        <v>9629.959534272</v>
      </c>
      <c r="N398" s="655">
        <v>9629.959534272</v>
      </c>
      <c r="O398" s="655">
        <v>9629.959534272</v>
      </c>
    </row>
    <row r="399" s="600" customFormat="1" spans="1:15">
      <c r="A399" s="646"/>
      <c r="B399" s="531" t="s">
        <v>790</v>
      </c>
      <c r="C399" s="600">
        <v>0.15</v>
      </c>
      <c r="D399" s="663">
        <v>0.09</v>
      </c>
      <c r="E399" s="663">
        <v>0.09</v>
      </c>
      <c r="F399" s="663">
        <v>0.09</v>
      </c>
      <c r="G399" s="663">
        <v>0.09</v>
      </c>
      <c r="H399" s="663">
        <v>0.09</v>
      </c>
      <c r="I399" s="663">
        <v>0.09</v>
      </c>
      <c r="J399" s="663">
        <v>0.09</v>
      </c>
      <c r="K399" s="663">
        <v>0.09</v>
      </c>
      <c r="L399" s="663">
        <v>0.09</v>
      </c>
      <c r="M399" s="663">
        <v>0.09</v>
      </c>
      <c r="N399" s="655">
        <v>0.09</v>
      </c>
      <c r="O399" s="655">
        <v>0.09</v>
      </c>
    </row>
    <row r="400" s="600" customFormat="1" spans="1:15">
      <c r="A400" s="646"/>
      <c r="B400" s="531" t="s">
        <v>790</v>
      </c>
      <c r="C400" s="600">
        <v>16587.49010688</v>
      </c>
      <c r="D400" s="663">
        <v>9952.494064128</v>
      </c>
      <c r="E400" s="663">
        <v>9952.494064128</v>
      </c>
      <c r="F400" s="663">
        <v>9952.494064128</v>
      </c>
      <c r="G400" s="663">
        <v>9952.494064128</v>
      </c>
      <c r="H400" s="663">
        <v>9952.494064128</v>
      </c>
      <c r="I400" s="663">
        <v>9952.494064128</v>
      </c>
      <c r="J400" s="663">
        <v>9952.494064128</v>
      </c>
      <c r="K400" s="663">
        <v>9952.494064128</v>
      </c>
      <c r="L400" s="663">
        <v>9952.494064128</v>
      </c>
      <c r="M400" s="663">
        <v>9952.494064128</v>
      </c>
      <c r="N400" s="655">
        <v>9952.494064128</v>
      </c>
      <c r="O400" s="655">
        <v>9952.494064128</v>
      </c>
    </row>
    <row r="401" s="600" customFormat="1" spans="1:15">
      <c r="A401" s="646"/>
      <c r="B401" s="531" t="s">
        <v>791</v>
      </c>
      <c r="C401" s="600">
        <v>0.12</v>
      </c>
      <c r="D401" s="663">
        <v>0.23</v>
      </c>
      <c r="E401" s="663">
        <v>0.23</v>
      </c>
      <c r="F401" s="663">
        <v>0.23</v>
      </c>
      <c r="G401" s="663">
        <v>0.23</v>
      </c>
      <c r="H401" s="663">
        <v>0.23</v>
      </c>
      <c r="I401" s="663">
        <v>0.23</v>
      </c>
      <c r="J401" s="663">
        <v>0.23</v>
      </c>
      <c r="K401" s="663">
        <v>0.23</v>
      </c>
      <c r="L401" s="663">
        <v>0.23</v>
      </c>
      <c r="M401" s="663">
        <v>0.23</v>
      </c>
      <c r="N401" s="655">
        <v>0.23</v>
      </c>
      <c r="O401" s="655">
        <v>0.23</v>
      </c>
    </row>
    <row r="402" s="600" customFormat="1" spans="1:15">
      <c r="A402" s="646"/>
      <c r="B402" s="531" t="s">
        <v>791</v>
      </c>
      <c r="C402" s="600">
        <v>12061.767497472</v>
      </c>
      <c r="D402" s="663">
        <v>23118.387703488</v>
      </c>
      <c r="E402" s="663">
        <v>23118.387703488</v>
      </c>
      <c r="F402" s="663">
        <v>23118.387703488</v>
      </c>
      <c r="G402" s="663">
        <v>23118.387703488</v>
      </c>
      <c r="H402" s="663">
        <v>23118.387703488</v>
      </c>
      <c r="I402" s="663">
        <v>23118.387703488</v>
      </c>
      <c r="J402" s="663">
        <v>23118.387703488</v>
      </c>
      <c r="K402" s="663">
        <v>23118.387703488</v>
      </c>
      <c r="L402" s="663">
        <v>23118.387703488</v>
      </c>
      <c r="M402" s="663">
        <v>23118.387703488</v>
      </c>
      <c r="N402" s="655">
        <v>23118.387703488</v>
      </c>
      <c r="O402" s="655">
        <v>23118.387703488</v>
      </c>
    </row>
    <row r="403" s="600" customFormat="1" spans="1:15">
      <c r="A403" s="646"/>
      <c r="B403" s="531" t="s">
        <v>792</v>
      </c>
      <c r="C403" s="600">
        <v>0.13</v>
      </c>
      <c r="D403" s="663">
        <v>0.23</v>
      </c>
      <c r="E403" s="663">
        <v>0.23</v>
      </c>
      <c r="F403" s="663">
        <v>0.23</v>
      </c>
      <c r="G403" s="663">
        <v>0.23</v>
      </c>
      <c r="H403" s="663">
        <v>0.23</v>
      </c>
      <c r="I403" s="663">
        <v>0.23</v>
      </c>
      <c r="J403" s="663">
        <v>0.23</v>
      </c>
      <c r="K403" s="663">
        <v>0.23</v>
      </c>
      <c r="L403" s="663">
        <v>0.23</v>
      </c>
      <c r="M403" s="663">
        <v>0.23</v>
      </c>
      <c r="N403" s="655">
        <v>0.23</v>
      </c>
      <c r="O403" s="655">
        <v>0.23</v>
      </c>
    </row>
    <row r="404" s="600" customFormat="1" spans="1:15">
      <c r="A404" s="646"/>
      <c r="B404" s="531" t="s">
        <v>792</v>
      </c>
      <c r="C404" s="600">
        <v>13909.941549504</v>
      </c>
      <c r="D404" s="663">
        <v>24609.896587584</v>
      </c>
      <c r="E404" s="663">
        <v>24609.896587584</v>
      </c>
      <c r="F404" s="663">
        <v>24609.896587584</v>
      </c>
      <c r="G404" s="663">
        <v>24609.896587584</v>
      </c>
      <c r="H404" s="663">
        <v>24609.896587584</v>
      </c>
      <c r="I404" s="663">
        <v>24609.896587584</v>
      </c>
      <c r="J404" s="663">
        <v>24609.896587584</v>
      </c>
      <c r="K404" s="663">
        <v>24609.896587584</v>
      </c>
      <c r="L404" s="663">
        <v>24609.896587584</v>
      </c>
      <c r="M404" s="663">
        <v>24609.896587584</v>
      </c>
      <c r="N404" s="655">
        <v>24609.896587584</v>
      </c>
      <c r="O404" s="655">
        <v>24609.896587584</v>
      </c>
    </row>
    <row r="405" s="600" customFormat="1" spans="1:15">
      <c r="A405" s="646"/>
      <c r="B405" s="531" t="s">
        <v>793</v>
      </c>
      <c r="C405" s="600">
        <v>0.13</v>
      </c>
      <c r="D405" s="663">
        <v>0.23</v>
      </c>
      <c r="E405" s="663">
        <v>0.23</v>
      </c>
      <c r="F405" s="663">
        <v>0.23</v>
      </c>
      <c r="G405" s="663">
        <v>0.23</v>
      </c>
      <c r="H405" s="671">
        <v>0.2</v>
      </c>
      <c r="I405" s="671">
        <v>0.2</v>
      </c>
      <c r="J405" s="671">
        <v>0.2</v>
      </c>
      <c r="K405" s="671">
        <v>0.2</v>
      </c>
      <c r="L405" s="671">
        <v>0.2</v>
      </c>
      <c r="M405" s="671">
        <v>0.2</v>
      </c>
      <c r="N405" s="672">
        <v>0.2</v>
      </c>
      <c r="O405" s="672">
        <v>0.2</v>
      </c>
    </row>
    <row r="406" s="600" customFormat="1" spans="1:15">
      <c r="A406" s="646"/>
      <c r="B406" s="531" t="s">
        <v>793</v>
      </c>
      <c r="C406" s="600">
        <v>14375.824759296</v>
      </c>
      <c r="D406" s="663">
        <v>25434.151497216</v>
      </c>
      <c r="E406" s="663">
        <v>25434.151497216</v>
      </c>
      <c r="F406" s="663">
        <v>25434.151497216</v>
      </c>
      <c r="G406" s="663">
        <v>25434.151497216</v>
      </c>
      <c r="H406" s="671">
        <v>22116.65347584</v>
      </c>
      <c r="I406" s="671">
        <v>22116.65347584</v>
      </c>
      <c r="J406" s="671">
        <v>22116.65347584</v>
      </c>
      <c r="K406" s="671">
        <v>22116.65347584</v>
      </c>
      <c r="L406" s="671">
        <v>22116.65347584</v>
      </c>
      <c r="M406" s="671">
        <v>22116.65347584</v>
      </c>
      <c r="N406" s="672">
        <v>22116.65347584</v>
      </c>
      <c r="O406" s="672">
        <v>22116.65347584</v>
      </c>
    </row>
    <row r="407" s="600" customFormat="1" spans="1:15">
      <c r="A407" s="646"/>
      <c r="B407" s="531" t="s">
        <v>794</v>
      </c>
      <c r="C407" s="600">
        <v>0.12</v>
      </c>
      <c r="D407" s="663">
        <v>0.23</v>
      </c>
      <c r="E407" s="663">
        <v>0.23</v>
      </c>
      <c r="F407" s="663">
        <v>0.23</v>
      </c>
      <c r="G407" s="663">
        <v>0.23</v>
      </c>
      <c r="H407" s="663">
        <v>0.23</v>
      </c>
      <c r="I407" s="663">
        <v>0.23</v>
      </c>
      <c r="J407" s="663">
        <v>0.23</v>
      </c>
      <c r="K407" s="663">
        <v>0.23</v>
      </c>
      <c r="L407" s="663">
        <v>0.23</v>
      </c>
      <c r="M407" s="663">
        <v>0.23</v>
      </c>
      <c r="N407" s="655">
        <v>0.23</v>
      </c>
      <c r="O407" s="655">
        <v>0.23</v>
      </c>
    </row>
    <row r="408" s="600" customFormat="1" spans="1:15">
      <c r="A408" s="646"/>
      <c r="B408" s="531" t="s">
        <v>794</v>
      </c>
      <c r="C408" s="600">
        <v>12061.767497472</v>
      </c>
      <c r="D408" s="663">
        <v>23118.387703488</v>
      </c>
      <c r="E408" s="663">
        <v>23118.387703488</v>
      </c>
      <c r="F408" s="663">
        <v>23118.387703488</v>
      </c>
      <c r="G408" s="663">
        <v>23118.387703488</v>
      </c>
      <c r="H408" s="663">
        <v>23118.387703488</v>
      </c>
      <c r="I408" s="663">
        <v>23118.387703488</v>
      </c>
      <c r="J408" s="663">
        <v>23118.387703488</v>
      </c>
      <c r="K408" s="663">
        <v>23118.387703488</v>
      </c>
      <c r="L408" s="663">
        <v>23118.387703488</v>
      </c>
      <c r="M408" s="663">
        <v>23118.387703488</v>
      </c>
      <c r="N408" s="655">
        <v>23118.387703488</v>
      </c>
      <c r="O408" s="655">
        <v>23118.387703488</v>
      </c>
    </row>
    <row r="409" s="600" customFormat="1" spans="1:15">
      <c r="A409" s="646"/>
      <c r="B409" s="531" t="s">
        <v>795</v>
      </c>
      <c r="C409" s="600">
        <v>0.13</v>
      </c>
      <c r="D409" s="663">
        <v>0.23</v>
      </c>
      <c r="E409" s="663">
        <v>0.23</v>
      </c>
      <c r="F409" s="663">
        <v>0.23</v>
      </c>
      <c r="G409" s="663">
        <v>0.23</v>
      </c>
      <c r="H409" s="663">
        <v>0.23</v>
      </c>
      <c r="I409" s="663">
        <v>0.23</v>
      </c>
      <c r="J409" s="663">
        <v>0.23</v>
      </c>
      <c r="K409" s="663">
        <v>0.23</v>
      </c>
      <c r="L409" s="663">
        <v>0.23</v>
      </c>
      <c r="M409" s="663">
        <v>0.23</v>
      </c>
      <c r="N409" s="655">
        <v>0.23</v>
      </c>
      <c r="O409" s="655">
        <v>0.23</v>
      </c>
    </row>
    <row r="410" s="600" customFormat="1" spans="1:15">
      <c r="A410" s="646"/>
      <c r="B410" s="531" t="s">
        <v>795</v>
      </c>
      <c r="C410" s="600">
        <v>13909.941549504</v>
      </c>
      <c r="D410" s="663">
        <v>24609.896587584</v>
      </c>
      <c r="E410" s="663">
        <v>24609.896587584</v>
      </c>
      <c r="F410" s="663">
        <v>24609.896587584</v>
      </c>
      <c r="G410" s="663">
        <v>24609.896587584</v>
      </c>
      <c r="H410" s="663">
        <v>24609.896587584</v>
      </c>
      <c r="I410" s="663">
        <v>24609.896587584</v>
      </c>
      <c r="J410" s="663">
        <v>24609.896587584</v>
      </c>
      <c r="K410" s="663">
        <v>24609.896587584</v>
      </c>
      <c r="L410" s="663">
        <v>24609.896587584</v>
      </c>
      <c r="M410" s="663">
        <v>24609.896587584</v>
      </c>
      <c r="N410" s="655">
        <v>24609.896587584</v>
      </c>
      <c r="O410" s="655">
        <v>24609.896587584</v>
      </c>
    </row>
    <row r="411" s="600" customFormat="1" spans="1:15">
      <c r="A411" s="646"/>
      <c r="B411" s="531" t="s">
        <v>796</v>
      </c>
      <c r="C411" s="600">
        <v>0.13</v>
      </c>
      <c r="D411" s="663">
        <v>0.23</v>
      </c>
      <c r="E411" s="663">
        <v>0.23</v>
      </c>
      <c r="F411" s="663">
        <v>0.23</v>
      </c>
      <c r="G411" s="663">
        <v>0.23</v>
      </c>
      <c r="H411" s="671">
        <v>0.2</v>
      </c>
      <c r="I411" s="671">
        <v>0.2</v>
      </c>
      <c r="J411" s="671">
        <v>0.2</v>
      </c>
      <c r="K411" s="671">
        <v>0.2</v>
      </c>
      <c r="L411" s="671">
        <v>0.2</v>
      </c>
      <c r="M411" s="671">
        <v>0.2</v>
      </c>
      <c r="N411" s="672">
        <v>0.2</v>
      </c>
      <c r="O411" s="672">
        <v>0.2</v>
      </c>
    </row>
    <row r="412" s="600" customFormat="1" spans="1:15">
      <c r="A412" s="646"/>
      <c r="B412" s="531" t="s">
        <v>796</v>
      </c>
      <c r="C412" s="600">
        <v>14375.824759296</v>
      </c>
      <c r="D412" s="663">
        <v>25434.151497216</v>
      </c>
      <c r="E412" s="663">
        <v>25434.151497216</v>
      </c>
      <c r="F412" s="663">
        <v>25434.151497216</v>
      </c>
      <c r="G412" s="663">
        <v>25434.151497216</v>
      </c>
      <c r="H412" s="671">
        <v>22116.65347584</v>
      </c>
      <c r="I412" s="671">
        <v>22116.65347584</v>
      </c>
      <c r="J412" s="671">
        <v>22116.65347584</v>
      </c>
      <c r="K412" s="671">
        <v>22116.65347584</v>
      </c>
      <c r="L412" s="671">
        <v>22116.65347584</v>
      </c>
      <c r="M412" s="671">
        <v>22116.65347584</v>
      </c>
      <c r="N412" s="672">
        <v>22116.65347584</v>
      </c>
      <c r="O412" s="672">
        <v>22116.65347584</v>
      </c>
    </row>
    <row r="413" s="600" customFormat="1" spans="1:15">
      <c r="A413" s="646"/>
      <c r="B413" s="531" t="s">
        <v>797</v>
      </c>
      <c r="C413" s="600">
        <v>0.14</v>
      </c>
      <c r="D413" s="663">
        <v>0.23</v>
      </c>
      <c r="E413" s="663">
        <v>0.23</v>
      </c>
      <c r="F413" s="663">
        <v>0.23</v>
      </c>
      <c r="G413" s="663">
        <v>0.23</v>
      </c>
      <c r="H413" s="663">
        <v>0.23</v>
      </c>
      <c r="I413" s="663">
        <v>0.23</v>
      </c>
      <c r="J413" s="663">
        <v>0.23</v>
      </c>
      <c r="K413" s="663">
        <v>0.23</v>
      </c>
      <c r="L413" s="663">
        <v>0.23</v>
      </c>
      <c r="M413" s="663">
        <v>0.23</v>
      </c>
      <c r="N413" s="655">
        <v>0.23</v>
      </c>
      <c r="O413" s="655">
        <v>0.23</v>
      </c>
    </row>
    <row r="414" s="600" customFormat="1" spans="1:15">
      <c r="A414" s="646"/>
      <c r="B414" s="531" t="s">
        <v>797</v>
      </c>
      <c r="C414" s="600">
        <v>14072.062080384</v>
      </c>
      <c r="D414" s="663">
        <v>23118.387703488</v>
      </c>
      <c r="E414" s="663">
        <v>23118.387703488</v>
      </c>
      <c r="F414" s="663">
        <v>23118.387703488</v>
      </c>
      <c r="G414" s="663">
        <v>23118.387703488</v>
      </c>
      <c r="H414" s="663">
        <v>23118.387703488</v>
      </c>
      <c r="I414" s="663">
        <v>23118.387703488</v>
      </c>
      <c r="J414" s="663">
        <v>23118.387703488</v>
      </c>
      <c r="K414" s="663">
        <v>23118.387703488</v>
      </c>
      <c r="L414" s="663">
        <v>23118.387703488</v>
      </c>
      <c r="M414" s="663">
        <v>23118.387703488</v>
      </c>
      <c r="N414" s="655">
        <v>23118.387703488</v>
      </c>
      <c r="O414" s="655">
        <v>23118.387703488</v>
      </c>
    </row>
    <row r="415" s="600" customFormat="1" spans="1:15">
      <c r="A415" s="646"/>
      <c r="B415" s="531" t="s">
        <v>798</v>
      </c>
      <c r="C415" s="600">
        <v>0.13</v>
      </c>
      <c r="D415" s="663">
        <v>0.23</v>
      </c>
      <c r="E415" s="663">
        <v>0.23</v>
      </c>
      <c r="F415" s="663">
        <v>0.23</v>
      </c>
      <c r="G415" s="663">
        <v>0.23</v>
      </c>
      <c r="H415" s="663">
        <v>0.23</v>
      </c>
      <c r="I415" s="663">
        <v>0.23</v>
      </c>
      <c r="J415" s="663">
        <v>0.23</v>
      </c>
      <c r="K415" s="663">
        <v>0.23</v>
      </c>
      <c r="L415" s="663">
        <v>0.23</v>
      </c>
      <c r="M415" s="663">
        <v>0.23</v>
      </c>
      <c r="N415" s="655">
        <v>0.23</v>
      </c>
      <c r="O415" s="655">
        <v>0.23</v>
      </c>
    </row>
    <row r="416" s="600" customFormat="1" spans="1:15">
      <c r="A416" s="646"/>
      <c r="B416" s="531" t="s">
        <v>798</v>
      </c>
      <c r="C416" s="600">
        <v>13909.941549504</v>
      </c>
      <c r="D416" s="663">
        <v>24609.896587584</v>
      </c>
      <c r="E416" s="663">
        <v>24609.896587584</v>
      </c>
      <c r="F416" s="663">
        <v>24609.896587584</v>
      </c>
      <c r="G416" s="663">
        <v>24609.896587584</v>
      </c>
      <c r="H416" s="663">
        <v>24609.896587584</v>
      </c>
      <c r="I416" s="663">
        <v>24609.896587584</v>
      </c>
      <c r="J416" s="663">
        <v>24609.896587584</v>
      </c>
      <c r="K416" s="663">
        <v>24609.896587584</v>
      </c>
      <c r="L416" s="663">
        <v>24609.896587584</v>
      </c>
      <c r="M416" s="663">
        <v>24609.896587584</v>
      </c>
      <c r="N416" s="655">
        <v>24609.896587584</v>
      </c>
      <c r="O416" s="655">
        <v>24609.896587584</v>
      </c>
    </row>
    <row r="417" s="600" customFormat="1" spans="1:15">
      <c r="A417" s="646"/>
      <c r="B417" s="531" t="s">
        <v>799</v>
      </c>
      <c r="C417" s="600">
        <v>0.14</v>
      </c>
      <c r="D417" s="663">
        <v>0.23</v>
      </c>
      <c r="E417" s="663">
        <v>0.23</v>
      </c>
      <c r="F417" s="663">
        <v>0.23</v>
      </c>
      <c r="G417" s="663">
        <v>0.23</v>
      </c>
      <c r="H417" s="671">
        <v>0.2</v>
      </c>
      <c r="I417" s="671">
        <v>0.2</v>
      </c>
      <c r="J417" s="671">
        <v>0.2</v>
      </c>
      <c r="K417" s="671">
        <v>0.2</v>
      </c>
      <c r="L417" s="671">
        <v>0.2</v>
      </c>
      <c r="M417" s="671">
        <v>0.2</v>
      </c>
      <c r="N417" s="672">
        <v>0.2</v>
      </c>
      <c r="O417" s="672">
        <v>0.2</v>
      </c>
    </row>
    <row r="418" s="600" customFormat="1" spans="1:15">
      <c r="A418" s="646"/>
      <c r="B418" s="531" t="s">
        <v>799</v>
      </c>
      <c r="C418" s="600">
        <v>15481.657433088</v>
      </c>
      <c r="D418" s="663">
        <v>25434.151497216</v>
      </c>
      <c r="E418" s="663">
        <v>25434.151497216</v>
      </c>
      <c r="F418" s="663">
        <v>25434.151497216</v>
      </c>
      <c r="G418" s="663">
        <v>25434.151497216</v>
      </c>
      <c r="H418" s="671">
        <v>22116.65347584</v>
      </c>
      <c r="I418" s="671">
        <v>22116.65347584</v>
      </c>
      <c r="J418" s="671">
        <v>22116.65347584</v>
      </c>
      <c r="K418" s="671">
        <v>22116.65347584</v>
      </c>
      <c r="L418" s="671">
        <v>22116.65347584</v>
      </c>
      <c r="M418" s="671">
        <v>22116.65347584</v>
      </c>
      <c r="N418" s="672">
        <v>22116.65347584</v>
      </c>
      <c r="O418" s="672">
        <v>22116.65347584</v>
      </c>
    </row>
    <row r="419" s="600" customFormat="1" spans="1:15">
      <c r="A419" s="646"/>
      <c r="B419" s="531" t="s">
        <v>800</v>
      </c>
      <c r="C419" s="600">
        <v>0.45</v>
      </c>
      <c r="D419" s="635">
        <v>0.45</v>
      </c>
      <c r="E419" s="635">
        <v>0.45</v>
      </c>
      <c r="F419" s="635">
        <v>0.45</v>
      </c>
      <c r="G419" s="635">
        <v>0.45</v>
      </c>
      <c r="H419" s="635">
        <v>0.45</v>
      </c>
      <c r="I419" s="635">
        <v>0.45</v>
      </c>
      <c r="J419" s="635">
        <v>0.45</v>
      </c>
      <c r="K419" s="635">
        <v>0.45</v>
      </c>
      <c r="L419" s="635">
        <v>0.45</v>
      </c>
      <c r="M419" s="635">
        <v>0.45</v>
      </c>
      <c r="N419" s="673">
        <v>0.45</v>
      </c>
      <c r="O419" s="673">
        <v>0.45</v>
      </c>
    </row>
    <row r="420" s="600" customFormat="1" spans="1:15">
      <c r="A420" s="646"/>
      <c r="B420" s="531" t="s">
        <v>800</v>
      </c>
      <c r="C420" s="600">
        <v>73798.97218848</v>
      </c>
      <c r="D420" s="635">
        <v>73798.97218848</v>
      </c>
      <c r="E420" s="635">
        <v>73798.97218848</v>
      </c>
      <c r="F420" s="635">
        <v>73798.97218848</v>
      </c>
      <c r="G420" s="635">
        <v>73798.97218848</v>
      </c>
      <c r="H420" s="635">
        <v>73798.97218848</v>
      </c>
      <c r="I420" s="635">
        <v>73798.97218848</v>
      </c>
      <c r="J420" s="635">
        <v>73798.97218848</v>
      </c>
      <c r="K420" s="635">
        <v>73798.97218848</v>
      </c>
      <c r="L420" s="635">
        <v>73798.97218848</v>
      </c>
      <c r="M420" s="635">
        <v>73798.97218848</v>
      </c>
      <c r="N420" s="673">
        <v>73798.97218848</v>
      </c>
      <c r="O420" s="673">
        <v>73798.97218848</v>
      </c>
    </row>
    <row r="421" s="600" customFormat="1" spans="1:15">
      <c r="A421" s="646"/>
      <c r="B421" s="531" t="s">
        <v>801</v>
      </c>
      <c r="C421" s="600">
        <v>0.48</v>
      </c>
      <c r="D421" s="635">
        <v>0.48</v>
      </c>
      <c r="E421" s="635">
        <v>0.48</v>
      </c>
      <c r="F421" s="635">
        <v>0.48</v>
      </c>
      <c r="G421" s="635">
        <v>0.48</v>
      </c>
      <c r="H421" s="635">
        <v>0.48</v>
      </c>
      <c r="I421" s="635">
        <v>0.48</v>
      </c>
      <c r="J421" s="635">
        <v>0.48</v>
      </c>
      <c r="K421" s="635">
        <v>0.48</v>
      </c>
      <c r="L421" s="635">
        <v>0.48</v>
      </c>
      <c r="M421" s="635">
        <v>0.48</v>
      </c>
      <c r="N421" s="673">
        <v>0.48</v>
      </c>
      <c r="O421" s="673">
        <v>0.48</v>
      </c>
    </row>
    <row r="422" s="600" customFormat="1" spans="1:15">
      <c r="A422" s="646"/>
      <c r="B422" s="531" t="s">
        <v>801</v>
      </c>
      <c r="C422" s="600">
        <v>83797.542614016</v>
      </c>
      <c r="D422" s="635">
        <v>83797.542614016</v>
      </c>
      <c r="E422" s="635">
        <v>83797.542614016</v>
      </c>
      <c r="F422" s="635">
        <v>83797.542614016</v>
      </c>
      <c r="G422" s="635">
        <v>83797.542614016</v>
      </c>
      <c r="H422" s="635">
        <v>83797.542614016</v>
      </c>
      <c r="I422" s="635">
        <v>83797.542614016</v>
      </c>
      <c r="J422" s="635">
        <v>83797.542614016</v>
      </c>
      <c r="K422" s="635">
        <v>83797.542614016</v>
      </c>
      <c r="L422" s="635">
        <v>83797.542614016</v>
      </c>
      <c r="M422" s="635">
        <v>83797.542614016</v>
      </c>
      <c r="N422" s="673">
        <v>83797.542614016</v>
      </c>
      <c r="O422" s="673">
        <v>83797.542614016</v>
      </c>
    </row>
    <row r="423" s="600" customFormat="1" spans="1:15">
      <c r="A423" s="646"/>
      <c r="B423" s="531" t="s">
        <v>802</v>
      </c>
      <c r="C423" s="600">
        <v>0.5</v>
      </c>
      <c r="D423" s="635">
        <v>0.5</v>
      </c>
      <c r="E423" s="635">
        <v>0.5</v>
      </c>
      <c r="F423" s="635">
        <v>0.5</v>
      </c>
      <c r="G423" s="635">
        <v>0.5</v>
      </c>
      <c r="H423" s="635">
        <v>0.5</v>
      </c>
      <c r="I423" s="635">
        <v>0.5</v>
      </c>
      <c r="J423" s="635">
        <v>0.5</v>
      </c>
      <c r="K423" s="635">
        <v>0.5</v>
      </c>
      <c r="L423" s="635">
        <v>0.5</v>
      </c>
      <c r="M423" s="635">
        <v>0.5</v>
      </c>
      <c r="N423" s="673">
        <v>0.5</v>
      </c>
      <c r="O423" s="673">
        <v>0.5</v>
      </c>
    </row>
    <row r="424" s="600" customFormat="1" spans="1:15">
      <c r="A424" s="646"/>
      <c r="B424" s="531" t="s">
        <v>802</v>
      </c>
      <c r="C424" s="600">
        <v>98296.2376704</v>
      </c>
      <c r="D424" s="635">
        <v>98296.2376704</v>
      </c>
      <c r="E424" s="635">
        <v>98296.2376704</v>
      </c>
      <c r="F424" s="635">
        <v>98296.2376704</v>
      </c>
      <c r="G424" s="635">
        <v>98296.2376704</v>
      </c>
      <c r="H424" s="635">
        <v>98296.2376704</v>
      </c>
      <c r="I424" s="635">
        <v>98296.2376704</v>
      </c>
      <c r="J424" s="635">
        <v>98296.2376704</v>
      </c>
      <c r="K424" s="635">
        <v>98296.2376704</v>
      </c>
      <c r="L424" s="635">
        <v>98296.2376704</v>
      </c>
      <c r="M424" s="635">
        <v>98296.2376704</v>
      </c>
      <c r="N424" s="673">
        <v>98296.2376704</v>
      </c>
      <c r="O424" s="673">
        <v>98296.2376704</v>
      </c>
    </row>
    <row r="425" s="600" customFormat="1" spans="1:15">
      <c r="A425" s="646"/>
      <c r="B425" s="531" t="s">
        <v>803</v>
      </c>
      <c r="C425" s="600">
        <v>0.55</v>
      </c>
      <c r="D425" s="635">
        <v>0.55</v>
      </c>
      <c r="E425" s="635">
        <v>0.55</v>
      </c>
      <c r="F425" s="635">
        <v>0.55</v>
      </c>
      <c r="G425" s="635">
        <v>0.55</v>
      </c>
      <c r="H425" s="635">
        <v>0.55</v>
      </c>
      <c r="I425" s="635">
        <v>0.55</v>
      </c>
      <c r="J425" s="635">
        <v>0.55</v>
      </c>
      <c r="K425" s="635">
        <v>0.55</v>
      </c>
      <c r="L425" s="635">
        <v>0.55</v>
      </c>
      <c r="M425" s="635">
        <v>0.55</v>
      </c>
      <c r="N425" s="673">
        <v>0.55</v>
      </c>
      <c r="O425" s="673">
        <v>0.55</v>
      </c>
    </row>
    <row r="426" s="600" customFormat="1" spans="1:15">
      <c r="A426" s="646"/>
      <c r="B426" s="531" t="s">
        <v>803</v>
      </c>
      <c r="C426" s="600">
        <v>90198.74378592</v>
      </c>
      <c r="D426" s="635">
        <v>90198.74378592</v>
      </c>
      <c r="E426" s="635">
        <v>90198.74378592</v>
      </c>
      <c r="F426" s="635">
        <v>90198.74378592</v>
      </c>
      <c r="G426" s="635">
        <v>90198.74378592</v>
      </c>
      <c r="H426" s="635">
        <v>90198.74378592</v>
      </c>
      <c r="I426" s="635">
        <v>90198.74378592</v>
      </c>
      <c r="J426" s="635">
        <v>90198.74378592</v>
      </c>
      <c r="K426" s="635">
        <v>90198.74378592</v>
      </c>
      <c r="L426" s="635">
        <v>90198.74378592</v>
      </c>
      <c r="M426" s="635">
        <v>90198.74378592</v>
      </c>
      <c r="N426" s="673">
        <v>90198.74378592</v>
      </c>
      <c r="O426" s="673">
        <v>90198.74378592</v>
      </c>
    </row>
    <row r="427" s="600" customFormat="1" spans="1:15">
      <c r="A427" s="646"/>
      <c r="B427" s="531" t="s">
        <v>804</v>
      </c>
      <c r="C427" s="600">
        <v>0.52</v>
      </c>
      <c r="D427" s="635">
        <v>0.52</v>
      </c>
      <c r="E427" s="635">
        <v>0.52</v>
      </c>
      <c r="F427" s="635">
        <v>0.52</v>
      </c>
      <c r="G427" s="635">
        <v>0.52</v>
      </c>
      <c r="H427" s="635">
        <v>0.52</v>
      </c>
      <c r="I427" s="635">
        <v>0.52</v>
      </c>
      <c r="J427" s="635">
        <v>0.52</v>
      </c>
      <c r="K427" s="635">
        <v>0.52</v>
      </c>
      <c r="L427" s="635">
        <v>0.52</v>
      </c>
      <c r="M427" s="635">
        <v>0.52</v>
      </c>
      <c r="N427" s="673">
        <v>0.52</v>
      </c>
      <c r="O427" s="673">
        <v>0.52</v>
      </c>
    </row>
    <row r="428" s="600" customFormat="1" spans="1:15">
      <c r="A428" s="646"/>
      <c r="B428" s="531" t="s">
        <v>804</v>
      </c>
      <c r="C428" s="600">
        <v>90780.671165184</v>
      </c>
      <c r="D428" s="635">
        <v>90780.671165184</v>
      </c>
      <c r="E428" s="635">
        <v>90780.671165184</v>
      </c>
      <c r="F428" s="635">
        <v>90780.671165184</v>
      </c>
      <c r="G428" s="635">
        <v>90780.671165184</v>
      </c>
      <c r="H428" s="635">
        <v>90780.671165184</v>
      </c>
      <c r="I428" s="635">
        <v>90780.671165184</v>
      </c>
      <c r="J428" s="635">
        <v>90780.671165184</v>
      </c>
      <c r="K428" s="635">
        <v>90780.671165184</v>
      </c>
      <c r="L428" s="635">
        <v>90780.671165184</v>
      </c>
      <c r="M428" s="635">
        <v>90780.671165184</v>
      </c>
      <c r="N428" s="673">
        <v>90780.671165184</v>
      </c>
      <c r="O428" s="673">
        <v>90780.671165184</v>
      </c>
    </row>
    <row r="429" s="600" customFormat="1" spans="1:15">
      <c r="A429" s="646"/>
      <c r="B429" s="531" t="s">
        <v>805</v>
      </c>
      <c r="C429" s="600">
        <v>0.5</v>
      </c>
      <c r="D429" s="635">
        <v>0.5</v>
      </c>
      <c r="E429" s="635">
        <v>0.5</v>
      </c>
      <c r="F429" s="635">
        <v>0.5</v>
      </c>
      <c r="G429" s="635">
        <v>0.5</v>
      </c>
      <c r="H429" s="635">
        <v>0.5</v>
      </c>
      <c r="I429" s="635">
        <v>0.5</v>
      </c>
      <c r="J429" s="635">
        <v>0.5</v>
      </c>
      <c r="K429" s="635">
        <v>0.5</v>
      </c>
      <c r="L429" s="635">
        <v>0.5</v>
      </c>
      <c r="M429" s="635">
        <v>0.5</v>
      </c>
      <c r="N429" s="673">
        <v>0.5</v>
      </c>
      <c r="O429" s="673">
        <v>0.5</v>
      </c>
    </row>
    <row r="430" s="600" customFormat="1" spans="1:15">
      <c r="A430" s="646"/>
      <c r="B430" s="531" t="s">
        <v>805</v>
      </c>
      <c r="C430" s="600">
        <v>98296.2376704</v>
      </c>
      <c r="D430" s="635">
        <v>98296.2376704</v>
      </c>
      <c r="E430" s="635">
        <v>98296.2376704</v>
      </c>
      <c r="F430" s="635">
        <v>98296.2376704</v>
      </c>
      <c r="G430" s="635">
        <v>98296.2376704</v>
      </c>
      <c r="H430" s="635">
        <v>98296.2376704</v>
      </c>
      <c r="I430" s="635">
        <v>98296.2376704</v>
      </c>
      <c r="J430" s="635">
        <v>98296.2376704</v>
      </c>
      <c r="K430" s="635">
        <v>98296.2376704</v>
      </c>
      <c r="L430" s="635">
        <v>98296.2376704</v>
      </c>
      <c r="M430" s="635">
        <v>98296.2376704</v>
      </c>
      <c r="N430" s="673">
        <v>98296.2376704</v>
      </c>
      <c r="O430" s="673">
        <v>98296.2376704</v>
      </c>
    </row>
    <row r="431" s="600" customFormat="1" spans="1:15">
      <c r="A431" s="646"/>
      <c r="B431" s="531" t="s">
        <v>806</v>
      </c>
      <c r="C431" s="600">
        <v>0</v>
      </c>
      <c r="D431" s="635">
        <v>0</v>
      </c>
      <c r="E431" s="635">
        <v>0</v>
      </c>
      <c r="F431" s="635">
        <v>0</v>
      </c>
      <c r="G431" s="635">
        <v>0</v>
      </c>
      <c r="H431" s="635">
        <v>0</v>
      </c>
      <c r="I431" s="635">
        <v>0</v>
      </c>
      <c r="J431" s="635">
        <v>0</v>
      </c>
      <c r="K431" s="635">
        <v>0</v>
      </c>
      <c r="L431" s="635">
        <v>0</v>
      </c>
      <c r="M431" s="635">
        <v>0</v>
      </c>
      <c r="N431" s="673">
        <v>0</v>
      </c>
      <c r="O431" s="673">
        <v>0</v>
      </c>
    </row>
    <row r="432" s="600" customFormat="1" spans="1:15">
      <c r="A432" s="646"/>
      <c r="B432" s="531" t="s">
        <v>806</v>
      </c>
      <c r="C432" s="600">
        <v>0</v>
      </c>
      <c r="D432" s="635">
        <v>0</v>
      </c>
      <c r="E432" s="635">
        <v>0</v>
      </c>
      <c r="F432" s="635">
        <v>0</v>
      </c>
      <c r="G432" s="635">
        <v>0</v>
      </c>
      <c r="H432" s="635">
        <v>0</v>
      </c>
      <c r="I432" s="635">
        <v>0</v>
      </c>
      <c r="J432" s="635">
        <v>0</v>
      </c>
      <c r="K432" s="635">
        <v>0</v>
      </c>
      <c r="L432" s="635">
        <v>0</v>
      </c>
      <c r="M432" s="635">
        <v>0</v>
      </c>
      <c r="N432" s="673">
        <v>0</v>
      </c>
      <c r="O432" s="673">
        <v>0</v>
      </c>
    </row>
    <row r="433" s="600" customFormat="1" spans="1:15">
      <c r="A433" s="646"/>
      <c r="B433" s="531" t="s">
        <v>807</v>
      </c>
      <c r="C433" s="600">
        <v>0</v>
      </c>
      <c r="D433" s="635">
        <v>0</v>
      </c>
      <c r="E433" s="635">
        <v>0</v>
      </c>
      <c r="F433" s="635">
        <v>0</v>
      </c>
      <c r="G433" s="635">
        <v>0</v>
      </c>
      <c r="H433" s="635">
        <v>0</v>
      </c>
      <c r="I433" s="635">
        <v>0</v>
      </c>
      <c r="J433" s="635">
        <v>0</v>
      </c>
      <c r="K433" s="635">
        <v>0</v>
      </c>
      <c r="L433" s="635">
        <v>0</v>
      </c>
      <c r="M433" s="635">
        <v>0</v>
      </c>
      <c r="N433" s="673">
        <v>0</v>
      </c>
      <c r="O433" s="673">
        <v>0</v>
      </c>
    </row>
    <row r="434" s="600" customFormat="1" spans="1:15">
      <c r="A434" s="646"/>
      <c r="B434" s="531" t="s">
        <v>807</v>
      </c>
      <c r="C434" s="600">
        <v>0</v>
      </c>
      <c r="D434" s="635">
        <v>0</v>
      </c>
      <c r="E434" s="635">
        <v>0</v>
      </c>
      <c r="F434" s="635">
        <v>0</v>
      </c>
      <c r="G434" s="635">
        <v>0</v>
      </c>
      <c r="H434" s="635">
        <v>0</v>
      </c>
      <c r="I434" s="635">
        <v>0</v>
      </c>
      <c r="J434" s="635">
        <v>0</v>
      </c>
      <c r="K434" s="635">
        <v>0</v>
      </c>
      <c r="L434" s="635">
        <v>0</v>
      </c>
      <c r="M434" s="635">
        <v>0</v>
      </c>
      <c r="N434" s="673">
        <v>0</v>
      </c>
      <c r="O434" s="673">
        <v>0</v>
      </c>
    </row>
    <row r="435" s="600" customFormat="1" spans="1:15">
      <c r="A435" s="646"/>
      <c r="B435" s="531" t="s">
        <v>808</v>
      </c>
      <c r="C435" s="600">
        <v>0</v>
      </c>
      <c r="D435" s="635">
        <v>0</v>
      </c>
      <c r="E435" s="635">
        <v>0</v>
      </c>
      <c r="F435" s="635">
        <v>0</v>
      </c>
      <c r="G435" s="635">
        <v>0</v>
      </c>
      <c r="H435" s="635">
        <v>0</v>
      </c>
      <c r="I435" s="635">
        <v>0</v>
      </c>
      <c r="J435" s="635">
        <v>0</v>
      </c>
      <c r="K435" s="635">
        <v>0</v>
      </c>
      <c r="L435" s="635">
        <v>0</v>
      </c>
      <c r="M435" s="635">
        <v>0</v>
      </c>
      <c r="N435" s="673">
        <v>0</v>
      </c>
      <c r="O435" s="673">
        <v>0</v>
      </c>
    </row>
    <row r="436" s="600" customFormat="1" spans="1:15">
      <c r="A436" s="646"/>
      <c r="B436" s="531" t="s">
        <v>808</v>
      </c>
      <c r="C436" s="600">
        <v>0</v>
      </c>
      <c r="D436" s="635">
        <v>0</v>
      </c>
      <c r="E436" s="635">
        <v>0</v>
      </c>
      <c r="F436" s="635">
        <v>0</v>
      </c>
      <c r="G436" s="635">
        <v>0</v>
      </c>
      <c r="H436" s="635">
        <v>0</v>
      </c>
      <c r="I436" s="635">
        <v>0</v>
      </c>
      <c r="J436" s="635">
        <v>0</v>
      </c>
      <c r="K436" s="635">
        <v>0</v>
      </c>
      <c r="L436" s="635">
        <v>0</v>
      </c>
      <c r="M436" s="635">
        <v>0</v>
      </c>
      <c r="N436" s="673">
        <v>0</v>
      </c>
      <c r="O436" s="673">
        <v>0</v>
      </c>
    </row>
    <row r="438" spans="1:15">
      <c r="A438" s="518">
        <v>6.1</v>
      </c>
      <c r="B438" s="519" t="s">
        <v>73</v>
      </c>
      <c r="D438" s="623"/>
      <c r="E438" s="623"/>
      <c r="F438" s="623"/>
      <c r="G438" s="623"/>
      <c r="H438" s="623"/>
      <c r="I438" s="623"/>
      <c r="J438" s="623"/>
      <c r="K438" s="623"/>
      <c r="L438" s="623"/>
      <c r="M438" s="623"/>
      <c r="N438" s="626"/>
      <c r="O438" s="626"/>
    </row>
    <row r="439" s="597" customFormat="1" spans="1:15">
      <c r="A439" s="618"/>
      <c r="B439" s="526" t="s">
        <v>809</v>
      </c>
      <c r="C439" s="597">
        <v>1512.12278253937</v>
      </c>
      <c r="D439" s="663">
        <v>412.921728739295</v>
      </c>
      <c r="E439" s="663">
        <v>412.921728739295</v>
      </c>
      <c r="F439" s="663">
        <v>412.921728739295</v>
      </c>
      <c r="G439" s="663">
        <v>412.921728739295</v>
      </c>
      <c r="H439" s="663">
        <v>412.921728739295</v>
      </c>
      <c r="I439" s="663">
        <v>412.921728739295</v>
      </c>
      <c r="J439" s="663">
        <v>412.921728739295</v>
      </c>
      <c r="K439" s="663">
        <v>412.921728739295</v>
      </c>
      <c r="L439" s="663">
        <v>412.921728739295</v>
      </c>
      <c r="M439" s="663">
        <v>412.921728739295</v>
      </c>
      <c r="N439" s="666">
        <v>412.921728739295</v>
      </c>
      <c r="O439" s="666">
        <v>412.921728739295</v>
      </c>
    </row>
    <row r="440" s="597" customFormat="1" spans="1:15">
      <c r="A440" s="618"/>
      <c r="B440" s="526" t="s">
        <v>810</v>
      </c>
      <c r="C440" s="597">
        <v>1512.12278253937</v>
      </c>
      <c r="D440" s="663">
        <v>412.921728739295</v>
      </c>
      <c r="E440" s="663">
        <v>412.921728739295</v>
      </c>
      <c r="F440" s="663">
        <v>412.921728739295</v>
      </c>
      <c r="G440" s="663">
        <v>412.921728739295</v>
      </c>
      <c r="H440" s="663">
        <v>412.921728739295</v>
      </c>
      <c r="I440" s="663">
        <v>412.921728739295</v>
      </c>
      <c r="J440" s="663">
        <v>412.921728739295</v>
      </c>
      <c r="K440" s="663">
        <v>412.921728739295</v>
      </c>
      <c r="L440" s="663">
        <v>412.921728739295</v>
      </c>
      <c r="M440" s="663">
        <v>412.921728739295</v>
      </c>
      <c r="N440" s="666">
        <v>412.921728739295</v>
      </c>
      <c r="O440" s="666">
        <v>412.921728739295</v>
      </c>
    </row>
    <row r="441" s="597" customFormat="1" spans="1:15">
      <c r="A441" s="618"/>
      <c r="B441" s="526" t="s">
        <v>811</v>
      </c>
      <c r="C441" s="597">
        <v>1618.28713924416</v>
      </c>
      <c r="D441" s="663">
        <v>412.921728739295</v>
      </c>
      <c r="E441" s="663">
        <v>412.921728739295</v>
      </c>
      <c r="F441" s="663">
        <v>412.921728739295</v>
      </c>
      <c r="G441" s="663">
        <v>412.921728739295</v>
      </c>
      <c r="H441" s="663">
        <v>412.921728739295</v>
      </c>
      <c r="I441" s="663">
        <v>412.921728739295</v>
      </c>
      <c r="J441" s="663">
        <v>412.921728739295</v>
      </c>
      <c r="K441" s="663">
        <v>412.921728739295</v>
      </c>
      <c r="L441" s="663">
        <v>412.921728739295</v>
      </c>
      <c r="M441" s="663">
        <v>412.921728739295</v>
      </c>
      <c r="N441" s="666">
        <v>412.921728739295</v>
      </c>
      <c r="O441" s="666">
        <v>412.921728739295</v>
      </c>
    </row>
    <row r="442" s="597" customFormat="1" spans="1:15">
      <c r="A442" s="618"/>
      <c r="B442" s="526" t="s">
        <v>812</v>
      </c>
      <c r="C442" s="597">
        <v>1478.93013100437</v>
      </c>
      <c r="D442" s="663">
        <v>442.26480824064</v>
      </c>
      <c r="E442" s="663">
        <v>442.26480824064</v>
      </c>
      <c r="F442" s="663">
        <v>442.26480824064</v>
      </c>
      <c r="G442" s="663">
        <v>442.26480824064</v>
      </c>
      <c r="H442" s="663">
        <v>442.26480824064</v>
      </c>
      <c r="I442" s="663">
        <v>442.26480824064</v>
      </c>
      <c r="J442" s="663">
        <v>442.26480824064</v>
      </c>
      <c r="K442" s="663">
        <v>442.26480824064</v>
      </c>
      <c r="L442" s="663">
        <v>442.26480824064</v>
      </c>
      <c r="M442" s="663">
        <v>442.26480824064</v>
      </c>
      <c r="N442" s="666">
        <v>442.26480824064</v>
      </c>
      <c r="O442" s="666">
        <v>442.26480824064</v>
      </c>
    </row>
    <row r="443" s="597" customFormat="1" spans="1:15">
      <c r="A443" s="618"/>
      <c r="B443" s="526" t="s">
        <v>813</v>
      </c>
      <c r="C443" s="597">
        <v>1774.71615720524</v>
      </c>
      <c r="D443" s="663">
        <v>1219.37153419593</v>
      </c>
      <c r="E443" s="663">
        <v>1219.37153419593</v>
      </c>
      <c r="F443" s="663">
        <v>1219.37153419593</v>
      </c>
      <c r="G443" s="663">
        <v>1219.37153419593</v>
      </c>
      <c r="H443" s="663">
        <v>1219.37153419593</v>
      </c>
      <c r="I443" s="663">
        <v>1219.37153419593</v>
      </c>
      <c r="J443" s="663">
        <v>1219.37153419593</v>
      </c>
      <c r="K443" s="663">
        <v>1219.37153419593</v>
      </c>
      <c r="L443" s="663">
        <v>1219.37153419593</v>
      </c>
      <c r="M443" s="663">
        <v>1219.37153419593</v>
      </c>
      <c r="N443" s="666">
        <v>1219.37153419593</v>
      </c>
      <c r="O443" s="666">
        <v>1219.37153419593</v>
      </c>
    </row>
    <row r="444" s="597" customFormat="1" spans="1:15">
      <c r="A444" s="618"/>
      <c r="B444" s="526" t="s">
        <v>814</v>
      </c>
      <c r="C444" s="597">
        <v>2311.8387703488</v>
      </c>
      <c r="D444" s="663">
        <v>1270.0462836918</v>
      </c>
      <c r="E444" s="663">
        <v>1270.0462836918</v>
      </c>
      <c r="F444" s="663">
        <v>1270.0462836918</v>
      </c>
      <c r="G444" s="663">
        <v>1270.0462836918</v>
      </c>
      <c r="H444" s="663">
        <v>1270.0462836918</v>
      </c>
      <c r="I444" s="663">
        <v>1270.0462836918</v>
      </c>
      <c r="J444" s="663">
        <v>1270.0462836918</v>
      </c>
      <c r="K444" s="663">
        <v>1270.0462836918</v>
      </c>
      <c r="L444" s="663">
        <v>1270.0462836918</v>
      </c>
      <c r="M444" s="663">
        <v>1270.0462836918</v>
      </c>
      <c r="N444" s="666">
        <v>1270.0462836918</v>
      </c>
      <c r="O444" s="666">
        <v>1270.0462836918</v>
      </c>
    </row>
    <row r="445" s="597" customFormat="1" spans="1:15">
      <c r="A445" s="618"/>
      <c r="B445" s="526" t="s">
        <v>815</v>
      </c>
      <c r="C445" s="597">
        <v>2311.8387703488</v>
      </c>
      <c r="D445" s="663">
        <v>1270.0462836918</v>
      </c>
      <c r="E445" s="663">
        <v>1270.0462836918</v>
      </c>
      <c r="F445" s="663">
        <v>1270.0462836918</v>
      </c>
      <c r="G445" s="663">
        <v>1270.0462836918</v>
      </c>
      <c r="H445" s="663">
        <v>1270.0462836918</v>
      </c>
      <c r="I445" s="663">
        <v>1270.0462836918</v>
      </c>
      <c r="J445" s="663">
        <v>1270.0462836918</v>
      </c>
      <c r="K445" s="663">
        <v>1270.0462836918</v>
      </c>
      <c r="L445" s="663">
        <v>1270.0462836918</v>
      </c>
      <c r="M445" s="663">
        <v>1270.0462836918</v>
      </c>
      <c r="N445" s="666">
        <v>1270.0462836918</v>
      </c>
      <c r="O445" s="666">
        <v>1270.0462836918</v>
      </c>
    </row>
    <row r="446" s="597" customFormat="1" spans="1:15">
      <c r="A446" s="618"/>
      <c r="B446" s="526" t="s">
        <v>816</v>
      </c>
      <c r="C446" s="597">
        <v>2310.24159166272</v>
      </c>
      <c r="D446" s="663">
        <v>1292.56857855362</v>
      </c>
      <c r="E446" s="663">
        <v>1292.56857855362</v>
      </c>
      <c r="F446" s="663">
        <v>1292.56857855362</v>
      </c>
      <c r="G446" s="663">
        <v>1292.56857855362</v>
      </c>
      <c r="H446" s="663">
        <v>1292.56857855362</v>
      </c>
      <c r="I446" s="663">
        <v>1292.56857855362</v>
      </c>
      <c r="J446" s="663">
        <v>1292.56857855362</v>
      </c>
      <c r="K446" s="663">
        <v>1292.56857855362</v>
      </c>
      <c r="L446" s="663">
        <v>1292.56857855362</v>
      </c>
      <c r="M446" s="663">
        <v>1292.56857855362</v>
      </c>
      <c r="N446" s="666">
        <v>1292.56857855362</v>
      </c>
      <c r="O446" s="666">
        <v>1292.56857855362</v>
      </c>
    </row>
    <row r="447" s="597" customFormat="1" spans="1:15">
      <c r="A447" s="618"/>
      <c r="B447" s="526" t="s">
        <v>817</v>
      </c>
      <c r="C447" s="597">
        <v>2310.24159166272</v>
      </c>
      <c r="D447" s="663">
        <v>1292.56857855362</v>
      </c>
      <c r="E447" s="663">
        <v>1292.56857855362</v>
      </c>
      <c r="F447" s="663">
        <v>1292.56857855362</v>
      </c>
      <c r="G447" s="663">
        <v>1292.56857855362</v>
      </c>
      <c r="H447" s="663">
        <v>1292.56857855362</v>
      </c>
      <c r="I447" s="663">
        <v>1292.56857855362</v>
      </c>
      <c r="J447" s="663">
        <v>1292.56857855362</v>
      </c>
      <c r="K447" s="663">
        <v>1292.56857855362</v>
      </c>
      <c r="L447" s="663">
        <v>1292.56857855362</v>
      </c>
      <c r="M447" s="663">
        <v>1292.56857855362</v>
      </c>
      <c r="N447" s="666">
        <v>1292.56857855362</v>
      </c>
      <c r="O447" s="666">
        <v>1292.56857855362</v>
      </c>
    </row>
    <row r="448" s="597" customFormat="1" spans="1:15">
      <c r="A448" s="618"/>
      <c r="B448" s="526" t="s">
        <v>818</v>
      </c>
      <c r="C448" s="597">
        <v>2198.85366472229</v>
      </c>
      <c r="D448" s="663">
        <v>1040.5047318612</v>
      </c>
      <c r="E448" s="663">
        <v>1040.5047318612</v>
      </c>
      <c r="F448" s="663">
        <v>1040.5047318612</v>
      </c>
      <c r="G448" s="663">
        <v>1040.5047318612</v>
      </c>
      <c r="H448" s="663">
        <v>1040.5047318612</v>
      </c>
      <c r="I448" s="663">
        <v>1040.5047318612</v>
      </c>
      <c r="J448" s="663">
        <v>1040.5047318612</v>
      </c>
      <c r="K448" s="663">
        <v>1040.5047318612</v>
      </c>
      <c r="L448" s="663">
        <v>1040.5047318612</v>
      </c>
      <c r="M448" s="663">
        <v>1040.5047318612</v>
      </c>
      <c r="N448" s="666">
        <v>1040.5047318612</v>
      </c>
      <c r="O448" s="666">
        <v>1040.5047318612</v>
      </c>
    </row>
    <row r="449" s="597" customFormat="1" spans="1:15">
      <c r="A449" s="618"/>
      <c r="B449" s="526" t="s">
        <v>819</v>
      </c>
      <c r="C449" s="597">
        <v>1478.93013100437</v>
      </c>
      <c r="D449" s="663">
        <v>642.393767705383</v>
      </c>
      <c r="E449" s="663">
        <v>642.393767705383</v>
      </c>
      <c r="F449" s="663">
        <v>642.393767705383</v>
      </c>
      <c r="G449" s="663">
        <v>642.393767705383</v>
      </c>
      <c r="H449" s="663">
        <v>642.393767705383</v>
      </c>
      <c r="I449" s="663">
        <v>642.393767705383</v>
      </c>
      <c r="J449" s="663">
        <v>642.393767705383</v>
      </c>
      <c r="K449" s="663">
        <v>642.393767705383</v>
      </c>
      <c r="L449" s="663">
        <v>642.393767705383</v>
      </c>
      <c r="M449" s="663">
        <v>642.393767705383</v>
      </c>
      <c r="N449" s="666">
        <v>642.393767705383</v>
      </c>
      <c r="O449" s="666">
        <v>642.393767705383</v>
      </c>
    </row>
    <row r="450" s="597" customFormat="1" spans="1:15">
      <c r="A450" s="618"/>
      <c r="B450" s="526" t="s">
        <v>820</v>
      </c>
      <c r="C450" s="597">
        <v>1478.93013100437</v>
      </c>
      <c r="D450" s="663">
        <v>642.393767705383</v>
      </c>
      <c r="E450" s="663">
        <v>642.393767705383</v>
      </c>
      <c r="F450" s="663">
        <v>642.393767705383</v>
      </c>
      <c r="G450" s="663">
        <v>642.393767705383</v>
      </c>
      <c r="H450" s="663">
        <v>642.393767705383</v>
      </c>
      <c r="I450" s="663">
        <v>642.393767705383</v>
      </c>
      <c r="J450" s="663">
        <v>642.393767705383</v>
      </c>
      <c r="K450" s="663">
        <v>642.393767705383</v>
      </c>
      <c r="L450" s="663">
        <v>642.393767705383</v>
      </c>
      <c r="M450" s="663">
        <v>642.393767705383</v>
      </c>
      <c r="N450" s="666">
        <v>642.393767705383</v>
      </c>
      <c r="O450" s="666">
        <v>642.393767705383</v>
      </c>
    </row>
    <row r="451" s="597" customFormat="1" spans="1:15">
      <c r="A451" s="618"/>
      <c r="B451" s="526" t="s">
        <v>821</v>
      </c>
      <c r="C451" s="597">
        <v>1797.59244639744</v>
      </c>
      <c r="D451" s="663">
        <v>391.184905660377</v>
      </c>
      <c r="E451" s="663">
        <v>391.184905660377</v>
      </c>
      <c r="F451" s="663">
        <v>391.184905660377</v>
      </c>
      <c r="G451" s="663">
        <v>391.184905660377</v>
      </c>
      <c r="H451" s="663">
        <v>391.184905660377</v>
      </c>
      <c r="I451" s="663">
        <v>391.184905660377</v>
      </c>
      <c r="J451" s="663">
        <v>391.184905660377</v>
      </c>
      <c r="K451" s="663">
        <v>391.184905660377</v>
      </c>
      <c r="L451" s="663">
        <v>391.184905660377</v>
      </c>
      <c r="M451" s="663">
        <v>391.184905660377</v>
      </c>
      <c r="N451" s="666">
        <v>391.184905660377</v>
      </c>
      <c r="O451" s="666">
        <v>391.184905660377</v>
      </c>
    </row>
    <row r="452" s="597" customFormat="1" spans="1:15">
      <c r="A452" s="618"/>
      <c r="B452" s="526" t="s">
        <v>822</v>
      </c>
      <c r="C452" s="597">
        <v>1797.59244639744</v>
      </c>
      <c r="D452" s="663">
        <v>391.184905660377</v>
      </c>
      <c r="E452" s="663">
        <v>391.184905660377</v>
      </c>
      <c r="F452" s="663">
        <v>391.184905660377</v>
      </c>
      <c r="G452" s="663">
        <v>391.184905660377</v>
      </c>
      <c r="H452" s="663">
        <v>391.184905660377</v>
      </c>
      <c r="I452" s="663">
        <v>391.184905660377</v>
      </c>
      <c r="J452" s="663">
        <v>391.184905660377</v>
      </c>
      <c r="K452" s="663">
        <v>391.184905660377</v>
      </c>
      <c r="L452" s="663">
        <v>391.184905660377</v>
      </c>
      <c r="M452" s="663">
        <v>391.184905660377</v>
      </c>
      <c r="N452" s="666">
        <v>391.184905660377</v>
      </c>
      <c r="O452" s="666">
        <v>391.184905660377</v>
      </c>
    </row>
    <row r="453" s="597" customFormat="1" spans="1:15">
      <c r="A453" s="618"/>
      <c r="B453" s="526" t="s">
        <v>823</v>
      </c>
      <c r="C453" s="597">
        <v>1632.87128712871</v>
      </c>
      <c r="D453" s="663">
        <v>391.184905660377</v>
      </c>
      <c r="E453" s="663">
        <v>391.184905660377</v>
      </c>
      <c r="F453" s="663">
        <v>391.184905660377</v>
      </c>
      <c r="G453" s="663">
        <v>391.184905660377</v>
      </c>
      <c r="H453" s="663">
        <v>391.184905660377</v>
      </c>
      <c r="I453" s="663">
        <v>391.184905660377</v>
      </c>
      <c r="J453" s="663">
        <v>391.184905660377</v>
      </c>
      <c r="K453" s="663">
        <v>391.184905660377</v>
      </c>
      <c r="L453" s="663">
        <v>391.184905660377</v>
      </c>
      <c r="M453" s="663">
        <v>391.184905660377</v>
      </c>
      <c r="N453" s="666">
        <v>391.184905660377</v>
      </c>
      <c r="O453" s="666">
        <v>391.184905660377</v>
      </c>
    </row>
    <row r="454" s="597" customFormat="1" spans="1:15">
      <c r="A454" s="618"/>
      <c r="B454" s="526" t="s">
        <v>824</v>
      </c>
      <c r="C454" s="597">
        <v>1745.18518518519</v>
      </c>
      <c r="D454" s="663">
        <v>470.79802167552</v>
      </c>
      <c r="E454" s="663">
        <v>470.79802167552</v>
      </c>
      <c r="F454" s="663">
        <v>470.79802167552</v>
      </c>
      <c r="G454" s="663">
        <v>470.79802167552</v>
      </c>
      <c r="H454" s="663">
        <v>470.79802167552</v>
      </c>
      <c r="I454" s="663">
        <v>470.79802167552</v>
      </c>
      <c r="J454" s="663">
        <v>470.79802167552</v>
      </c>
      <c r="K454" s="663">
        <v>470.79802167552</v>
      </c>
      <c r="L454" s="663">
        <v>470.79802167552</v>
      </c>
      <c r="M454" s="663">
        <v>470.79802167552</v>
      </c>
      <c r="N454" s="666">
        <v>470.79802167552</v>
      </c>
      <c r="O454" s="666">
        <v>470.79802167552</v>
      </c>
    </row>
    <row r="455" s="597" customFormat="1" spans="1:15">
      <c r="A455" s="618"/>
      <c r="B455" s="526" t="s">
        <v>825</v>
      </c>
      <c r="C455" s="597">
        <v>2036.04938271605</v>
      </c>
      <c r="D455" s="663">
        <v>1318.04195804196</v>
      </c>
      <c r="E455" s="663">
        <v>1318.04195804196</v>
      </c>
      <c r="F455" s="663">
        <v>1318.04195804196</v>
      </c>
      <c r="G455" s="663">
        <v>1318.04195804196</v>
      </c>
      <c r="H455" s="663">
        <v>1318.04195804196</v>
      </c>
      <c r="I455" s="663">
        <v>1318.04195804196</v>
      </c>
      <c r="J455" s="663">
        <v>1318.04195804196</v>
      </c>
      <c r="K455" s="663">
        <v>1318.04195804196</v>
      </c>
      <c r="L455" s="663">
        <v>1318.04195804196</v>
      </c>
      <c r="M455" s="663">
        <v>1318.04195804196</v>
      </c>
      <c r="N455" s="666">
        <v>1318.04195804196</v>
      </c>
      <c r="O455" s="666">
        <v>1318.04195804196</v>
      </c>
    </row>
    <row r="456" s="597" customFormat="1" spans="1:15">
      <c r="A456" s="618"/>
      <c r="B456" s="526" t="s">
        <v>826</v>
      </c>
      <c r="C456" s="597">
        <v>2567.9892091392</v>
      </c>
      <c r="D456" s="663">
        <v>1332.44215938303</v>
      </c>
      <c r="E456" s="663">
        <v>1332.44215938303</v>
      </c>
      <c r="F456" s="663">
        <v>1332.44215938303</v>
      </c>
      <c r="G456" s="663">
        <v>1332.44215938303</v>
      </c>
      <c r="H456" s="663">
        <v>1332.44215938303</v>
      </c>
      <c r="I456" s="663">
        <v>1332.44215938303</v>
      </c>
      <c r="J456" s="663">
        <v>1332.44215938303</v>
      </c>
      <c r="K456" s="663">
        <v>1332.44215938303</v>
      </c>
      <c r="L456" s="663">
        <v>1332.44215938303</v>
      </c>
      <c r="M456" s="663">
        <v>1332.44215938303</v>
      </c>
      <c r="N456" s="666">
        <v>1332.44215938303</v>
      </c>
      <c r="O456" s="666">
        <v>1332.44215938303</v>
      </c>
    </row>
    <row r="457" s="597" customFormat="1" spans="1:15">
      <c r="A457" s="618"/>
      <c r="B457" s="526" t="s">
        <v>827</v>
      </c>
      <c r="C457" s="597">
        <v>2567.9892091392</v>
      </c>
      <c r="D457" s="663">
        <v>1332.44215938303</v>
      </c>
      <c r="E457" s="663">
        <v>1332.44215938303</v>
      </c>
      <c r="F457" s="663">
        <v>1332.44215938303</v>
      </c>
      <c r="G457" s="663">
        <v>1332.44215938303</v>
      </c>
      <c r="H457" s="663">
        <v>1332.44215938303</v>
      </c>
      <c r="I457" s="663">
        <v>1332.44215938303</v>
      </c>
      <c r="J457" s="663">
        <v>1332.44215938303</v>
      </c>
      <c r="K457" s="663">
        <v>1332.44215938303</v>
      </c>
      <c r="L457" s="663">
        <v>1332.44215938303</v>
      </c>
      <c r="M457" s="663">
        <v>1332.44215938303</v>
      </c>
      <c r="N457" s="666">
        <v>1332.44215938303</v>
      </c>
      <c r="O457" s="666">
        <v>1332.44215938303</v>
      </c>
    </row>
    <row r="458" s="597" customFormat="1" spans="1:15">
      <c r="A458" s="618"/>
      <c r="B458" s="526" t="s">
        <v>828</v>
      </c>
      <c r="C458" s="597">
        <v>2522.48394004283</v>
      </c>
      <c r="D458" s="663">
        <v>1374.44902769593</v>
      </c>
      <c r="E458" s="663">
        <v>1374.44902769593</v>
      </c>
      <c r="F458" s="663">
        <v>1374.44902769593</v>
      </c>
      <c r="G458" s="663">
        <v>1374.44902769593</v>
      </c>
      <c r="H458" s="663">
        <v>1374.44902769593</v>
      </c>
      <c r="I458" s="663">
        <v>1374.44902769593</v>
      </c>
      <c r="J458" s="663">
        <v>1374.44902769593</v>
      </c>
      <c r="K458" s="663">
        <v>1374.44902769593</v>
      </c>
      <c r="L458" s="663">
        <v>1374.44902769593</v>
      </c>
      <c r="M458" s="663">
        <v>1374.44902769593</v>
      </c>
      <c r="N458" s="666">
        <v>1374.44902769593</v>
      </c>
      <c r="O458" s="666">
        <v>1374.44902769593</v>
      </c>
    </row>
    <row r="459" s="597" customFormat="1" spans="1:15">
      <c r="A459" s="618"/>
      <c r="B459" s="526" t="s">
        <v>829</v>
      </c>
      <c r="C459" s="597">
        <v>2522.48394004283</v>
      </c>
      <c r="D459" s="663">
        <v>1374.44902769593</v>
      </c>
      <c r="E459" s="663">
        <v>1374.44902769593</v>
      </c>
      <c r="F459" s="663">
        <v>1374.44902769593</v>
      </c>
      <c r="G459" s="663">
        <v>1374.44902769593</v>
      </c>
      <c r="H459" s="663">
        <v>1374.44902769593</v>
      </c>
      <c r="I459" s="663">
        <v>1374.44902769593</v>
      </c>
      <c r="J459" s="663">
        <v>1374.44902769593</v>
      </c>
      <c r="K459" s="663">
        <v>1374.44902769593</v>
      </c>
      <c r="L459" s="663">
        <v>1374.44902769593</v>
      </c>
      <c r="M459" s="663">
        <v>1374.44902769593</v>
      </c>
      <c r="N459" s="666">
        <v>1374.44902769593</v>
      </c>
      <c r="O459" s="666">
        <v>1374.44902769593</v>
      </c>
    </row>
    <row r="460" s="597" customFormat="1" spans="1:15">
      <c r="A460" s="618"/>
      <c r="B460" s="526" t="s">
        <v>830</v>
      </c>
      <c r="C460" s="597">
        <v>2431.65137614679</v>
      </c>
      <c r="D460" s="663">
        <v>1123.24195470799</v>
      </c>
      <c r="E460" s="663">
        <v>1123.24195470799</v>
      </c>
      <c r="F460" s="663">
        <v>1123.24195470799</v>
      </c>
      <c r="G460" s="663">
        <v>1123.24195470799</v>
      </c>
      <c r="H460" s="663">
        <v>1123.24195470799</v>
      </c>
      <c r="I460" s="663">
        <v>1123.24195470799</v>
      </c>
      <c r="J460" s="663">
        <v>1123.24195470799</v>
      </c>
      <c r="K460" s="663">
        <v>1123.24195470799</v>
      </c>
      <c r="L460" s="663">
        <v>1123.24195470799</v>
      </c>
      <c r="M460" s="663">
        <v>1123.24195470799</v>
      </c>
      <c r="N460" s="666">
        <v>1123.24195470799</v>
      </c>
      <c r="O460" s="666">
        <v>1123.24195470799</v>
      </c>
    </row>
    <row r="461" s="597" customFormat="1" spans="1:15">
      <c r="A461" s="618"/>
      <c r="B461" s="526" t="s">
        <v>831</v>
      </c>
      <c r="C461" s="597">
        <v>1745.18518518519</v>
      </c>
      <c r="D461" s="663">
        <v>612.154546988358</v>
      </c>
      <c r="E461" s="663">
        <v>612.154546988358</v>
      </c>
      <c r="F461" s="663">
        <v>612.154546988358</v>
      </c>
      <c r="G461" s="663">
        <v>612.154546988358</v>
      </c>
      <c r="H461" s="663">
        <v>612.154546988358</v>
      </c>
      <c r="I461" s="663">
        <v>612.154546988358</v>
      </c>
      <c r="J461" s="663">
        <v>612.154546988358</v>
      </c>
      <c r="K461" s="663">
        <v>612.154546988358</v>
      </c>
      <c r="L461" s="663">
        <v>612.154546988358</v>
      </c>
      <c r="M461" s="663">
        <v>612.154546988358</v>
      </c>
      <c r="N461" s="666">
        <v>612.154546988358</v>
      </c>
      <c r="O461" s="666">
        <v>612.154546988358</v>
      </c>
    </row>
    <row r="462" s="597" customFormat="1" spans="1:15">
      <c r="A462" s="618"/>
      <c r="B462" s="526" t="s">
        <v>832</v>
      </c>
      <c r="C462" s="597">
        <v>1745.18518518519</v>
      </c>
      <c r="D462" s="663">
        <v>612.154546988358</v>
      </c>
      <c r="E462" s="663">
        <v>612.154546988358</v>
      </c>
      <c r="F462" s="663">
        <v>612.154546988358</v>
      </c>
      <c r="G462" s="663">
        <v>612.154546988358</v>
      </c>
      <c r="H462" s="663">
        <v>612.154546988358</v>
      </c>
      <c r="I462" s="663">
        <v>612.154546988358</v>
      </c>
      <c r="J462" s="663">
        <v>612.154546988358</v>
      </c>
      <c r="K462" s="663">
        <v>612.154546988358</v>
      </c>
      <c r="L462" s="663">
        <v>612.154546988358</v>
      </c>
      <c r="M462" s="663">
        <v>612.154546988358</v>
      </c>
      <c r="N462" s="666">
        <v>612.154546988358</v>
      </c>
      <c r="O462" s="666">
        <v>612.154546988358</v>
      </c>
    </row>
    <row r="463" s="597" customFormat="1" spans="1:15">
      <c r="A463" s="618"/>
      <c r="B463" s="526" t="s">
        <v>833</v>
      </c>
      <c r="C463" s="597">
        <v>1648.70618462103</v>
      </c>
      <c r="D463" s="663">
        <v>351.244635193133</v>
      </c>
      <c r="E463" s="663">
        <v>351.244635193133</v>
      </c>
      <c r="F463" s="663">
        <v>351.244635193133</v>
      </c>
      <c r="G463" s="663">
        <v>351.244635193133</v>
      </c>
      <c r="H463" s="671">
        <v>663.4996042752</v>
      </c>
      <c r="I463" s="671">
        <v>663.4996042752</v>
      </c>
      <c r="J463" s="671">
        <v>663.4996042752</v>
      </c>
      <c r="K463" s="671">
        <v>663.4996042752</v>
      </c>
      <c r="L463" s="671">
        <v>663.4996042752</v>
      </c>
      <c r="M463" s="671">
        <v>663.4996042752</v>
      </c>
      <c r="N463" s="674">
        <v>663.4996042752</v>
      </c>
      <c r="O463" s="674">
        <v>663.4996042752</v>
      </c>
    </row>
    <row r="464" s="597" customFormat="1" spans="1:15">
      <c r="A464" s="618"/>
      <c r="B464" s="526" t="s">
        <v>834</v>
      </c>
      <c r="C464" s="597">
        <v>1648.70618462103</v>
      </c>
      <c r="D464" s="663">
        <v>351.244635193133</v>
      </c>
      <c r="E464" s="663">
        <v>351.244635193133</v>
      </c>
      <c r="F464" s="663">
        <v>351.244635193133</v>
      </c>
      <c r="G464" s="663">
        <v>351.244635193133</v>
      </c>
      <c r="H464" s="671">
        <v>663.4996042752</v>
      </c>
      <c r="I464" s="671">
        <v>663.4996042752</v>
      </c>
      <c r="J464" s="671">
        <v>663.4996042752</v>
      </c>
      <c r="K464" s="671">
        <v>663.4996042752</v>
      </c>
      <c r="L464" s="671">
        <v>663.4996042752</v>
      </c>
      <c r="M464" s="671">
        <v>663.4996042752</v>
      </c>
      <c r="N464" s="674">
        <v>663.4996042752</v>
      </c>
      <c r="O464" s="674">
        <v>663.4996042752</v>
      </c>
    </row>
    <row r="465" s="597" customFormat="1" spans="1:15">
      <c r="A465" s="618"/>
      <c r="B465" s="526" t="s">
        <v>835</v>
      </c>
      <c r="C465" s="597">
        <v>1725.16562650024</v>
      </c>
      <c r="D465" s="663">
        <v>351.244635193133</v>
      </c>
      <c r="E465" s="663">
        <v>351.244635193133</v>
      </c>
      <c r="F465" s="663">
        <v>351.244635193133</v>
      </c>
      <c r="G465" s="663">
        <v>351.244635193133</v>
      </c>
      <c r="H465" s="671">
        <v>663.4996042752</v>
      </c>
      <c r="I465" s="671">
        <v>663.4996042752</v>
      </c>
      <c r="J465" s="671">
        <v>663.4996042752</v>
      </c>
      <c r="K465" s="671">
        <v>663.4996042752</v>
      </c>
      <c r="L465" s="671">
        <v>663.4996042752</v>
      </c>
      <c r="M465" s="671">
        <v>663.4996042752</v>
      </c>
      <c r="N465" s="674">
        <v>663.4996042752</v>
      </c>
      <c r="O465" s="674">
        <v>663.4996042752</v>
      </c>
    </row>
    <row r="466" s="597" customFormat="1" spans="1:15">
      <c r="A466" s="618"/>
      <c r="B466" s="526" t="s">
        <v>836</v>
      </c>
      <c r="C466" s="597">
        <v>1780.39060480512</v>
      </c>
      <c r="D466" s="663">
        <v>480.574162679426</v>
      </c>
      <c r="E466" s="663">
        <v>480.574162679426</v>
      </c>
      <c r="F466" s="663">
        <v>480.574162679426</v>
      </c>
      <c r="G466" s="663">
        <v>480.574162679426</v>
      </c>
      <c r="H466" s="671">
        <v>645.224839400428</v>
      </c>
      <c r="I466" s="671">
        <v>645.224839400428</v>
      </c>
      <c r="J466" s="671">
        <v>645.224839400428</v>
      </c>
      <c r="K466" s="671">
        <v>645.224839400428</v>
      </c>
      <c r="L466" s="671">
        <v>645.224839400428</v>
      </c>
      <c r="M466" s="671">
        <v>645.224839400428</v>
      </c>
      <c r="N466" s="674">
        <v>645.224839400428</v>
      </c>
      <c r="O466" s="674">
        <v>645.224839400428</v>
      </c>
    </row>
    <row r="467" s="597" customFormat="1" spans="1:15">
      <c r="A467" s="618"/>
      <c r="B467" s="526" t="s">
        <v>837</v>
      </c>
      <c r="C467" s="597">
        <v>2034.73211977728</v>
      </c>
      <c r="D467" s="663">
        <v>1459.69912940544</v>
      </c>
      <c r="E467" s="663">
        <v>1459.69912940544</v>
      </c>
      <c r="F467" s="663">
        <v>1459.69912940544</v>
      </c>
      <c r="G467" s="663">
        <v>1459.69912940544</v>
      </c>
      <c r="H467" s="671">
        <v>1927.8310940499</v>
      </c>
      <c r="I467" s="671">
        <v>1927.8310940499</v>
      </c>
      <c r="J467" s="671">
        <v>1927.8310940499</v>
      </c>
      <c r="K467" s="671">
        <v>1927.8310940499</v>
      </c>
      <c r="L467" s="671">
        <v>1927.8310940499</v>
      </c>
      <c r="M467" s="671">
        <v>1927.8310940499</v>
      </c>
      <c r="N467" s="674">
        <v>1927.8310940499</v>
      </c>
      <c r="O467" s="674">
        <v>1927.8310940499</v>
      </c>
    </row>
    <row r="468" s="597" customFormat="1" spans="1:15">
      <c r="A468" s="618"/>
      <c r="B468" s="526" t="s">
        <v>838</v>
      </c>
      <c r="C468" s="597">
        <v>2543.4151497216</v>
      </c>
      <c r="D468" s="663">
        <v>1426.98094930578</v>
      </c>
      <c r="E468" s="663">
        <v>1426.98094930578</v>
      </c>
      <c r="F468" s="663">
        <v>1426.98094930578</v>
      </c>
      <c r="G468" s="663">
        <v>1426.98094930578</v>
      </c>
      <c r="H468" s="671">
        <v>1880.3120124805</v>
      </c>
      <c r="I468" s="671">
        <v>1880.3120124805</v>
      </c>
      <c r="J468" s="671">
        <v>1880.3120124805</v>
      </c>
      <c r="K468" s="671">
        <v>1880.3120124805</v>
      </c>
      <c r="L468" s="671">
        <v>1880.3120124805</v>
      </c>
      <c r="M468" s="671">
        <v>1880.3120124805</v>
      </c>
      <c r="N468" s="674">
        <v>1880.3120124805</v>
      </c>
      <c r="O468" s="674">
        <v>1880.3120124805</v>
      </c>
    </row>
    <row r="469" s="597" customFormat="1" spans="1:15">
      <c r="A469" s="618"/>
      <c r="B469" s="526" t="s">
        <v>839</v>
      </c>
      <c r="C469" s="597">
        <v>2543.4151497216</v>
      </c>
      <c r="D469" s="663">
        <v>1426.98094930578</v>
      </c>
      <c r="E469" s="663">
        <v>1426.98094930578</v>
      </c>
      <c r="F469" s="663">
        <v>1426.98094930578</v>
      </c>
      <c r="G469" s="663">
        <v>1426.98094930578</v>
      </c>
      <c r="H469" s="671">
        <v>1880.3120124805</v>
      </c>
      <c r="I469" s="671">
        <v>1880.3120124805</v>
      </c>
      <c r="J469" s="671">
        <v>1880.3120124805</v>
      </c>
      <c r="K469" s="671">
        <v>1880.3120124805</v>
      </c>
      <c r="L469" s="671">
        <v>1880.3120124805</v>
      </c>
      <c r="M469" s="671">
        <v>1880.3120124805</v>
      </c>
      <c r="N469" s="674">
        <v>1880.3120124805</v>
      </c>
      <c r="O469" s="674">
        <v>1880.3120124805</v>
      </c>
    </row>
    <row r="470" s="597" customFormat="1" spans="1:15">
      <c r="A470" s="618"/>
      <c r="B470" s="526" t="s">
        <v>840</v>
      </c>
      <c r="C470" s="597">
        <v>2419.43444730077</v>
      </c>
      <c r="D470" s="663">
        <v>1365.51724137931</v>
      </c>
      <c r="E470" s="663">
        <v>1365.51724137931</v>
      </c>
      <c r="F470" s="663">
        <v>1365.51724137931</v>
      </c>
      <c r="G470" s="663">
        <v>1365.51724137931</v>
      </c>
      <c r="H470" s="671">
        <v>1969.41176470588</v>
      </c>
      <c r="I470" s="671">
        <v>1969.41176470588</v>
      </c>
      <c r="J470" s="671">
        <v>1969.41176470588</v>
      </c>
      <c r="K470" s="671">
        <v>1969.41176470588</v>
      </c>
      <c r="L470" s="671">
        <v>1969.41176470588</v>
      </c>
      <c r="M470" s="671">
        <v>1969.41176470588</v>
      </c>
      <c r="N470" s="674">
        <v>1969.41176470588</v>
      </c>
      <c r="O470" s="674">
        <v>1969.41176470588</v>
      </c>
    </row>
    <row r="471" s="597" customFormat="1" spans="1:15">
      <c r="A471" s="618"/>
      <c r="B471" s="526" t="s">
        <v>841</v>
      </c>
      <c r="C471" s="597">
        <v>2419.43444730077</v>
      </c>
      <c r="D471" s="663">
        <v>1365.51724137931</v>
      </c>
      <c r="E471" s="663">
        <v>1365.51724137931</v>
      </c>
      <c r="F471" s="663">
        <v>1365.51724137931</v>
      </c>
      <c r="G471" s="663">
        <v>1365.51724137931</v>
      </c>
      <c r="H471" s="671">
        <v>1969.41176470588</v>
      </c>
      <c r="I471" s="671">
        <v>1969.41176470588</v>
      </c>
      <c r="J471" s="671">
        <v>1969.41176470588</v>
      </c>
      <c r="K471" s="671">
        <v>1969.41176470588</v>
      </c>
      <c r="L471" s="671">
        <v>1969.41176470588</v>
      </c>
      <c r="M471" s="671">
        <v>1969.41176470588</v>
      </c>
      <c r="N471" s="674">
        <v>1969.41176470588</v>
      </c>
      <c r="O471" s="674">
        <v>1969.41176470588</v>
      </c>
    </row>
    <row r="472" s="597" customFormat="1" spans="1:15">
      <c r="A472" s="618"/>
      <c r="B472" s="526" t="s">
        <v>842</v>
      </c>
      <c r="C472" s="597">
        <v>2361.36154553818</v>
      </c>
      <c r="D472" s="663">
        <v>1128.5393258427</v>
      </c>
      <c r="E472" s="663">
        <v>1128.5393258427</v>
      </c>
      <c r="F472" s="663">
        <v>1128.5393258427</v>
      </c>
      <c r="G472" s="663">
        <v>1128.5393258427</v>
      </c>
      <c r="H472" s="671">
        <v>1649.26108374384</v>
      </c>
      <c r="I472" s="671">
        <v>1649.26108374384</v>
      </c>
      <c r="J472" s="671">
        <v>1649.26108374384</v>
      </c>
      <c r="K472" s="671">
        <v>1649.26108374384</v>
      </c>
      <c r="L472" s="671">
        <v>1649.26108374384</v>
      </c>
      <c r="M472" s="671">
        <v>1649.26108374384</v>
      </c>
      <c r="N472" s="674">
        <v>1649.26108374384</v>
      </c>
      <c r="O472" s="674">
        <v>1649.26108374384</v>
      </c>
    </row>
    <row r="473" s="597" customFormat="1" spans="1:15">
      <c r="A473" s="618"/>
      <c r="B473" s="526" t="s">
        <v>843</v>
      </c>
      <c r="C473" s="597">
        <v>1780.39060480512</v>
      </c>
      <c r="D473" s="663">
        <v>833.482056256062</v>
      </c>
      <c r="E473" s="663">
        <v>833.482056256062</v>
      </c>
      <c r="F473" s="663">
        <v>833.482056256062</v>
      </c>
      <c r="G473" s="663">
        <v>833.482056256062</v>
      </c>
      <c r="H473" s="671">
        <v>1050.94170403587</v>
      </c>
      <c r="I473" s="671">
        <v>1050.94170403587</v>
      </c>
      <c r="J473" s="671">
        <v>1050.94170403587</v>
      </c>
      <c r="K473" s="671">
        <v>1050.94170403587</v>
      </c>
      <c r="L473" s="671">
        <v>1050.94170403587</v>
      </c>
      <c r="M473" s="671">
        <v>1050.94170403587</v>
      </c>
      <c r="N473" s="674">
        <v>1050.94170403587</v>
      </c>
      <c r="O473" s="674">
        <v>1050.94170403587</v>
      </c>
    </row>
    <row r="474" s="597" customFormat="1" spans="1:15">
      <c r="A474" s="618"/>
      <c r="B474" s="526" t="s">
        <v>844</v>
      </c>
      <c r="C474" s="597">
        <v>1780.39060480512</v>
      </c>
      <c r="D474" s="663">
        <v>833.482056256062</v>
      </c>
      <c r="E474" s="663">
        <v>833.482056256062</v>
      </c>
      <c r="F474" s="663">
        <v>833.482056256062</v>
      </c>
      <c r="G474" s="663">
        <v>833.482056256062</v>
      </c>
      <c r="H474" s="671">
        <v>1050.94170403587</v>
      </c>
      <c r="I474" s="671">
        <v>1050.94170403587</v>
      </c>
      <c r="J474" s="671">
        <v>1050.94170403587</v>
      </c>
      <c r="K474" s="671">
        <v>1050.94170403587</v>
      </c>
      <c r="L474" s="671">
        <v>1050.94170403587</v>
      </c>
      <c r="M474" s="671">
        <v>1050.94170403587</v>
      </c>
      <c r="N474" s="674">
        <v>1050.94170403587</v>
      </c>
      <c r="O474" s="674">
        <v>1050.94170403587</v>
      </c>
    </row>
    <row r="475" s="597" customFormat="1" spans="1:15">
      <c r="A475" s="618"/>
      <c r="B475" s="526" t="s">
        <v>845</v>
      </c>
      <c r="C475" s="597">
        <v>1507.720937184</v>
      </c>
      <c r="D475" s="663">
        <v>488.290155440415</v>
      </c>
      <c r="E475" s="663">
        <v>488.290155440415</v>
      </c>
      <c r="F475" s="663">
        <v>488.290155440415</v>
      </c>
      <c r="G475" s="663">
        <v>488.290155440415</v>
      </c>
      <c r="H475" s="663">
        <v>488.290155440415</v>
      </c>
      <c r="I475" s="663">
        <v>488.290155440415</v>
      </c>
      <c r="J475" s="663">
        <v>488.290155440415</v>
      </c>
      <c r="K475" s="663">
        <v>488.290155440415</v>
      </c>
      <c r="L475" s="663">
        <v>488.290155440415</v>
      </c>
      <c r="M475" s="663">
        <v>488.290155440415</v>
      </c>
      <c r="N475" s="666">
        <v>488.290155440415</v>
      </c>
      <c r="O475" s="666">
        <v>488.290155440415</v>
      </c>
    </row>
    <row r="476" s="597" customFormat="1" spans="1:15">
      <c r="A476" s="618"/>
      <c r="B476" s="526" t="s">
        <v>846</v>
      </c>
      <c r="C476" s="597">
        <v>1507.720937184</v>
      </c>
      <c r="D476" s="663">
        <v>420.714285714286</v>
      </c>
      <c r="E476" s="663">
        <v>420.714285714286</v>
      </c>
      <c r="F476" s="663">
        <v>420.714285714286</v>
      </c>
      <c r="G476" s="663">
        <v>420.714285714286</v>
      </c>
      <c r="H476" s="663">
        <v>420.714285714286</v>
      </c>
      <c r="I476" s="663">
        <v>420.714285714286</v>
      </c>
      <c r="J476" s="663">
        <v>420.714285714286</v>
      </c>
      <c r="K476" s="663">
        <v>420.714285714286</v>
      </c>
      <c r="L476" s="663">
        <v>420.714285714286</v>
      </c>
      <c r="M476" s="663">
        <v>420.714285714286</v>
      </c>
      <c r="N476" s="666">
        <v>420.714285714286</v>
      </c>
      <c r="O476" s="666">
        <v>420.714285714286</v>
      </c>
    </row>
    <row r="477" s="597" customFormat="1" spans="1:15">
      <c r="A477" s="618"/>
      <c r="B477" s="526" t="s">
        <v>847</v>
      </c>
      <c r="C477" s="597">
        <v>1350.91743119266</v>
      </c>
      <c r="D477" s="663">
        <v>488.290155440415</v>
      </c>
      <c r="E477" s="663">
        <v>488.290155440415</v>
      </c>
      <c r="F477" s="663">
        <v>488.290155440415</v>
      </c>
      <c r="G477" s="663">
        <v>488.290155440415</v>
      </c>
      <c r="H477" s="663">
        <v>488.290155440415</v>
      </c>
      <c r="I477" s="663">
        <v>488.290155440415</v>
      </c>
      <c r="J477" s="663">
        <v>488.290155440415</v>
      </c>
      <c r="K477" s="663">
        <v>488.290155440415</v>
      </c>
      <c r="L477" s="663">
        <v>488.290155440415</v>
      </c>
      <c r="M477" s="663">
        <v>488.290155440415</v>
      </c>
      <c r="N477" s="666">
        <v>488.290155440415</v>
      </c>
      <c r="O477" s="666">
        <v>488.290155440415</v>
      </c>
    </row>
    <row r="478" s="597" customFormat="1" spans="1:15">
      <c r="A478" s="618"/>
      <c r="B478" s="526" t="s">
        <v>848</v>
      </c>
      <c r="C478" s="597">
        <v>1621.10091743119</v>
      </c>
      <c r="D478" s="663">
        <v>621.704233095107</v>
      </c>
      <c r="E478" s="663">
        <v>621.704233095107</v>
      </c>
      <c r="F478" s="663">
        <v>621.704233095107</v>
      </c>
      <c r="G478" s="663">
        <v>621.704233095107</v>
      </c>
      <c r="H478" s="663">
        <v>621.704233095107</v>
      </c>
      <c r="I478" s="663">
        <v>621.704233095107</v>
      </c>
      <c r="J478" s="663">
        <v>621.704233095107</v>
      </c>
      <c r="K478" s="663">
        <v>621.704233095107</v>
      </c>
      <c r="L478" s="663">
        <v>621.704233095107</v>
      </c>
      <c r="M478" s="663">
        <v>621.704233095107</v>
      </c>
      <c r="N478" s="666">
        <v>621.704233095107</v>
      </c>
      <c r="O478" s="666">
        <v>621.704233095107</v>
      </c>
    </row>
    <row r="479" s="597" customFormat="1" spans="1:15">
      <c r="A479" s="618"/>
      <c r="B479" s="526" t="s">
        <v>849</v>
      </c>
      <c r="C479" s="597">
        <v>1891.28440366972</v>
      </c>
      <c r="D479" s="663">
        <v>1216.22822266176</v>
      </c>
      <c r="E479" s="663">
        <v>1216.22822266176</v>
      </c>
      <c r="F479" s="663">
        <v>1216.22822266176</v>
      </c>
      <c r="G479" s="663">
        <v>1216.22822266176</v>
      </c>
      <c r="H479" s="663">
        <v>1216.22822266176</v>
      </c>
      <c r="I479" s="663">
        <v>1216.22822266176</v>
      </c>
      <c r="J479" s="663">
        <v>1216.22822266176</v>
      </c>
      <c r="K479" s="663">
        <v>1216.22822266176</v>
      </c>
      <c r="L479" s="663">
        <v>1216.22822266176</v>
      </c>
      <c r="M479" s="663">
        <v>1216.22822266176</v>
      </c>
      <c r="N479" s="666">
        <v>1216.22822266176</v>
      </c>
      <c r="O479" s="666">
        <v>1216.22822266176</v>
      </c>
    </row>
    <row r="480" s="597" customFormat="1" spans="1:15">
      <c r="A480" s="618"/>
      <c r="B480" s="526" t="s">
        <v>850</v>
      </c>
      <c r="C480" s="597">
        <v>2431.65137614679</v>
      </c>
      <c r="D480" s="663">
        <v>1198.30180748214</v>
      </c>
      <c r="E480" s="663">
        <v>1198.30180748214</v>
      </c>
      <c r="F480" s="663">
        <v>1198.30180748214</v>
      </c>
      <c r="G480" s="663">
        <v>1198.30180748214</v>
      </c>
      <c r="H480" s="663">
        <v>1198.30180748214</v>
      </c>
      <c r="I480" s="663">
        <v>1198.30180748214</v>
      </c>
      <c r="J480" s="663">
        <v>1198.30180748214</v>
      </c>
      <c r="K480" s="663">
        <v>1198.30180748214</v>
      </c>
      <c r="L480" s="663">
        <v>1198.30180748214</v>
      </c>
      <c r="M480" s="663">
        <v>1198.30180748214</v>
      </c>
      <c r="N480" s="666">
        <v>1198.30180748214</v>
      </c>
      <c r="O480" s="666">
        <v>1198.30180748214</v>
      </c>
    </row>
    <row r="481" s="597" customFormat="1" spans="1:15">
      <c r="A481" s="618"/>
      <c r="B481" s="526" t="s">
        <v>851</v>
      </c>
      <c r="C481" s="597">
        <v>2431.65137614679</v>
      </c>
      <c r="D481" s="663">
        <v>1198.30180748214</v>
      </c>
      <c r="E481" s="663">
        <v>1198.30180748214</v>
      </c>
      <c r="F481" s="663">
        <v>1198.30180748214</v>
      </c>
      <c r="G481" s="663">
        <v>1198.30180748214</v>
      </c>
      <c r="H481" s="663">
        <v>1198.30180748214</v>
      </c>
      <c r="I481" s="663">
        <v>1198.30180748214</v>
      </c>
      <c r="J481" s="663">
        <v>1198.30180748214</v>
      </c>
      <c r="K481" s="663">
        <v>1198.30180748214</v>
      </c>
      <c r="L481" s="663">
        <v>1198.30180748214</v>
      </c>
      <c r="M481" s="663">
        <v>1198.30180748214</v>
      </c>
      <c r="N481" s="666">
        <v>1198.30180748214</v>
      </c>
      <c r="O481" s="666">
        <v>1198.30180748214</v>
      </c>
    </row>
    <row r="482" s="597" customFormat="1" spans="1:15">
      <c r="A482" s="618"/>
      <c r="B482" s="526" t="s">
        <v>852</v>
      </c>
      <c r="C482" s="597">
        <v>2764.155051504</v>
      </c>
      <c r="D482" s="663">
        <v>1127.32721121315</v>
      </c>
      <c r="E482" s="663">
        <v>1127.32721121315</v>
      </c>
      <c r="F482" s="663">
        <v>1127.32721121315</v>
      </c>
      <c r="G482" s="663">
        <v>1127.32721121315</v>
      </c>
      <c r="H482" s="663">
        <v>1127.32721121315</v>
      </c>
      <c r="I482" s="663">
        <v>1127.32721121315</v>
      </c>
      <c r="J482" s="663">
        <v>1127.32721121315</v>
      </c>
      <c r="K482" s="663">
        <v>1127.32721121315</v>
      </c>
      <c r="L482" s="663">
        <v>1127.32721121315</v>
      </c>
      <c r="M482" s="663">
        <v>1127.32721121315</v>
      </c>
      <c r="N482" s="666">
        <v>1127.32721121315</v>
      </c>
      <c r="O482" s="666">
        <v>1127.32721121315</v>
      </c>
    </row>
    <row r="483" s="597" customFormat="1" spans="1:15">
      <c r="A483" s="618"/>
      <c r="B483" s="526" t="s">
        <v>853</v>
      </c>
      <c r="C483" s="597">
        <v>2764.155051504</v>
      </c>
      <c r="D483" s="663">
        <v>1127.32721121315</v>
      </c>
      <c r="E483" s="663">
        <v>1127.32721121315</v>
      </c>
      <c r="F483" s="663">
        <v>1127.32721121315</v>
      </c>
      <c r="G483" s="663">
        <v>1127.32721121315</v>
      </c>
      <c r="H483" s="663">
        <v>1127.32721121315</v>
      </c>
      <c r="I483" s="663">
        <v>1127.32721121315</v>
      </c>
      <c r="J483" s="663">
        <v>1127.32721121315</v>
      </c>
      <c r="K483" s="663">
        <v>1127.32721121315</v>
      </c>
      <c r="L483" s="663">
        <v>1127.32721121315</v>
      </c>
      <c r="M483" s="663">
        <v>1127.32721121315</v>
      </c>
      <c r="N483" s="666">
        <v>1127.32721121315</v>
      </c>
      <c r="O483" s="666">
        <v>1127.32721121315</v>
      </c>
    </row>
    <row r="484" s="597" customFormat="1" spans="1:15">
      <c r="A484" s="618"/>
      <c r="B484" s="526" t="s">
        <v>854</v>
      </c>
      <c r="C484" s="597">
        <v>2701.83486238532</v>
      </c>
      <c r="D484" s="663">
        <v>1216.22822266176</v>
      </c>
      <c r="E484" s="663">
        <v>1216.22822266176</v>
      </c>
      <c r="F484" s="663">
        <v>1216.22822266176</v>
      </c>
      <c r="G484" s="663">
        <v>1216.22822266176</v>
      </c>
      <c r="H484" s="663">
        <v>1216.22822266176</v>
      </c>
      <c r="I484" s="663">
        <v>1216.22822266176</v>
      </c>
      <c r="J484" s="663">
        <v>1216.22822266176</v>
      </c>
      <c r="K484" s="663">
        <v>1216.22822266176</v>
      </c>
      <c r="L484" s="663">
        <v>1216.22822266176</v>
      </c>
      <c r="M484" s="663">
        <v>1216.22822266176</v>
      </c>
      <c r="N484" s="666">
        <v>1216.22822266176</v>
      </c>
      <c r="O484" s="666">
        <v>1216.22822266176</v>
      </c>
    </row>
    <row r="485" s="597" customFormat="1" spans="1:15">
      <c r="A485" s="618"/>
      <c r="B485" s="526" t="s">
        <v>855</v>
      </c>
      <c r="C485" s="597">
        <v>1621.10091743119</v>
      </c>
      <c r="D485" s="663">
        <v>488.290155440415</v>
      </c>
      <c r="E485" s="663">
        <v>488.290155440415</v>
      </c>
      <c r="F485" s="663">
        <v>488.290155440415</v>
      </c>
      <c r="G485" s="663">
        <v>488.290155440415</v>
      </c>
      <c r="H485" s="663">
        <v>488.290155440415</v>
      </c>
      <c r="I485" s="663">
        <v>488.290155440415</v>
      </c>
      <c r="J485" s="663">
        <v>488.290155440415</v>
      </c>
      <c r="K485" s="663">
        <v>488.290155440415</v>
      </c>
      <c r="L485" s="663">
        <v>488.290155440415</v>
      </c>
      <c r="M485" s="663">
        <v>488.290155440415</v>
      </c>
      <c r="N485" s="666">
        <v>488.290155440415</v>
      </c>
      <c r="O485" s="666">
        <v>488.290155440415</v>
      </c>
    </row>
    <row r="486" s="597" customFormat="1" spans="1:15">
      <c r="A486" s="618"/>
      <c r="B486" s="526" t="s">
        <v>856</v>
      </c>
      <c r="C486" s="597">
        <v>1520.84101807451</v>
      </c>
      <c r="D486" s="663">
        <v>420.714285714286</v>
      </c>
      <c r="E486" s="663">
        <v>420.714285714286</v>
      </c>
      <c r="F486" s="663">
        <v>420.714285714286</v>
      </c>
      <c r="G486" s="663">
        <v>420.714285714286</v>
      </c>
      <c r="H486" s="663">
        <v>420.714285714286</v>
      </c>
      <c r="I486" s="663">
        <v>420.714285714286</v>
      </c>
      <c r="J486" s="663">
        <v>420.714285714286</v>
      </c>
      <c r="K486" s="663">
        <v>420.714285714286</v>
      </c>
      <c r="L486" s="663">
        <v>420.714285714286</v>
      </c>
      <c r="M486" s="663">
        <v>420.714285714286</v>
      </c>
      <c r="N486" s="666">
        <v>420.714285714286</v>
      </c>
      <c r="O486" s="666">
        <v>420.714285714286</v>
      </c>
    </row>
    <row r="487" s="597" customFormat="1" spans="1:15">
      <c r="A487" s="618"/>
      <c r="B487" s="526" t="s">
        <v>857</v>
      </c>
      <c r="C487" s="597">
        <v>1476.59379525504</v>
      </c>
      <c r="D487" s="663">
        <v>510.660098522167</v>
      </c>
      <c r="E487" s="663">
        <v>510.660098522167</v>
      </c>
      <c r="F487" s="663">
        <v>510.660098522167</v>
      </c>
      <c r="G487" s="663">
        <v>510.660098522167</v>
      </c>
      <c r="H487" s="663">
        <v>510.660098522167</v>
      </c>
      <c r="I487" s="663">
        <v>510.660098522167</v>
      </c>
      <c r="J487" s="663">
        <v>510.660098522167</v>
      </c>
      <c r="K487" s="663">
        <v>510.660098522167</v>
      </c>
      <c r="L487" s="663">
        <v>510.660098522167</v>
      </c>
      <c r="M487" s="663">
        <v>510.660098522167</v>
      </c>
      <c r="N487" s="666">
        <v>510.660098522167</v>
      </c>
      <c r="O487" s="666">
        <v>510.660098522167</v>
      </c>
    </row>
    <row r="488" s="597" customFormat="1" spans="1:15">
      <c r="A488" s="618"/>
      <c r="B488" s="526" t="s">
        <v>858</v>
      </c>
      <c r="C488" s="597">
        <v>1476.59379525504</v>
      </c>
      <c r="D488" s="663">
        <v>440.673354871621</v>
      </c>
      <c r="E488" s="663">
        <v>440.673354871621</v>
      </c>
      <c r="F488" s="663">
        <v>440.673354871621</v>
      </c>
      <c r="G488" s="663">
        <v>440.673354871621</v>
      </c>
      <c r="H488" s="663">
        <v>440.673354871621</v>
      </c>
      <c r="I488" s="663">
        <v>440.673354871621</v>
      </c>
      <c r="J488" s="663">
        <v>440.673354871621</v>
      </c>
      <c r="K488" s="663">
        <v>440.673354871621</v>
      </c>
      <c r="L488" s="663">
        <v>440.673354871621</v>
      </c>
      <c r="M488" s="663">
        <v>440.673354871621</v>
      </c>
      <c r="N488" s="666">
        <v>440.673354871621</v>
      </c>
      <c r="O488" s="666">
        <v>440.673354871621</v>
      </c>
    </row>
    <row r="489" s="597" customFormat="1" spans="1:15">
      <c r="A489" s="618"/>
      <c r="B489" s="526" t="s">
        <v>859</v>
      </c>
      <c r="C489" s="597">
        <v>1322.30356271352</v>
      </c>
      <c r="D489" s="663">
        <v>510.660098522167</v>
      </c>
      <c r="E489" s="663">
        <v>510.660098522167</v>
      </c>
      <c r="F489" s="663">
        <v>510.660098522167</v>
      </c>
      <c r="G489" s="663">
        <v>510.660098522167</v>
      </c>
      <c r="H489" s="663">
        <v>510.660098522167</v>
      </c>
      <c r="I489" s="663">
        <v>510.660098522167</v>
      </c>
      <c r="J489" s="663">
        <v>510.660098522167</v>
      </c>
      <c r="K489" s="663">
        <v>510.660098522167</v>
      </c>
      <c r="L489" s="663">
        <v>510.660098522167</v>
      </c>
      <c r="M489" s="663">
        <v>510.660098522167</v>
      </c>
      <c r="N489" s="666">
        <v>510.660098522167</v>
      </c>
      <c r="O489" s="666">
        <v>510.660098522167</v>
      </c>
    </row>
    <row r="490" s="597" customFormat="1" spans="1:15">
      <c r="A490" s="618"/>
      <c r="B490" s="526" t="s">
        <v>860</v>
      </c>
      <c r="C490" s="597">
        <v>1586.76427525622</v>
      </c>
      <c r="D490" s="663">
        <v>655.202780996524</v>
      </c>
      <c r="E490" s="663">
        <v>655.202780996524</v>
      </c>
      <c r="F490" s="663">
        <v>655.202780996524</v>
      </c>
      <c r="G490" s="663">
        <v>655.202780996524</v>
      </c>
      <c r="H490" s="663">
        <v>655.202780996524</v>
      </c>
      <c r="I490" s="663">
        <v>655.202780996524</v>
      </c>
      <c r="J490" s="663">
        <v>655.202780996524</v>
      </c>
      <c r="K490" s="663">
        <v>655.202780996524</v>
      </c>
      <c r="L490" s="663">
        <v>655.202780996524</v>
      </c>
      <c r="M490" s="663">
        <v>655.202780996524</v>
      </c>
      <c r="N490" s="666">
        <v>655.202780996524</v>
      </c>
      <c r="O490" s="666">
        <v>655.202780996524</v>
      </c>
    </row>
    <row r="491" s="597" customFormat="1" spans="1:15">
      <c r="A491" s="618"/>
      <c r="B491" s="526" t="s">
        <v>861</v>
      </c>
      <c r="C491" s="597">
        <v>1851.22498779893</v>
      </c>
      <c r="D491" s="663">
        <v>1280.85667215815</v>
      </c>
      <c r="E491" s="663">
        <v>1280.85667215815</v>
      </c>
      <c r="F491" s="663">
        <v>1280.85667215815</v>
      </c>
      <c r="G491" s="663">
        <v>1280.85667215815</v>
      </c>
      <c r="H491" s="663">
        <v>1280.85667215815</v>
      </c>
      <c r="I491" s="663">
        <v>1280.85667215815</v>
      </c>
      <c r="J491" s="663">
        <v>1280.85667215815</v>
      </c>
      <c r="K491" s="663">
        <v>1280.85667215815</v>
      </c>
      <c r="L491" s="663">
        <v>1280.85667215815</v>
      </c>
      <c r="M491" s="663">
        <v>1280.85667215815</v>
      </c>
      <c r="N491" s="666">
        <v>1280.85667215815</v>
      </c>
      <c r="O491" s="666">
        <v>1280.85667215815</v>
      </c>
    </row>
    <row r="492" s="597" customFormat="1" spans="1:15">
      <c r="A492" s="618"/>
      <c r="B492" s="526" t="s">
        <v>862</v>
      </c>
      <c r="C492" s="597">
        <v>2380.14641288433</v>
      </c>
      <c r="D492" s="663">
        <v>1261.04314955564</v>
      </c>
      <c r="E492" s="663">
        <v>1261.04314955564</v>
      </c>
      <c r="F492" s="663">
        <v>1261.04314955564</v>
      </c>
      <c r="G492" s="663">
        <v>1261.04314955564</v>
      </c>
      <c r="H492" s="663">
        <v>1261.04314955564</v>
      </c>
      <c r="I492" s="663">
        <v>1261.04314955564</v>
      </c>
      <c r="J492" s="663">
        <v>1261.04314955564</v>
      </c>
      <c r="K492" s="663">
        <v>1261.04314955564</v>
      </c>
      <c r="L492" s="663">
        <v>1261.04314955564</v>
      </c>
      <c r="M492" s="663">
        <v>1261.04314955564</v>
      </c>
      <c r="N492" s="666">
        <v>1261.04314955564</v>
      </c>
      <c r="O492" s="666">
        <v>1261.04314955564</v>
      </c>
    </row>
    <row r="493" s="597" customFormat="1" spans="1:15">
      <c r="A493" s="618"/>
      <c r="B493" s="526" t="s">
        <v>863</v>
      </c>
      <c r="C493" s="597">
        <v>2380.14641288433</v>
      </c>
      <c r="D493" s="663">
        <v>1261.04314955564</v>
      </c>
      <c r="E493" s="663">
        <v>1261.04314955564</v>
      </c>
      <c r="F493" s="663">
        <v>1261.04314955564</v>
      </c>
      <c r="G493" s="663">
        <v>1261.04314955564</v>
      </c>
      <c r="H493" s="663">
        <v>1261.04314955564</v>
      </c>
      <c r="I493" s="663">
        <v>1261.04314955564</v>
      </c>
      <c r="J493" s="663">
        <v>1261.04314955564</v>
      </c>
      <c r="K493" s="663">
        <v>1261.04314955564</v>
      </c>
      <c r="L493" s="663">
        <v>1261.04314955564</v>
      </c>
      <c r="M493" s="663">
        <v>1261.04314955564</v>
      </c>
      <c r="N493" s="666">
        <v>1261.04314955564</v>
      </c>
      <c r="O493" s="666">
        <v>1261.04314955564</v>
      </c>
    </row>
    <row r="494" s="597" customFormat="1" spans="1:15">
      <c r="A494" s="618"/>
      <c r="B494" s="526" t="s">
        <v>864</v>
      </c>
      <c r="C494" s="597">
        <v>2707.08862463424</v>
      </c>
      <c r="D494" s="663">
        <v>1294.69455960768</v>
      </c>
      <c r="E494" s="663">
        <v>1294.69455960768</v>
      </c>
      <c r="F494" s="663">
        <v>1294.69455960768</v>
      </c>
      <c r="G494" s="663">
        <v>1294.69455960768</v>
      </c>
      <c r="H494" s="663">
        <v>1294.69455960768</v>
      </c>
      <c r="I494" s="663">
        <v>1294.69455960768</v>
      </c>
      <c r="J494" s="663">
        <v>1294.69455960768</v>
      </c>
      <c r="K494" s="663">
        <v>1294.69455960768</v>
      </c>
      <c r="L494" s="663">
        <v>1294.69455960768</v>
      </c>
      <c r="M494" s="663">
        <v>1294.69455960768</v>
      </c>
      <c r="N494" s="666">
        <v>1294.69455960768</v>
      </c>
      <c r="O494" s="666">
        <v>1294.69455960768</v>
      </c>
    </row>
    <row r="495" s="597" customFormat="1" spans="1:15">
      <c r="A495" s="618"/>
      <c r="B495" s="526" t="s">
        <v>865</v>
      </c>
      <c r="C495" s="597">
        <v>2707.08862463424</v>
      </c>
      <c r="D495" s="663">
        <v>1294.69455960768</v>
      </c>
      <c r="E495" s="663">
        <v>1294.69455960768</v>
      </c>
      <c r="F495" s="663">
        <v>1294.69455960768</v>
      </c>
      <c r="G495" s="663">
        <v>1294.69455960768</v>
      </c>
      <c r="H495" s="663">
        <v>1294.69455960768</v>
      </c>
      <c r="I495" s="663">
        <v>1294.69455960768</v>
      </c>
      <c r="J495" s="663">
        <v>1294.69455960768</v>
      </c>
      <c r="K495" s="663">
        <v>1294.69455960768</v>
      </c>
      <c r="L495" s="663">
        <v>1294.69455960768</v>
      </c>
      <c r="M495" s="663">
        <v>1294.69455960768</v>
      </c>
      <c r="N495" s="666">
        <v>1294.69455960768</v>
      </c>
      <c r="O495" s="666">
        <v>1294.69455960768</v>
      </c>
    </row>
    <row r="496" s="597" customFormat="1" spans="1:15">
      <c r="A496" s="618"/>
      <c r="B496" s="526" t="s">
        <v>866</v>
      </c>
      <c r="C496" s="597">
        <v>2644.60712542704</v>
      </c>
      <c r="D496" s="663">
        <v>1280.85667215815</v>
      </c>
      <c r="E496" s="663">
        <v>1280.85667215815</v>
      </c>
      <c r="F496" s="663">
        <v>1280.85667215815</v>
      </c>
      <c r="G496" s="663">
        <v>1280.85667215815</v>
      </c>
      <c r="H496" s="663">
        <v>1280.85667215815</v>
      </c>
      <c r="I496" s="663">
        <v>1280.85667215815</v>
      </c>
      <c r="J496" s="663">
        <v>1280.85667215815</v>
      </c>
      <c r="K496" s="663">
        <v>1280.85667215815</v>
      </c>
      <c r="L496" s="663">
        <v>1280.85667215815</v>
      </c>
      <c r="M496" s="663">
        <v>1280.85667215815</v>
      </c>
      <c r="N496" s="666">
        <v>1280.85667215815</v>
      </c>
      <c r="O496" s="666">
        <v>1280.85667215815</v>
      </c>
    </row>
    <row r="497" s="597" customFormat="1" spans="1:15">
      <c r="A497" s="618"/>
      <c r="B497" s="526" t="s">
        <v>867</v>
      </c>
      <c r="C497" s="597">
        <v>1586.76427525622</v>
      </c>
      <c r="D497" s="663">
        <v>510.660098522167</v>
      </c>
      <c r="E497" s="663">
        <v>510.660098522167</v>
      </c>
      <c r="F497" s="663">
        <v>510.660098522167</v>
      </c>
      <c r="G497" s="663">
        <v>510.660098522167</v>
      </c>
      <c r="H497" s="663">
        <v>510.660098522167</v>
      </c>
      <c r="I497" s="663">
        <v>510.660098522167</v>
      </c>
      <c r="J497" s="663">
        <v>510.660098522167</v>
      </c>
      <c r="K497" s="663">
        <v>510.660098522167</v>
      </c>
      <c r="L497" s="663">
        <v>510.660098522167</v>
      </c>
      <c r="M497" s="663">
        <v>510.660098522167</v>
      </c>
      <c r="N497" s="666">
        <v>510.660098522167</v>
      </c>
      <c r="O497" s="666">
        <v>510.660098522167</v>
      </c>
    </row>
    <row r="498" s="597" customFormat="1" spans="1:15">
      <c r="A498" s="618"/>
      <c r="B498" s="526" t="s">
        <v>868</v>
      </c>
      <c r="C498" s="597">
        <v>1586.76427525622</v>
      </c>
      <c r="D498" s="663">
        <v>440.673354871621</v>
      </c>
      <c r="E498" s="663">
        <v>440.673354871621</v>
      </c>
      <c r="F498" s="663">
        <v>440.673354871621</v>
      </c>
      <c r="G498" s="663">
        <v>440.673354871621</v>
      </c>
      <c r="H498" s="663">
        <v>440.673354871621</v>
      </c>
      <c r="I498" s="663">
        <v>440.673354871621</v>
      </c>
      <c r="J498" s="663">
        <v>440.673354871621</v>
      </c>
      <c r="K498" s="663">
        <v>440.673354871621</v>
      </c>
      <c r="L498" s="663">
        <v>440.673354871621</v>
      </c>
      <c r="M498" s="663">
        <v>440.673354871621</v>
      </c>
      <c r="N498" s="666">
        <v>440.673354871621</v>
      </c>
      <c r="O498" s="666">
        <v>440.673354871621</v>
      </c>
    </row>
    <row r="499" s="597" customFormat="1" spans="1:15">
      <c r="A499" s="618"/>
      <c r="B499" s="526" t="s">
        <v>869</v>
      </c>
      <c r="C499" s="597">
        <v>1419.73785659214</v>
      </c>
      <c r="D499" s="663">
        <v>729.84956470272</v>
      </c>
      <c r="E499" s="663">
        <v>729.84956470272</v>
      </c>
      <c r="F499" s="663">
        <v>729.84956470272</v>
      </c>
      <c r="G499" s="663">
        <v>729.84956470272</v>
      </c>
      <c r="H499" s="671">
        <v>984.705882352941</v>
      </c>
      <c r="I499" s="671">
        <v>984.705882352941</v>
      </c>
      <c r="J499" s="671">
        <v>984.705882352941</v>
      </c>
      <c r="K499" s="671">
        <v>984.705882352941</v>
      </c>
      <c r="L499" s="671">
        <v>984.705882352941</v>
      </c>
      <c r="M499" s="671">
        <v>984.705882352941</v>
      </c>
      <c r="N499" s="674">
        <v>984.705882352941</v>
      </c>
      <c r="O499" s="674">
        <v>984.705882352941</v>
      </c>
    </row>
    <row r="500" s="597" customFormat="1" spans="1:15">
      <c r="A500" s="618"/>
      <c r="B500" s="526" t="s">
        <v>870</v>
      </c>
      <c r="C500" s="597">
        <v>1419.73785659214</v>
      </c>
      <c r="D500" s="663">
        <v>608.2079705856</v>
      </c>
      <c r="E500" s="663">
        <v>608.2079705856</v>
      </c>
      <c r="F500" s="663">
        <v>608.2079705856</v>
      </c>
      <c r="G500" s="663">
        <v>608.2079705856</v>
      </c>
      <c r="H500" s="671">
        <v>858.461538461538</v>
      </c>
      <c r="I500" s="671">
        <v>858.461538461538</v>
      </c>
      <c r="J500" s="671">
        <v>858.461538461538</v>
      </c>
      <c r="K500" s="671">
        <v>858.461538461538</v>
      </c>
      <c r="L500" s="671">
        <v>858.461538461538</v>
      </c>
      <c r="M500" s="671">
        <v>858.461538461538</v>
      </c>
      <c r="N500" s="674">
        <v>858.461538461538</v>
      </c>
      <c r="O500" s="674">
        <v>858.461538461538</v>
      </c>
    </row>
    <row r="501" s="597" customFormat="1" spans="1:15">
      <c r="A501" s="618"/>
      <c r="B501" s="526" t="s">
        <v>871</v>
      </c>
      <c r="C501" s="597">
        <v>1459.69912940544</v>
      </c>
      <c r="D501" s="663">
        <v>729.84956470272</v>
      </c>
      <c r="E501" s="663">
        <v>729.84956470272</v>
      </c>
      <c r="F501" s="663">
        <v>729.84956470272</v>
      </c>
      <c r="G501" s="663">
        <v>729.84956470272</v>
      </c>
      <c r="H501" s="671">
        <v>984.705882352941</v>
      </c>
      <c r="I501" s="671">
        <v>984.705882352941</v>
      </c>
      <c r="J501" s="671">
        <v>984.705882352941</v>
      </c>
      <c r="K501" s="671">
        <v>984.705882352941</v>
      </c>
      <c r="L501" s="671">
        <v>984.705882352941</v>
      </c>
      <c r="M501" s="671">
        <v>984.705882352941</v>
      </c>
      <c r="N501" s="674">
        <v>984.705882352941</v>
      </c>
      <c r="O501" s="674">
        <v>984.705882352941</v>
      </c>
    </row>
    <row r="502" s="597" customFormat="1" spans="1:15">
      <c r="A502" s="618"/>
      <c r="B502" s="526" t="s">
        <v>872</v>
      </c>
      <c r="C502" s="597">
        <v>1702.98231763968</v>
      </c>
      <c r="D502" s="663">
        <v>705.667447306791</v>
      </c>
      <c r="E502" s="663">
        <v>705.667447306791</v>
      </c>
      <c r="F502" s="663">
        <v>705.667447306791</v>
      </c>
      <c r="G502" s="663">
        <v>705.667447306791</v>
      </c>
      <c r="H502" s="671">
        <v>997.748344370861</v>
      </c>
      <c r="I502" s="671">
        <v>997.748344370861</v>
      </c>
      <c r="J502" s="671">
        <v>997.748344370861</v>
      </c>
      <c r="K502" s="671">
        <v>997.748344370861</v>
      </c>
      <c r="L502" s="671">
        <v>997.748344370861</v>
      </c>
      <c r="M502" s="671">
        <v>997.748344370861</v>
      </c>
      <c r="N502" s="674">
        <v>997.748344370861</v>
      </c>
      <c r="O502" s="674">
        <v>997.748344370861</v>
      </c>
    </row>
    <row r="503" s="597" customFormat="1" spans="1:15">
      <c r="A503" s="618"/>
      <c r="B503" s="526" t="s">
        <v>873</v>
      </c>
      <c r="C503" s="597">
        <v>1946.26550587392</v>
      </c>
      <c r="D503" s="663">
        <v>1228.96551724138</v>
      </c>
      <c r="E503" s="663">
        <v>1228.96551724138</v>
      </c>
      <c r="F503" s="663">
        <v>1228.96551724138</v>
      </c>
      <c r="G503" s="663">
        <v>1228.96551724138</v>
      </c>
      <c r="H503" s="671">
        <v>1891.52542372881</v>
      </c>
      <c r="I503" s="671">
        <v>1891.52542372881</v>
      </c>
      <c r="J503" s="671">
        <v>1891.52542372881</v>
      </c>
      <c r="K503" s="671">
        <v>1891.52542372881</v>
      </c>
      <c r="L503" s="671">
        <v>1891.52542372881</v>
      </c>
      <c r="M503" s="671">
        <v>1891.52542372881</v>
      </c>
      <c r="N503" s="674">
        <v>1891.52542372881</v>
      </c>
      <c r="O503" s="674">
        <v>1891.52542372881</v>
      </c>
    </row>
    <row r="504" s="597" customFormat="1" spans="1:15">
      <c r="A504" s="618"/>
      <c r="B504" s="526" t="s">
        <v>874</v>
      </c>
      <c r="C504" s="597">
        <v>2432.8318823424</v>
      </c>
      <c r="D504" s="663">
        <v>1318.60362926194</v>
      </c>
      <c r="E504" s="663">
        <v>1318.60362926194</v>
      </c>
      <c r="F504" s="663">
        <v>1318.60362926194</v>
      </c>
      <c r="G504" s="663">
        <v>1318.60362926194</v>
      </c>
      <c r="H504" s="671">
        <v>1843.70463078849</v>
      </c>
      <c r="I504" s="671">
        <v>1843.70463078849</v>
      </c>
      <c r="J504" s="671">
        <v>1843.70463078849</v>
      </c>
      <c r="K504" s="671">
        <v>1843.70463078849</v>
      </c>
      <c r="L504" s="671">
        <v>1843.70463078849</v>
      </c>
      <c r="M504" s="671">
        <v>1843.70463078849</v>
      </c>
      <c r="N504" s="674">
        <v>1843.70463078849</v>
      </c>
      <c r="O504" s="674">
        <v>1843.70463078849</v>
      </c>
    </row>
    <row r="505" s="597" customFormat="1" spans="1:15">
      <c r="A505" s="618"/>
      <c r="B505" s="526" t="s">
        <v>875</v>
      </c>
      <c r="C505" s="597">
        <v>2432.8318823424</v>
      </c>
      <c r="D505" s="663">
        <v>1318.60362926194</v>
      </c>
      <c r="E505" s="663">
        <v>1318.60362926194</v>
      </c>
      <c r="F505" s="663">
        <v>1318.60362926194</v>
      </c>
      <c r="G505" s="663">
        <v>1318.60362926194</v>
      </c>
      <c r="H505" s="671">
        <v>1843.70463078849</v>
      </c>
      <c r="I505" s="671">
        <v>1843.70463078849</v>
      </c>
      <c r="J505" s="671">
        <v>1843.70463078849</v>
      </c>
      <c r="K505" s="671">
        <v>1843.70463078849</v>
      </c>
      <c r="L505" s="671">
        <v>1843.70463078849</v>
      </c>
      <c r="M505" s="671">
        <v>1843.70463078849</v>
      </c>
      <c r="N505" s="674">
        <v>1843.70463078849</v>
      </c>
      <c r="O505" s="674">
        <v>1843.70463078849</v>
      </c>
    </row>
    <row r="506" s="597" customFormat="1" spans="1:15">
      <c r="A506" s="618"/>
      <c r="B506" s="526" t="s">
        <v>876</v>
      </c>
      <c r="C506" s="597">
        <v>2522.32297503821</v>
      </c>
      <c r="D506" s="663">
        <v>1263.31742913275</v>
      </c>
      <c r="E506" s="663">
        <v>1263.31742913275</v>
      </c>
      <c r="F506" s="663">
        <v>1263.31742913275</v>
      </c>
      <c r="G506" s="663">
        <v>1263.31742913275</v>
      </c>
      <c r="H506" s="671">
        <v>1931.84549356223</v>
      </c>
      <c r="I506" s="671">
        <v>1931.84549356223</v>
      </c>
      <c r="J506" s="671">
        <v>1931.84549356223</v>
      </c>
      <c r="K506" s="671">
        <v>1931.84549356223</v>
      </c>
      <c r="L506" s="671">
        <v>1931.84549356223</v>
      </c>
      <c r="M506" s="671">
        <v>1931.84549356223</v>
      </c>
      <c r="N506" s="674">
        <v>1931.84549356223</v>
      </c>
      <c r="O506" s="674">
        <v>1931.84549356223</v>
      </c>
    </row>
    <row r="507" s="597" customFormat="1" spans="1:15">
      <c r="A507" s="618"/>
      <c r="B507" s="526" t="s">
        <v>877</v>
      </c>
      <c r="C507" s="597">
        <v>2522.32297503821</v>
      </c>
      <c r="D507" s="663">
        <v>1263.31742913275</v>
      </c>
      <c r="E507" s="663">
        <v>1263.31742913275</v>
      </c>
      <c r="F507" s="663">
        <v>1263.31742913275</v>
      </c>
      <c r="G507" s="663">
        <v>1263.31742913275</v>
      </c>
      <c r="H507" s="671">
        <v>1931.84549356223</v>
      </c>
      <c r="I507" s="671">
        <v>1931.84549356223</v>
      </c>
      <c r="J507" s="671">
        <v>1931.84549356223</v>
      </c>
      <c r="K507" s="671">
        <v>1931.84549356223</v>
      </c>
      <c r="L507" s="671">
        <v>1931.84549356223</v>
      </c>
      <c r="M507" s="671">
        <v>1931.84549356223</v>
      </c>
      <c r="N507" s="674">
        <v>1931.84549356223</v>
      </c>
      <c r="O507" s="674">
        <v>1931.84549356223</v>
      </c>
    </row>
    <row r="508" s="597" customFormat="1" spans="1:15">
      <c r="A508" s="618"/>
      <c r="B508" s="526" t="s">
        <v>878</v>
      </c>
      <c r="C508" s="597">
        <v>2676.11507057664</v>
      </c>
      <c r="D508" s="663">
        <v>1228.96551724138</v>
      </c>
      <c r="E508" s="663">
        <v>1228.96551724138</v>
      </c>
      <c r="F508" s="663">
        <v>1228.96551724138</v>
      </c>
      <c r="G508" s="663">
        <v>1228.96551724138</v>
      </c>
      <c r="H508" s="671">
        <v>1891.52542372881</v>
      </c>
      <c r="I508" s="671">
        <v>1891.52542372881</v>
      </c>
      <c r="J508" s="671">
        <v>1891.52542372881</v>
      </c>
      <c r="K508" s="671">
        <v>1891.52542372881</v>
      </c>
      <c r="L508" s="671">
        <v>1891.52542372881</v>
      </c>
      <c r="M508" s="671">
        <v>1891.52542372881</v>
      </c>
      <c r="N508" s="674">
        <v>1891.52542372881</v>
      </c>
      <c r="O508" s="674">
        <v>1891.52542372881</v>
      </c>
    </row>
    <row r="509" s="597" customFormat="1" spans="1:15">
      <c r="A509" s="618"/>
      <c r="B509" s="526" t="s">
        <v>879</v>
      </c>
      <c r="C509" s="597">
        <v>1702.98231763968</v>
      </c>
      <c r="D509" s="663">
        <v>729.84956470272</v>
      </c>
      <c r="E509" s="663">
        <v>729.84956470272</v>
      </c>
      <c r="F509" s="663">
        <v>729.84956470272</v>
      </c>
      <c r="G509" s="663">
        <v>729.84956470272</v>
      </c>
      <c r="H509" s="671">
        <v>984.705882352941</v>
      </c>
      <c r="I509" s="671">
        <v>984.705882352941</v>
      </c>
      <c r="J509" s="671">
        <v>984.705882352941</v>
      </c>
      <c r="K509" s="671">
        <v>984.705882352941</v>
      </c>
      <c r="L509" s="671">
        <v>984.705882352941</v>
      </c>
      <c r="M509" s="671">
        <v>984.705882352941</v>
      </c>
      <c r="N509" s="674">
        <v>984.705882352941</v>
      </c>
      <c r="O509" s="674">
        <v>984.705882352941</v>
      </c>
    </row>
    <row r="510" s="597" customFormat="1" spans="1:15">
      <c r="A510" s="618"/>
      <c r="B510" s="526" t="s">
        <v>880</v>
      </c>
      <c r="C510" s="597">
        <v>1702.98231763968</v>
      </c>
      <c r="D510" s="663">
        <v>608.2079705856</v>
      </c>
      <c r="E510" s="663">
        <v>608.2079705856</v>
      </c>
      <c r="F510" s="663">
        <v>608.2079705856</v>
      </c>
      <c r="G510" s="663">
        <v>608.2079705856</v>
      </c>
      <c r="H510" s="671">
        <v>858.461538461538</v>
      </c>
      <c r="I510" s="671">
        <v>858.461538461538</v>
      </c>
      <c r="J510" s="671">
        <v>858.461538461538</v>
      </c>
      <c r="K510" s="671">
        <v>858.461538461538</v>
      </c>
      <c r="L510" s="671">
        <v>858.461538461538</v>
      </c>
      <c r="M510" s="671">
        <v>858.461538461538</v>
      </c>
      <c r="N510" s="674">
        <v>858.461538461538</v>
      </c>
      <c r="O510" s="674">
        <v>858.461538461538</v>
      </c>
    </row>
    <row r="511" s="597" customFormat="1" spans="1:15">
      <c r="A511" s="618"/>
      <c r="B511" s="526" t="s">
        <v>881</v>
      </c>
      <c r="C511" s="597">
        <v>0</v>
      </c>
      <c r="D511" s="635">
        <v>0</v>
      </c>
      <c r="E511" s="635">
        <v>0</v>
      </c>
      <c r="F511" s="635">
        <v>0</v>
      </c>
      <c r="G511" s="635">
        <v>0</v>
      </c>
      <c r="H511" s="635">
        <v>0</v>
      </c>
      <c r="I511" s="635">
        <v>0</v>
      </c>
      <c r="J511" s="635">
        <v>0</v>
      </c>
      <c r="K511" s="635">
        <v>0</v>
      </c>
      <c r="L511" s="635">
        <v>0</v>
      </c>
      <c r="M511" s="635">
        <v>0</v>
      </c>
      <c r="N511" s="640">
        <v>0</v>
      </c>
      <c r="O511" s="640">
        <v>0</v>
      </c>
    </row>
    <row r="512" s="597" customFormat="1" spans="1:15">
      <c r="A512" s="618"/>
      <c r="B512" s="526" t="s">
        <v>882</v>
      </c>
      <c r="C512" s="597">
        <v>0</v>
      </c>
      <c r="D512" s="635">
        <v>0</v>
      </c>
      <c r="E512" s="635">
        <v>0</v>
      </c>
      <c r="F512" s="635">
        <v>0</v>
      </c>
      <c r="G512" s="635">
        <v>0</v>
      </c>
      <c r="H512" s="635">
        <v>0</v>
      </c>
      <c r="I512" s="635">
        <v>0</v>
      </c>
      <c r="J512" s="635">
        <v>0</v>
      </c>
      <c r="K512" s="635">
        <v>0</v>
      </c>
      <c r="L512" s="635">
        <v>0</v>
      </c>
      <c r="M512" s="635">
        <v>0</v>
      </c>
      <c r="N512" s="640">
        <v>0</v>
      </c>
      <c r="O512" s="640">
        <v>0</v>
      </c>
    </row>
    <row r="513" s="597" customFormat="1" spans="1:15">
      <c r="A513" s="618"/>
      <c r="B513" s="526" t="s">
        <v>883</v>
      </c>
      <c r="C513" s="597">
        <v>0</v>
      </c>
      <c r="D513" s="635">
        <v>0</v>
      </c>
      <c r="E513" s="635">
        <v>0</v>
      </c>
      <c r="F513" s="635">
        <v>0</v>
      </c>
      <c r="G513" s="635">
        <v>0</v>
      </c>
      <c r="H513" s="635">
        <v>0</v>
      </c>
      <c r="I513" s="635">
        <v>0</v>
      </c>
      <c r="J513" s="635">
        <v>0</v>
      </c>
      <c r="K513" s="635">
        <v>0</v>
      </c>
      <c r="L513" s="635">
        <v>0</v>
      </c>
      <c r="M513" s="635">
        <v>0</v>
      </c>
      <c r="N513" s="640">
        <v>0</v>
      </c>
      <c r="O513" s="640">
        <v>0</v>
      </c>
    </row>
    <row r="514" s="597" customFormat="1" spans="1:15">
      <c r="A514" s="618"/>
      <c r="B514" s="526" t="s">
        <v>884</v>
      </c>
      <c r="C514" s="597">
        <v>0</v>
      </c>
      <c r="D514" s="635">
        <v>0</v>
      </c>
      <c r="E514" s="635">
        <v>0</v>
      </c>
      <c r="F514" s="635">
        <v>0</v>
      </c>
      <c r="G514" s="635">
        <v>0</v>
      </c>
      <c r="H514" s="635">
        <v>0</v>
      </c>
      <c r="I514" s="635">
        <v>0</v>
      </c>
      <c r="J514" s="635">
        <v>0</v>
      </c>
      <c r="K514" s="635">
        <v>0</v>
      </c>
      <c r="L514" s="635">
        <v>0</v>
      </c>
      <c r="M514" s="635">
        <v>0</v>
      </c>
      <c r="N514" s="640">
        <v>0</v>
      </c>
      <c r="O514" s="640">
        <v>0</v>
      </c>
    </row>
    <row r="515" s="597" customFormat="1" spans="1:15">
      <c r="A515" s="618"/>
      <c r="B515" s="526" t="s">
        <v>885</v>
      </c>
      <c r="C515" s="597">
        <v>1125.76496643072</v>
      </c>
      <c r="D515" s="663">
        <v>995.09581854144</v>
      </c>
      <c r="E515" s="663">
        <v>995.09581854144</v>
      </c>
      <c r="F515" s="663">
        <v>995.09581854144</v>
      </c>
      <c r="G515" s="663">
        <v>995.09581854144</v>
      </c>
      <c r="H515" s="663">
        <v>995.09581854144</v>
      </c>
      <c r="I515" s="663">
        <v>995.09581854144</v>
      </c>
      <c r="J515" s="663">
        <v>995.09581854144</v>
      </c>
      <c r="K515" s="663">
        <v>995.09581854144</v>
      </c>
      <c r="L515" s="663">
        <v>995.09581854144</v>
      </c>
      <c r="M515" s="663">
        <v>995.09581854144</v>
      </c>
      <c r="N515" s="666">
        <v>995.09581854144</v>
      </c>
      <c r="O515" s="666">
        <v>995.09581854144</v>
      </c>
    </row>
    <row r="516" s="597" customFormat="1" spans="1:15">
      <c r="A516" s="618"/>
      <c r="B516" s="526" t="s">
        <v>886</v>
      </c>
      <c r="C516" s="597">
        <v>1240</v>
      </c>
      <c r="D516" s="663">
        <v>1085.55907477248</v>
      </c>
      <c r="E516" s="663">
        <v>1085.55907477248</v>
      </c>
      <c r="F516" s="663">
        <v>1085.55907477248</v>
      </c>
      <c r="G516" s="663">
        <v>1085.55907477248</v>
      </c>
      <c r="H516" s="663">
        <v>1085.55907477248</v>
      </c>
      <c r="I516" s="663">
        <v>1085.55907477248</v>
      </c>
      <c r="J516" s="663">
        <v>1085.55907477248</v>
      </c>
      <c r="K516" s="663">
        <v>1085.55907477248</v>
      </c>
      <c r="L516" s="663">
        <v>1085.55907477248</v>
      </c>
      <c r="M516" s="663">
        <v>1085.55907477248</v>
      </c>
      <c r="N516" s="666">
        <v>1085.55907477248</v>
      </c>
      <c r="O516" s="666">
        <v>1085.55907477248</v>
      </c>
    </row>
    <row r="517" s="597" customFormat="1" spans="1:15">
      <c r="A517" s="618"/>
      <c r="B517" s="526" t="s">
        <v>887</v>
      </c>
      <c r="C517" s="597">
        <v>1240</v>
      </c>
      <c r="D517" s="663">
        <v>1085.55907477248</v>
      </c>
      <c r="E517" s="663">
        <v>1085.55907477248</v>
      </c>
      <c r="F517" s="663">
        <v>1085.55907477248</v>
      </c>
      <c r="G517" s="663">
        <v>1085.55907477248</v>
      </c>
      <c r="H517" s="663">
        <v>1085.55907477248</v>
      </c>
      <c r="I517" s="663">
        <v>1085.55907477248</v>
      </c>
      <c r="J517" s="663">
        <v>1085.55907477248</v>
      </c>
      <c r="K517" s="663">
        <v>1085.55907477248</v>
      </c>
      <c r="L517" s="663">
        <v>1085.55907477248</v>
      </c>
      <c r="M517" s="663">
        <v>1085.55907477248</v>
      </c>
      <c r="N517" s="666">
        <v>1085.55907477248</v>
      </c>
      <c r="O517" s="666">
        <v>1085.55907477248</v>
      </c>
    </row>
    <row r="518" s="597" customFormat="1" spans="1:15">
      <c r="A518" s="618"/>
      <c r="B518" s="526" t="s">
        <v>888</v>
      </c>
      <c r="C518" s="597">
        <v>1240</v>
      </c>
      <c r="D518" s="663">
        <v>1085.55907477248</v>
      </c>
      <c r="E518" s="663">
        <v>1085.55907477248</v>
      </c>
      <c r="F518" s="663">
        <v>1085.55907477248</v>
      </c>
      <c r="G518" s="663">
        <v>1085.55907477248</v>
      </c>
      <c r="H518" s="663">
        <v>1085.55907477248</v>
      </c>
      <c r="I518" s="663">
        <v>1085.55907477248</v>
      </c>
      <c r="J518" s="663">
        <v>1085.55907477248</v>
      </c>
      <c r="K518" s="663">
        <v>1085.55907477248</v>
      </c>
      <c r="L518" s="663">
        <v>1085.55907477248</v>
      </c>
      <c r="M518" s="663">
        <v>1085.55907477248</v>
      </c>
      <c r="N518" s="666">
        <v>1085.55907477248</v>
      </c>
      <c r="O518" s="666">
        <v>1085.55907477248</v>
      </c>
    </row>
    <row r="519" s="597" customFormat="1" spans="1:15">
      <c r="A519" s="618"/>
      <c r="B519" s="526" t="s">
        <v>889</v>
      </c>
      <c r="C519" s="597">
        <v>1240</v>
      </c>
      <c r="D519" s="663">
        <v>1085.55907477248</v>
      </c>
      <c r="E519" s="663">
        <v>1085.55907477248</v>
      </c>
      <c r="F519" s="663">
        <v>1085.55907477248</v>
      </c>
      <c r="G519" s="663">
        <v>1085.55907477248</v>
      </c>
      <c r="H519" s="663">
        <v>1085.55907477248</v>
      </c>
      <c r="I519" s="663">
        <v>1085.55907477248</v>
      </c>
      <c r="J519" s="663">
        <v>1085.55907477248</v>
      </c>
      <c r="K519" s="663">
        <v>1085.55907477248</v>
      </c>
      <c r="L519" s="663">
        <v>1085.55907477248</v>
      </c>
      <c r="M519" s="663">
        <v>1085.55907477248</v>
      </c>
      <c r="N519" s="666">
        <v>1085.55907477248</v>
      </c>
      <c r="O519" s="666">
        <v>1085.55907477248</v>
      </c>
    </row>
    <row r="520" s="597" customFormat="1" spans="1:15">
      <c r="A520" s="618"/>
      <c r="B520" s="526" t="s">
        <v>890</v>
      </c>
      <c r="C520" s="597">
        <v>1240</v>
      </c>
      <c r="D520" s="663">
        <v>995.09581854144</v>
      </c>
      <c r="E520" s="663">
        <v>995.09581854144</v>
      </c>
      <c r="F520" s="663">
        <v>995.09581854144</v>
      </c>
      <c r="G520" s="663">
        <v>995.09581854144</v>
      </c>
      <c r="H520" s="663">
        <v>995.09581854144</v>
      </c>
      <c r="I520" s="663">
        <v>995.09581854144</v>
      </c>
      <c r="J520" s="663">
        <v>995.09581854144</v>
      </c>
      <c r="K520" s="663">
        <v>995.09581854144</v>
      </c>
      <c r="L520" s="663">
        <v>995.09581854144</v>
      </c>
      <c r="M520" s="663">
        <v>995.09581854144</v>
      </c>
      <c r="N520" s="666">
        <v>995.09581854144</v>
      </c>
      <c r="O520" s="666">
        <v>995.09581854144</v>
      </c>
    </row>
    <row r="521" s="597" customFormat="1" spans="1:15">
      <c r="A521" s="618"/>
      <c r="B521" s="526" t="s">
        <v>891</v>
      </c>
      <c r="C521" s="597">
        <v>0</v>
      </c>
      <c r="D521" s="663">
        <v>1240</v>
      </c>
      <c r="E521" s="663">
        <v>1240</v>
      </c>
      <c r="F521" s="663">
        <v>1240</v>
      </c>
      <c r="G521" s="663">
        <v>1240</v>
      </c>
      <c r="H521" s="663">
        <v>1240</v>
      </c>
      <c r="I521" s="663">
        <v>1240</v>
      </c>
      <c r="J521" s="663">
        <v>1240</v>
      </c>
      <c r="K521" s="663">
        <v>1240</v>
      </c>
      <c r="L521" s="663">
        <v>1240</v>
      </c>
      <c r="M521" s="663">
        <v>1240</v>
      </c>
      <c r="N521" s="666">
        <v>1240</v>
      </c>
      <c r="O521" s="666">
        <v>1240</v>
      </c>
    </row>
    <row r="522" s="597" customFormat="1" spans="1:15">
      <c r="A522" s="618"/>
      <c r="B522" s="526" t="s">
        <v>892</v>
      </c>
      <c r="C522" s="597">
        <v>0</v>
      </c>
      <c r="D522" s="635">
        <v>0</v>
      </c>
      <c r="E522" s="635">
        <v>0</v>
      </c>
      <c r="F522" s="635">
        <v>0</v>
      </c>
      <c r="G522" s="635">
        <v>0</v>
      </c>
      <c r="H522" s="635">
        <v>0</v>
      </c>
      <c r="I522" s="635">
        <v>0</v>
      </c>
      <c r="J522" s="635">
        <v>0</v>
      </c>
      <c r="K522" s="635">
        <v>0</v>
      </c>
      <c r="L522" s="635">
        <v>0</v>
      </c>
      <c r="M522" s="635">
        <v>0</v>
      </c>
      <c r="N522" s="640">
        <v>0</v>
      </c>
      <c r="O522" s="640">
        <v>0</v>
      </c>
    </row>
    <row r="523" s="597" customFormat="1" spans="1:15">
      <c r="A523" s="618"/>
      <c r="B523" s="526" t="s">
        <v>893</v>
      </c>
      <c r="C523" s="597">
        <v>0</v>
      </c>
      <c r="D523" s="635">
        <v>0</v>
      </c>
      <c r="E523" s="635">
        <v>0</v>
      </c>
      <c r="F523" s="635">
        <v>0</v>
      </c>
      <c r="G523" s="635">
        <v>0</v>
      </c>
      <c r="H523" s="635">
        <v>0</v>
      </c>
      <c r="I523" s="635">
        <v>0</v>
      </c>
      <c r="J523" s="635">
        <v>0</v>
      </c>
      <c r="K523" s="635">
        <v>0</v>
      </c>
      <c r="L523" s="635">
        <v>0</v>
      </c>
      <c r="M523" s="635">
        <v>0</v>
      </c>
      <c r="N523" s="640">
        <v>0</v>
      </c>
      <c r="O523" s="640">
        <v>0</v>
      </c>
    </row>
    <row r="524" s="597" customFormat="1" spans="1:15">
      <c r="A524" s="618"/>
      <c r="B524" s="526" t="s">
        <v>894</v>
      </c>
      <c r="C524" s="597">
        <v>0</v>
      </c>
      <c r="D524" s="635">
        <v>0</v>
      </c>
      <c r="E524" s="635">
        <v>0</v>
      </c>
      <c r="F524" s="635">
        <v>0</v>
      </c>
      <c r="G524" s="635">
        <v>0</v>
      </c>
      <c r="H524" s="635">
        <v>0</v>
      </c>
      <c r="I524" s="635">
        <v>0</v>
      </c>
      <c r="J524" s="635">
        <v>0</v>
      </c>
      <c r="K524" s="635">
        <v>0</v>
      </c>
      <c r="L524" s="635">
        <v>0</v>
      </c>
      <c r="M524" s="635">
        <v>0</v>
      </c>
      <c r="N524" s="640">
        <v>0</v>
      </c>
      <c r="O524" s="640">
        <v>0</v>
      </c>
    </row>
    <row r="525" s="597" customFormat="1" spans="1:15">
      <c r="A525" s="618"/>
      <c r="B525" s="526" t="s">
        <v>895</v>
      </c>
      <c r="C525" s="597">
        <v>0</v>
      </c>
      <c r="D525" s="635">
        <v>0</v>
      </c>
      <c r="E525" s="635">
        <v>0</v>
      </c>
      <c r="F525" s="635">
        <v>0</v>
      </c>
      <c r="G525" s="635">
        <v>0</v>
      </c>
      <c r="H525" s="635">
        <v>0</v>
      </c>
      <c r="I525" s="635">
        <v>0</v>
      </c>
      <c r="J525" s="635">
        <v>0</v>
      </c>
      <c r="K525" s="635">
        <v>0</v>
      </c>
      <c r="L525" s="635">
        <v>0</v>
      </c>
      <c r="M525" s="635">
        <v>0</v>
      </c>
      <c r="N525" s="640">
        <v>0</v>
      </c>
      <c r="O525" s="640">
        <v>0</v>
      </c>
    </row>
    <row r="526" s="597" customFormat="1" spans="1:15">
      <c r="A526" s="618"/>
      <c r="B526" s="526" t="s">
        <v>896</v>
      </c>
      <c r="C526" s="597">
        <v>1048.59559373184</v>
      </c>
      <c r="D526" s="663">
        <v>0</v>
      </c>
      <c r="E526" s="663">
        <v>0</v>
      </c>
      <c r="F526" s="663">
        <v>0</v>
      </c>
      <c r="G526" s="663">
        <v>0</v>
      </c>
      <c r="H526" s="663">
        <v>0</v>
      </c>
      <c r="I526" s="663">
        <v>0</v>
      </c>
      <c r="J526" s="663">
        <v>0</v>
      </c>
      <c r="K526" s="663">
        <v>0</v>
      </c>
      <c r="L526" s="663">
        <v>0</v>
      </c>
      <c r="M526" s="663">
        <v>0</v>
      </c>
      <c r="N526" s="666">
        <v>0</v>
      </c>
      <c r="O526" s="666">
        <v>0</v>
      </c>
    </row>
    <row r="527" s="597" customFormat="1" spans="1:15">
      <c r="A527" s="618"/>
      <c r="B527" s="526" t="s">
        <v>897</v>
      </c>
      <c r="C527" s="597">
        <v>1198.39496426496</v>
      </c>
      <c r="D527" s="663">
        <v>1059.29554876992</v>
      </c>
      <c r="E527" s="663">
        <v>1059.29554876992</v>
      </c>
      <c r="F527" s="663">
        <v>1059.29554876992</v>
      </c>
      <c r="G527" s="663">
        <v>1059.29554876992</v>
      </c>
      <c r="H527" s="663">
        <v>1059.29554876992</v>
      </c>
      <c r="I527" s="663">
        <v>1059.29554876992</v>
      </c>
      <c r="J527" s="663">
        <v>1059.29554876992</v>
      </c>
      <c r="K527" s="663">
        <v>1059.29554876992</v>
      </c>
      <c r="L527" s="663">
        <v>1059.29554876992</v>
      </c>
      <c r="M527" s="663">
        <v>1059.29554876992</v>
      </c>
      <c r="N527" s="666">
        <v>1059.29554876992</v>
      </c>
      <c r="O527" s="666">
        <v>1059.29554876992</v>
      </c>
    </row>
    <row r="528" s="597" customFormat="1" spans="1:15">
      <c r="A528" s="618"/>
      <c r="B528" s="526" t="s">
        <v>898</v>
      </c>
      <c r="C528" s="597">
        <v>1240</v>
      </c>
      <c r="D528" s="663">
        <v>1155.59514411264</v>
      </c>
      <c r="E528" s="663">
        <v>1155.59514411264</v>
      </c>
      <c r="F528" s="663">
        <v>1155.59514411264</v>
      </c>
      <c r="G528" s="663">
        <v>1155.59514411264</v>
      </c>
      <c r="H528" s="663">
        <v>1155.59514411264</v>
      </c>
      <c r="I528" s="663">
        <v>1155.59514411264</v>
      </c>
      <c r="J528" s="663">
        <v>1155.59514411264</v>
      </c>
      <c r="K528" s="663">
        <v>1155.59514411264</v>
      </c>
      <c r="L528" s="663">
        <v>1155.59514411264</v>
      </c>
      <c r="M528" s="663">
        <v>1155.59514411264</v>
      </c>
      <c r="N528" s="666">
        <v>1155.59514411264</v>
      </c>
      <c r="O528" s="666">
        <v>1155.59514411264</v>
      </c>
    </row>
    <row r="529" s="597" customFormat="1" spans="1:15">
      <c r="A529" s="618"/>
      <c r="B529" s="526" t="s">
        <v>899</v>
      </c>
      <c r="C529" s="597">
        <v>1240</v>
      </c>
      <c r="D529" s="663">
        <v>1155.59514411264</v>
      </c>
      <c r="E529" s="663">
        <v>1155.59514411264</v>
      </c>
      <c r="F529" s="663">
        <v>1155.59514411264</v>
      </c>
      <c r="G529" s="663">
        <v>1155.59514411264</v>
      </c>
      <c r="H529" s="663">
        <v>1155.59514411264</v>
      </c>
      <c r="I529" s="663">
        <v>1155.59514411264</v>
      </c>
      <c r="J529" s="663">
        <v>1155.59514411264</v>
      </c>
      <c r="K529" s="663">
        <v>1155.59514411264</v>
      </c>
      <c r="L529" s="663">
        <v>1155.59514411264</v>
      </c>
      <c r="M529" s="663">
        <v>1155.59514411264</v>
      </c>
      <c r="N529" s="666">
        <v>1155.59514411264</v>
      </c>
      <c r="O529" s="666">
        <v>1155.59514411264</v>
      </c>
    </row>
    <row r="530" s="597" customFormat="1" spans="1:15">
      <c r="A530" s="618"/>
      <c r="B530" s="526" t="s">
        <v>900</v>
      </c>
      <c r="C530" s="597">
        <v>1240</v>
      </c>
      <c r="D530" s="663">
        <v>1155.59514411264</v>
      </c>
      <c r="E530" s="663">
        <v>1155.59514411264</v>
      </c>
      <c r="F530" s="663">
        <v>1155.59514411264</v>
      </c>
      <c r="G530" s="663">
        <v>1155.59514411264</v>
      </c>
      <c r="H530" s="663">
        <v>1155.59514411264</v>
      </c>
      <c r="I530" s="663">
        <v>1155.59514411264</v>
      </c>
      <c r="J530" s="663">
        <v>1155.59514411264</v>
      </c>
      <c r="K530" s="663">
        <v>1155.59514411264</v>
      </c>
      <c r="L530" s="663">
        <v>1155.59514411264</v>
      </c>
      <c r="M530" s="663">
        <v>1155.59514411264</v>
      </c>
      <c r="N530" s="666">
        <v>1155.59514411264</v>
      </c>
      <c r="O530" s="666">
        <v>1155.59514411264</v>
      </c>
    </row>
    <row r="531" s="597" customFormat="1" spans="1:15">
      <c r="A531" s="618"/>
      <c r="B531" s="526" t="s">
        <v>901</v>
      </c>
      <c r="C531" s="597">
        <v>1240</v>
      </c>
      <c r="D531" s="663">
        <v>1155.59514411264</v>
      </c>
      <c r="E531" s="663">
        <v>1155.59514411264</v>
      </c>
      <c r="F531" s="663">
        <v>1155.59514411264</v>
      </c>
      <c r="G531" s="663">
        <v>1155.59514411264</v>
      </c>
      <c r="H531" s="663">
        <v>1155.59514411264</v>
      </c>
      <c r="I531" s="663">
        <v>1155.59514411264</v>
      </c>
      <c r="J531" s="663">
        <v>1155.59514411264</v>
      </c>
      <c r="K531" s="663">
        <v>1155.59514411264</v>
      </c>
      <c r="L531" s="663">
        <v>1155.59514411264</v>
      </c>
      <c r="M531" s="663">
        <v>1155.59514411264</v>
      </c>
      <c r="N531" s="666">
        <v>1155.59514411264</v>
      </c>
      <c r="O531" s="666">
        <v>1155.59514411264</v>
      </c>
    </row>
    <row r="532" s="597" customFormat="1" spans="1:15">
      <c r="A532" s="618"/>
      <c r="B532" s="526" t="s">
        <v>902</v>
      </c>
      <c r="C532" s="597">
        <v>1240</v>
      </c>
      <c r="D532" s="663">
        <v>1059.29554876992</v>
      </c>
      <c r="E532" s="663">
        <v>1059.29554876992</v>
      </c>
      <c r="F532" s="663">
        <v>1059.29554876992</v>
      </c>
      <c r="G532" s="663">
        <v>1059.29554876992</v>
      </c>
      <c r="H532" s="663">
        <v>1059.29554876992</v>
      </c>
      <c r="I532" s="663">
        <v>1059.29554876992</v>
      </c>
      <c r="J532" s="663">
        <v>1059.29554876992</v>
      </c>
      <c r="K532" s="663">
        <v>1059.29554876992</v>
      </c>
      <c r="L532" s="663">
        <v>1059.29554876992</v>
      </c>
      <c r="M532" s="663">
        <v>1059.29554876992</v>
      </c>
      <c r="N532" s="666">
        <v>1059.29554876992</v>
      </c>
      <c r="O532" s="666">
        <v>1059.29554876992</v>
      </c>
    </row>
    <row r="533" s="597" customFormat="1" spans="1:15">
      <c r="A533" s="618"/>
      <c r="B533" s="526" t="s">
        <v>903</v>
      </c>
      <c r="C533" s="597">
        <v>1048.59559373184</v>
      </c>
      <c r="D533" s="663">
        <v>1240</v>
      </c>
      <c r="E533" s="663">
        <v>1240</v>
      </c>
      <c r="F533" s="663">
        <v>1240</v>
      </c>
      <c r="G533" s="663">
        <v>1240</v>
      </c>
      <c r="H533" s="663">
        <v>1240</v>
      </c>
      <c r="I533" s="663">
        <v>1240</v>
      </c>
      <c r="J533" s="663">
        <v>1240</v>
      </c>
      <c r="K533" s="663">
        <v>1240</v>
      </c>
      <c r="L533" s="663">
        <v>1240</v>
      </c>
      <c r="M533" s="663">
        <v>1240</v>
      </c>
      <c r="N533" s="666">
        <v>1240</v>
      </c>
      <c r="O533" s="666">
        <v>1240</v>
      </c>
    </row>
    <row r="534" s="597" customFormat="1" spans="1:15">
      <c r="A534" s="618"/>
      <c r="B534" s="526" t="s">
        <v>904</v>
      </c>
      <c r="C534" s="597">
        <v>1048.59559373184</v>
      </c>
      <c r="D534" s="663">
        <v>0</v>
      </c>
      <c r="E534" s="663">
        <v>0</v>
      </c>
      <c r="F534" s="663">
        <v>0</v>
      </c>
      <c r="G534" s="663">
        <v>0</v>
      </c>
      <c r="H534" s="663">
        <v>0</v>
      </c>
      <c r="I534" s="663">
        <v>0</v>
      </c>
      <c r="J534" s="663">
        <v>0</v>
      </c>
      <c r="K534" s="663">
        <v>0</v>
      </c>
      <c r="L534" s="663">
        <v>0</v>
      </c>
      <c r="M534" s="663">
        <v>0</v>
      </c>
      <c r="N534" s="666">
        <v>0</v>
      </c>
      <c r="O534" s="666">
        <v>0</v>
      </c>
    </row>
    <row r="535" s="597" customFormat="1" spans="1:15">
      <c r="A535" s="618"/>
      <c r="B535" s="526" t="s">
        <v>905</v>
      </c>
      <c r="C535" s="597">
        <v>0</v>
      </c>
      <c r="D535" s="635">
        <v>0</v>
      </c>
      <c r="E535" s="635">
        <v>0</v>
      </c>
      <c r="F535" s="635">
        <v>0</v>
      </c>
      <c r="G535" s="635">
        <v>0</v>
      </c>
      <c r="H535" s="635">
        <v>0</v>
      </c>
      <c r="I535" s="635">
        <v>0</v>
      </c>
      <c r="J535" s="635">
        <v>0</v>
      </c>
      <c r="K535" s="635">
        <v>0</v>
      </c>
      <c r="L535" s="635">
        <v>0</v>
      </c>
      <c r="M535" s="635">
        <v>0</v>
      </c>
      <c r="N535" s="640">
        <v>0</v>
      </c>
      <c r="O535" s="640">
        <v>0</v>
      </c>
    </row>
    <row r="536" s="597" customFormat="1" spans="1:15">
      <c r="A536" s="618"/>
      <c r="B536" s="526" t="s">
        <v>906</v>
      </c>
      <c r="C536" s="597">
        <v>0</v>
      </c>
      <c r="D536" s="635">
        <v>0</v>
      </c>
      <c r="E536" s="635">
        <v>0</v>
      </c>
      <c r="F536" s="635">
        <v>0</v>
      </c>
      <c r="G536" s="635">
        <v>0</v>
      </c>
      <c r="H536" s="635">
        <v>0</v>
      </c>
      <c r="I536" s="635">
        <v>0</v>
      </c>
      <c r="J536" s="635">
        <v>0</v>
      </c>
      <c r="K536" s="635">
        <v>0</v>
      </c>
      <c r="L536" s="635">
        <v>0</v>
      </c>
      <c r="M536" s="635">
        <v>0</v>
      </c>
      <c r="N536" s="640">
        <v>0</v>
      </c>
      <c r="O536" s="640">
        <v>0</v>
      </c>
    </row>
    <row r="537" s="597" customFormat="1" spans="1:15">
      <c r="A537" s="618"/>
      <c r="B537" s="526" t="s">
        <v>907</v>
      </c>
      <c r="C537" s="597">
        <v>995.2494064128</v>
      </c>
      <c r="D537" s="663">
        <v>0</v>
      </c>
      <c r="E537" s="663">
        <v>0</v>
      </c>
      <c r="F537" s="663">
        <v>0</v>
      </c>
      <c r="G537" s="663">
        <v>0</v>
      </c>
      <c r="H537" s="663">
        <v>0</v>
      </c>
      <c r="I537" s="663">
        <v>0</v>
      </c>
      <c r="J537" s="663">
        <v>0</v>
      </c>
      <c r="K537" s="663">
        <v>0</v>
      </c>
      <c r="L537" s="663">
        <v>0</v>
      </c>
      <c r="M537" s="663">
        <v>0</v>
      </c>
      <c r="N537" s="666">
        <v>0</v>
      </c>
      <c r="O537" s="666">
        <v>0</v>
      </c>
    </row>
    <row r="538" s="597" customFormat="1" spans="1:15">
      <c r="A538" s="618"/>
      <c r="B538" s="526" t="s">
        <v>908</v>
      </c>
      <c r="C538" s="597">
        <v>1161.1243074816</v>
      </c>
      <c r="D538" s="663">
        <v>0</v>
      </c>
      <c r="E538" s="663">
        <v>0</v>
      </c>
      <c r="F538" s="663">
        <v>0</v>
      </c>
      <c r="G538" s="663">
        <v>0</v>
      </c>
      <c r="H538" s="663">
        <v>0</v>
      </c>
      <c r="I538" s="663">
        <v>0</v>
      </c>
      <c r="J538" s="663">
        <v>0</v>
      </c>
      <c r="K538" s="663">
        <v>0</v>
      </c>
      <c r="L538" s="663">
        <v>0</v>
      </c>
      <c r="M538" s="663">
        <v>0</v>
      </c>
      <c r="N538" s="666">
        <v>0</v>
      </c>
      <c r="O538" s="666">
        <v>0</v>
      </c>
    </row>
    <row r="539" s="597" customFormat="1" spans="1:15">
      <c r="A539" s="618"/>
      <c r="B539" s="526" t="s">
        <v>909</v>
      </c>
      <c r="C539" s="597">
        <v>1240</v>
      </c>
      <c r="D539" s="663">
        <v>1094.77434705408</v>
      </c>
      <c r="E539" s="663">
        <v>1094.77434705408</v>
      </c>
      <c r="F539" s="663">
        <v>1094.77434705408</v>
      </c>
      <c r="G539" s="663">
        <v>1094.77434705408</v>
      </c>
      <c r="H539" s="663">
        <v>1094.77434705408</v>
      </c>
      <c r="I539" s="663">
        <v>1094.77434705408</v>
      </c>
      <c r="J539" s="663">
        <v>1094.77434705408</v>
      </c>
      <c r="K539" s="663">
        <v>1094.77434705408</v>
      </c>
      <c r="L539" s="663">
        <v>1094.77434705408</v>
      </c>
      <c r="M539" s="663">
        <v>1094.77434705408</v>
      </c>
      <c r="N539" s="666">
        <v>1094.77434705408</v>
      </c>
      <c r="O539" s="666">
        <v>1094.77434705408</v>
      </c>
    </row>
    <row r="540" s="597" customFormat="1" spans="1:15">
      <c r="A540" s="618"/>
      <c r="B540" s="526" t="s">
        <v>910</v>
      </c>
      <c r="C540" s="597">
        <v>1240</v>
      </c>
      <c r="D540" s="663">
        <v>1194.29928769536</v>
      </c>
      <c r="E540" s="663">
        <v>1194.29928769536</v>
      </c>
      <c r="F540" s="663">
        <v>1194.29928769536</v>
      </c>
      <c r="G540" s="665">
        <v>995.2494064128</v>
      </c>
      <c r="H540" s="665">
        <v>995.2494064128</v>
      </c>
      <c r="I540" s="665">
        <v>995.2494064128</v>
      </c>
      <c r="J540" s="665">
        <v>995.2494064128</v>
      </c>
      <c r="K540" s="665">
        <v>995.2494064128</v>
      </c>
      <c r="L540" s="665">
        <v>995.2494064128</v>
      </c>
      <c r="M540" s="665">
        <v>995.2494064128</v>
      </c>
      <c r="N540" s="668">
        <v>995.2494064128</v>
      </c>
      <c r="O540" s="668">
        <v>995.2494064128</v>
      </c>
    </row>
    <row r="541" s="597" customFormat="1" spans="1:15">
      <c r="A541" s="618"/>
      <c r="B541" s="526" t="s">
        <v>911</v>
      </c>
      <c r="C541" s="597">
        <v>1240</v>
      </c>
      <c r="D541" s="663">
        <v>1194.29928769536</v>
      </c>
      <c r="E541" s="663">
        <v>1194.29928769536</v>
      </c>
      <c r="F541" s="663">
        <v>1194.29928769536</v>
      </c>
      <c r="G541" s="665">
        <v>995.2494064128</v>
      </c>
      <c r="H541" s="665">
        <v>995.2494064128</v>
      </c>
      <c r="I541" s="665">
        <v>995.2494064128</v>
      </c>
      <c r="J541" s="665">
        <v>995.2494064128</v>
      </c>
      <c r="K541" s="665">
        <v>995.2494064128</v>
      </c>
      <c r="L541" s="665">
        <v>995.2494064128</v>
      </c>
      <c r="M541" s="665">
        <v>995.2494064128</v>
      </c>
      <c r="N541" s="668">
        <v>995.2494064128</v>
      </c>
      <c r="O541" s="668">
        <v>995.2494064128</v>
      </c>
    </row>
    <row r="542" s="597" customFormat="1" spans="1:15">
      <c r="A542" s="618"/>
      <c r="B542" s="526" t="s">
        <v>912</v>
      </c>
      <c r="C542" s="597">
        <v>1240</v>
      </c>
      <c r="D542" s="663">
        <v>1194.29928769536</v>
      </c>
      <c r="E542" s="663">
        <v>1194.29928769536</v>
      </c>
      <c r="F542" s="663">
        <v>1194.29928769536</v>
      </c>
      <c r="G542" s="665">
        <v>995.2494064128</v>
      </c>
      <c r="H542" s="665">
        <v>995.2494064128</v>
      </c>
      <c r="I542" s="665">
        <v>995.2494064128</v>
      </c>
      <c r="J542" s="665">
        <v>995.2494064128</v>
      </c>
      <c r="K542" s="665">
        <v>995.2494064128</v>
      </c>
      <c r="L542" s="665">
        <v>995.2494064128</v>
      </c>
      <c r="M542" s="665">
        <v>995.2494064128</v>
      </c>
      <c r="N542" s="668">
        <v>995.2494064128</v>
      </c>
      <c r="O542" s="668">
        <v>995.2494064128</v>
      </c>
    </row>
    <row r="543" s="597" customFormat="1" spans="1:15">
      <c r="A543" s="618"/>
      <c r="B543" s="526" t="s">
        <v>913</v>
      </c>
      <c r="C543" s="597">
        <v>1240</v>
      </c>
      <c r="D543" s="663">
        <v>1194.29928769536</v>
      </c>
      <c r="E543" s="663">
        <v>1194.29928769536</v>
      </c>
      <c r="F543" s="663">
        <v>1194.29928769536</v>
      </c>
      <c r="G543" s="665">
        <v>995.2494064128</v>
      </c>
      <c r="H543" s="665">
        <v>995.2494064128</v>
      </c>
      <c r="I543" s="665">
        <v>995.2494064128</v>
      </c>
      <c r="J543" s="665">
        <v>995.2494064128</v>
      </c>
      <c r="K543" s="665">
        <v>995.2494064128</v>
      </c>
      <c r="L543" s="665">
        <v>995.2494064128</v>
      </c>
      <c r="M543" s="665">
        <v>995.2494064128</v>
      </c>
      <c r="N543" s="668">
        <v>995.2494064128</v>
      </c>
      <c r="O543" s="668">
        <v>995.2494064128</v>
      </c>
    </row>
    <row r="544" s="597" customFormat="1" spans="1:15">
      <c r="A544" s="618"/>
      <c r="B544" s="526" t="s">
        <v>914</v>
      </c>
      <c r="C544" s="597">
        <v>1240</v>
      </c>
      <c r="D544" s="663">
        <v>1094.77434705408</v>
      </c>
      <c r="E544" s="663">
        <v>1094.77434705408</v>
      </c>
      <c r="F544" s="663">
        <v>1094.77434705408</v>
      </c>
      <c r="G544" s="665">
        <v>995.2494064128</v>
      </c>
      <c r="H544" s="665">
        <v>995.2494064128</v>
      </c>
      <c r="I544" s="665">
        <v>995.2494064128</v>
      </c>
      <c r="J544" s="665">
        <v>995.2494064128</v>
      </c>
      <c r="K544" s="665">
        <v>995.2494064128</v>
      </c>
      <c r="L544" s="665">
        <v>995.2494064128</v>
      </c>
      <c r="M544" s="665">
        <v>995.2494064128</v>
      </c>
      <c r="N544" s="668">
        <v>995.2494064128</v>
      </c>
      <c r="O544" s="668">
        <v>995.2494064128</v>
      </c>
    </row>
    <row r="545" s="597" customFormat="1" spans="1:15">
      <c r="A545" s="618"/>
      <c r="B545" s="526" t="s">
        <v>915</v>
      </c>
      <c r="C545" s="597">
        <v>1161.1243074816</v>
      </c>
      <c r="D545" s="663">
        <v>1240</v>
      </c>
      <c r="E545" s="663">
        <v>1240</v>
      </c>
      <c r="F545" s="663">
        <v>1240</v>
      </c>
      <c r="G545" s="665">
        <v>1194.29928769536</v>
      </c>
      <c r="H545" s="665">
        <v>1194.29928769536</v>
      </c>
      <c r="I545" s="665">
        <v>1194.29928769536</v>
      </c>
      <c r="J545" s="665">
        <v>1194.29928769536</v>
      </c>
      <c r="K545" s="665">
        <v>1194.29928769536</v>
      </c>
      <c r="L545" s="665">
        <v>1194.29928769536</v>
      </c>
      <c r="M545" s="665">
        <v>1194.29928769536</v>
      </c>
      <c r="N545" s="668">
        <v>1194.29928769536</v>
      </c>
      <c r="O545" s="668">
        <v>1194.29928769536</v>
      </c>
    </row>
    <row r="546" s="597" customFormat="1" spans="1:15">
      <c r="A546" s="618"/>
      <c r="B546" s="526" t="s">
        <v>916</v>
      </c>
      <c r="C546" s="597">
        <v>1161.1243074816</v>
      </c>
      <c r="D546" s="663">
        <v>0</v>
      </c>
      <c r="E546" s="663">
        <v>0</v>
      </c>
      <c r="F546" s="663">
        <v>0</v>
      </c>
      <c r="G546" s="663">
        <v>0</v>
      </c>
      <c r="H546" s="663">
        <v>0</v>
      </c>
      <c r="I546" s="663">
        <v>0</v>
      </c>
      <c r="J546" s="663">
        <v>0</v>
      </c>
      <c r="K546" s="663">
        <v>0</v>
      </c>
      <c r="L546" s="663">
        <v>0</v>
      </c>
      <c r="M546" s="663">
        <v>0</v>
      </c>
      <c r="N546" s="666">
        <v>0</v>
      </c>
      <c r="O546" s="666">
        <v>0</v>
      </c>
    </row>
    <row r="547" s="597" customFormat="1" spans="1:15">
      <c r="A547" s="618"/>
      <c r="B547" s="526" t="s">
        <v>917</v>
      </c>
      <c r="C547" s="597">
        <v>0</v>
      </c>
      <c r="D547" s="663">
        <v>1155.9193851744</v>
      </c>
      <c r="E547" s="663">
        <v>1155.9193851744</v>
      </c>
      <c r="F547" s="663">
        <v>1155.9193851744</v>
      </c>
      <c r="G547" s="663">
        <v>1155.9193851744</v>
      </c>
      <c r="H547" s="663">
        <v>1155.9193851744</v>
      </c>
      <c r="I547" s="663">
        <v>1155.9193851744</v>
      </c>
      <c r="J547" s="663">
        <v>1155.9193851744</v>
      </c>
      <c r="K547" s="663">
        <v>1155.9193851744</v>
      </c>
      <c r="L547" s="663">
        <v>1155.9193851744</v>
      </c>
      <c r="M547" s="663">
        <v>1155.9193851744</v>
      </c>
      <c r="N547" s="666">
        <v>1155.9193851744</v>
      </c>
      <c r="O547" s="666">
        <v>1155.9193851744</v>
      </c>
    </row>
    <row r="548" s="597" customFormat="1" spans="1:15">
      <c r="A548" s="618"/>
      <c r="B548" s="526" t="s">
        <v>918</v>
      </c>
      <c r="C548" s="597">
        <v>0</v>
      </c>
      <c r="D548" s="663">
        <v>1155.9193851744</v>
      </c>
      <c r="E548" s="663">
        <v>1155.9193851744</v>
      </c>
      <c r="F548" s="663">
        <v>1155.9193851744</v>
      </c>
      <c r="G548" s="663">
        <v>1155.9193851744</v>
      </c>
      <c r="H548" s="663">
        <v>1155.9193851744</v>
      </c>
      <c r="I548" s="663">
        <v>1155.9193851744</v>
      </c>
      <c r="J548" s="663">
        <v>1155.9193851744</v>
      </c>
      <c r="K548" s="663">
        <v>1155.9193851744</v>
      </c>
      <c r="L548" s="663">
        <v>1155.9193851744</v>
      </c>
      <c r="M548" s="663">
        <v>1155.9193851744</v>
      </c>
      <c r="N548" s="666">
        <v>1155.9193851744</v>
      </c>
      <c r="O548" s="666">
        <v>1155.9193851744</v>
      </c>
    </row>
    <row r="549" s="597" customFormat="1" spans="1:15">
      <c r="A549" s="618"/>
      <c r="B549" s="526" t="s">
        <v>919</v>
      </c>
      <c r="C549" s="597">
        <v>0</v>
      </c>
      <c r="D549" s="663">
        <v>1240</v>
      </c>
      <c r="E549" s="663">
        <v>1240</v>
      </c>
      <c r="F549" s="663">
        <v>1240</v>
      </c>
      <c r="G549" s="663">
        <v>1240</v>
      </c>
      <c r="H549" s="663">
        <v>1240</v>
      </c>
      <c r="I549" s="663">
        <v>1240</v>
      </c>
      <c r="J549" s="663">
        <v>1240</v>
      </c>
      <c r="K549" s="663">
        <v>1240</v>
      </c>
      <c r="L549" s="663">
        <v>1240</v>
      </c>
      <c r="M549" s="663">
        <v>1240</v>
      </c>
      <c r="N549" s="666">
        <v>1240</v>
      </c>
      <c r="O549" s="666">
        <v>1240</v>
      </c>
    </row>
    <row r="550" s="597" customFormat="1" spans="1:15">
      <c r="A550" s="618"/>
      <c r="B550" s="526" t="s">
        <v>920</v>
      </c>
      <c r="C550" s="597">
        <v>0</v>
      </c>
      <c r="D550" s="663">
        <v>1240</v>
      </c>
      <c r="E550" s="663">
        <v>1240</v>
      </c>
      <c r="F550" s="663">
        <v>1240</v>
      </c>
      <c r="G550" s="663">
        <v>1240</v>
      </c>
      <c r="H550" s="663">
        <v>1240</v>
      </c>
      <c r="I550" s="663">
        <v>1240</v>
      </c>
      <c r="J550" s="663">
        <v>1240</v>
      </c>
      <c r="K550" s="663">
        <v>1240</v>
      </c>
      <c r="L550" s="663">
        <v>1240</v>
      </c>
      <c r="M550" s="663">
        <v>1240</v>
      </c>
      <c r="N550" s="666">
        <v>1240</v>
      </c>
      <c r="O550" s="666">
        <v>1240</v>
      </c>
    </row>
    <row r="551" s="597" customFormat="1" spans="1:15">
      <c r="A551" s="618"/>
      <c r="B551" s="526" t="s">
        <v>921</v>
      </c>
      <c r="C551" s="597">
        <v>0</v>
      </c>
      <c r="D551" s="663">
        <v>1240</v>
      </c>
      <c r="E551" s="663">
        <v>1240</v>
      </c>
      <c r="F551" s="663">
        <v>1240</v>
      </c>
      <c r="G551" s="663">
        <v>1240</v>
      </c>
      <c r="H551" s="663">
        <v>1240</v>
      </c>
      <c r="I551" s="663">
        <v>1240</v>
      </c>
      <c r="J551" s="663">
        <v>1240</v>
      </c>
      <c r="K551" s="663">
        <v>1240</v>
      </c>
      <c r="L551" s="663">
        <v>1240</v>
      </c>
      <c r="M551" s="663">
        <v>1240</v>
      </c>
      <c r="N551" s="666">
        <v>1240</v>
      </c>
      <c r="O551" s="666">
        <v>1240</v>
      </c>
    </row>
    <row r="552" s="597" customFormat="1" spans="1:15">
      <c r="A552" s="618"/>
      <c r="B552" s="526" t="s">
        <v>922</v>
      </c>
      <c r="C552" s="597">
        <v>1206.1767497472</v>
      </c>
      <c r="D552" s="663">
        <v>2311.8387703488</v>
      </c>
      <c r="E552" s="663">
        <v>2311.8387703488</v>
      </c>
      <c r="F552" s="663">
        <v>2311.8387703488</v>
      </c>
      <c r="G552" s="663">
        <v>2311.8387703488</v>
      </c>
      <c r="H552" s="663">
        <v>2311.8387703488</v>
      </c>
      <c r="I552" s="663">
        <v>2311.8387703488</v>
      </c>
      <c r="J552" s="663">
        <v>2311.8387703488</v>
      </c>
      <c r="K552" s="663">
        <v>2311.8387703488</v>
      </c>
      <c r="L552" s="663">
        <v>2311.8387703488</v>
      </c>
      <c r="M552" s="663">
        <v>2311.8387703488</v>
      </c>
      <c r="N552" s="666">
        <v>2311.8387703488</v>
      </c>
      <c r="O552" s="666">
        <v>2311.8387703488</v>
      </c>
    </row>
    <row r="553" s="597" customFormat="1" spans="1:15">
      <c r="A553" s="618"/>
      <c r="B553" s="526" t="s">
        <v>923</v>
      </c>
      <c r="C553" s="597">
        <v>1206.1767497472</v>
      </c>
      <c r="D553" s="663">
        <v>2311.8387703488</v>
      </c>
      <c r="E553" s="663">
        <v>2311.8387703488</v>
      </c>
      <c r="F553" s="663">
        <v>2311.8387703488</v>
      </c>
      <c r="G553" s="663">
        <v>2311.8387703488</v>
      </c>
      <c r="H553" s="663">
        <v>2311.8387703488</v>
      </c>
      <c r="I553" s="663">
        <v>2311.8387703488</v>
      </c>
      <c r="J553" s="663">
        <v>2311.8387703488</v>
      </c>
      <c r="K553" s="663">
        <v>2311.8387703488</v>
      </c>
      <c r="L553" s="663">
        <v>2311.8387703488</v>
      </c>
      <c r="M553" s="663">
        <v>2311.8387703488</v>
      </c>
      <c r="N553" s="666">
        <v>2311.8387703488</v>
      </c>
      <c r="O553" s="666">
        <v>2311.8387703488</v>
      </c>
    </row>
    <row r="554" s="597" customFormat="1" spans="1:15">
      <c r="A554" s="618"/>
      <c r="B554" s="526" t="s">
        <v>924</v>
      </c>
      <c r="C554" s="597">
        <v>1240</v>
      </c>
      <c r="D554" s="663">
        <v>2480</v>
      </c>
      <c r="E554" s="663">
        <v>2480</v>
      </c>
      <c r="F554" s="663">
        <v>2480</v>
      </c>
      <c r="G554" s="663">
        <v>2480</v>
      </c>
      <c r="H554" s="663">
        <v>2480</v>
      </c>
      <c r="I554" s="663">
        <v>2480</v>
      </c>
      <c r="J554" s="663">
        <v>2480</v>
      </c>
      <c r="K554" s="663">
        <v>2480</v>
      </c>
      <c r="L554" s="663">
        <v>2480</v>
      </c>
      <c r="M554" s="663">
        <v>2480</v>
      </c>
      <c r="N554" s="666">
        <v>2480</v>
      </c>
      <c r="O554" s="666">
        <v>2480</v>
      </c>
    </row>
    <row r="555" s="597" customFormat="1" spans="1:15">
      <c r="A555" s="618"/>
      <c r="B555" s="526" t="s">
        <v>925</v>
      </c>
      <c r="C555" s="597">
        <v>1240</v>
      </c>
      <c r="D555" s="663">
        <v>2480</v>
      </c>
      <c r="E555" s="663">
        <v>2480</v>
      </c>
      <c r="F555" s="663">
        <v>2480</v>
      </c>
      <c r="G555" s="663">
        <v>2480</v>
      </c>
      <c r="H555" s="663">
        <v>2480</v>
      </c>
      <c r="I555" s="663">
        <v>2480</v>
      </c>
      <c r="J555" s="663">
        <v>2480</v>
      </c>
      <c r="K555" s="663">
        <v>2480</v>
      </c>
      <c r="L555" s="663">
        <v>2480</v>
      </c>
      <c r="M555" s="663">
        <v>2480</v>
      </c>
      <c r="N555" s="666">
        <v>2480</v>
      </c>
      <c r="O555" s="666">
        <v>2480</v>
      </c>
    </row>
    <row r="556" s="597" customFormat="1" spans="1:15">
      <c r="A556" s="618"/>
      <c r="B556" s="526" t="s">
        <v>926</v>
      </c>
      <c r="C556" s="597">
        <v>1240</v>
      </c>
      <c r="D556" s="663">
        <v>2480</v>
      </c>
      <c r="E556" s="663">
        <v>2480</v>
      </c>
      <c r="F556" s="663">
        <v>2480</v>
      </c>
      <c r="G556" s="663">
        <v>2480</v>
      </c>
      <c r="H556" s="663">
        <v>2480</v>
      </c>
      <c r="I556" s="663">
        <v>2480</v>
      </c>
      <c r="J556" s="663">
        <v>2480</v>
      </c>
      <c r="K556" s="663">
        <v>2480</v>
      </c>
      <c r="L556" s="663">
        <v>2480</v>
      </c>
      <c r="M556" s="663">
        <v>2480</v>
      </c>
      <c r="N556" s="666">
        <v>2480</v>
      </c>
      <c r="O556" s="666">
        <v>2480</v>
      </c>
    </row>
    <row r="557" s="597" customFormat="1" spans="1:15">
      <c r="A557" s="618"/>
      <c r="B557" s="526" t="s">
        <v>927</v>
      </c>
      <c r="C557" s="597">
        <v>0</v>
      </c>
      <c r="D557" s="663">
        <v>1240</v>
      </c>
      <c r="E557" s="663">
        <v>1240</v>
      </c>
      <c r="F557" s="663">
        <v>1240</v>
      </c>
      <c r="G557" s="663">
        <v>1240</v>
      </c>
      <c r="H557" s="663">
        <v>1240</v>
      </c>
      <c r="I557" s="663">
        <v>1240</v>
      </c>
      <c r="J557" s="663">
        <v>1240</v>
      </c>
      <c r="K557" s="663">
        <v>1240</v>
      </c>
      <c r="L557" s="663">
        <v>1240</v>
      </c>
      <c r="M557" s="663">
        <v>1240</v>
      </c>
      <c r="N557" s="666">
        <v>1240</v>
      </c>
      <c r="O557" s="666">
        <v>1240</v>
      </c>
    </row>
    <row r="558" s="597" customFormat="1" spans="1:15">
      <c r="A558" s="618"/>
      <c r="B558" s="526" t="s">
        <v>928</v>
      </c>
      <c r="C558" s="597">
        <v>0</v>
      </c>
      <c r="D558" s="663">
        <v>1240</v>
      </c>
      <c r="E558" s="663">
        <v>1240</v>
      </c>
      <c r="F558" s="663">
        <v>1240</v>
      </c>
      <c r="G558" s="663">
        <v>1240</v>
      </c>
      <c r="H558" s="663">
        <v>1240</v>
      </c>
      <c r="I558" s="663">
        <v>1240</v>
      </c>
      <c r="J558" s="663">
        <v>1240</v>
      </c>
      <c r="K558" s="663">
        <v>1240</v>
      </c>
      <c r="L558" s="663">
        <v>1240</v>
      </c>
      <c r="M558" s="663">
        <v>1240</v>
      </c>
      <c r="N558" s="666">
        <v>1240</v>
      </c>
      <c r="O558" s="666">
        <v>1240</v>
      </c>
    </row>
    <row r="559" s="597" customFormat="1" spans="1:15">
      <c r="A559" s="618"/>
      <c r="B559" s="526" t="s">
        <v>929</v>
      </c>
      <c r="C559" s="597">
        <v>0</v>
      </c>
      <c r="D559" s="663">
        <v>1230.4948293792</v>
      </c>
      <c r="E559" s="663">
        <v>1230.4948293792</v>
      </c>
      <c r="F559" s="663">
        <v>1230.4948293792</v>
      </c>
      <c r="G559" s="663">
        <v>1230.4948293792</v>
      </c>
      <c r="H559" s="663">
        <v>1230.4948293792</v>
      </c>
      <c r="I559" s="663">
        <v>1230.4948293792</v>
      </c>
      <c r="J559" s="663">
        <v>1230.4948293792</v>
      </c>
      <c r="K559" s="663">
        <v>1230.4948293792</v>
      </c>
      <c r="L559" s="663">
        <v>1230.4948293792</v>
      </c>
      <c r="M559" s="663">
        <v>1230.4948293792</v>
      </c>
      <c r="N559" s="666">
        <v>1230.4948293792</v>
      </c>
      <c r="O559" s="666">
        <v>1230.4948293792</v>
      </c>
    </row>
    <row r="560" s="597" customFormat="1" spans="1:15">
      <c r="A560" s="618"/>
      <c r="B560" s="526" t="s">
        <v>930</v>
      </c>
      <c r="C560" s="597">
        <v>0</v>
      </c>
      <c r="D560" s="663">
        <v>1230.4948293792</v>
      </c>
      <c r="E560" s="663">
        <v>1230.4948293792</v>
      </c>
      <c r="F560" s="663">
        <v>1230.4948293792</v>
      </c>
      <c r="G560" s="663">
        <v>1230.4948293792</v>
      </c>
      <c r="H560" s="663">
        <v>1230.4948293792</v>
      </c>
      <c r="I560" s="663">
        <v>1230.4948293792</v>
      </c>
      <c r="J560" s="663">
        <v>1230.4948293792</v>
      </c>
      <c r="K560" s="663">
        <v>1230.4948293792</v>
      </c>
      <c r="L560" s="663">
        <v>1230.4948293792</v>
      </c>
      <c r="M560" s="663">
        <v>1230.4948293792</v>
      </c>
      <c r="N560" s="666">
        <v>1230.4948293792</v>
      </c>
      <c r="O560" s="666">
        <v>1230.4948293792</v>
      </c>
    </row>
    <row r="561" s="597" customFormat="1" spans="1:15">
      <c r="A561" s="618"/>
      <c r="B561" s="526" t="s">
        <v>931</v>
      </c>
      <c r="C561" s="597">
        <v>0</v>
      </c>
      <c r="D561" s="663">
        <v>1240</v>
      </c>
      <c r="E561" s="663">
        <v>1240</v>
      </c>
      <c r="F561" s="663">
        <v>1240</v>
      </c>
      <c r="G561" s="663">
        <v>1240</v>
      </c>
      <c r="H561" s="663">
        <v>1240</v>
      </c>
      <c r="I561" s="663">
        <v>1240</v>
      </c>
      <c r="J561" s="663">
        <v>1240</v>
      </c>
      <c r="K561" s="663">
        <v>1240</v>
      </c>
      <c r="L561" s="663">
        <v>1240</v>
      </c>
      <c r="M561" s="663">
        <v>1240</v>
      </c>
      <c r="N561" s="666">
        <v>1240</v>
      </c>
      <c r="O561" s="666">
        <v>1240</v>
      </c>
    </row>
    <row r="562" s="597" customFormat="1" spans="1:15">
      <c r="A562" s="618"/>
      <c r="B562" s="526" t="s">
        <v>932</v>
      </c>
      <c r="C562" s="597">
        <v>0</v>
      </c>
      <c r="D562" s="663">
        <v>1240</v>
      </c>
      <c r="E562" s="663">
        <v>1240</v>
      </c>
      <c r="F562" s="663">
        <v>1240</v>
      </c>
      <c r="G562" s="663">
        <v>1240</v>
      </c>
      <c r="H562" s="663">
        <v>1240</v>
      </c>
      <c r="I562" s="663">
        <v>1240</v>
      </c>
      <c r="J562" s="663">
        <v>1240</v>
      </c>
      <c r="K562" s="663">
        <v>1240</v>
      </c>
      <c r="L562" s="663">
        <v>1240</v>
      </c>
      <c r="M562" s="663">
        <v>1240</v>
      </c>
      <c r="N562" s="666">
        <v>1240</v>
      </c>
      <c r="O562" s="666">
        <v>1240</v>
      </c>
    </row>
    <row r="563" s="597" customFormat="1" spans="1:15">
      <c r="A563" s="618"/>
      <c r="B563" s="526" t="s">
        <v>933</v>
      </c>
      <c r="C563" s="597">
        <v>1112.79532396032</v>
      </c>
      <c r="D563" s="663">
        <v>1240</v>
      </c>
      <c r="E563" s="663">
        <v>1240</v>
      </c>
      <c r="F563" s="663">
        <v>1240</v>
      </c>
      <c r="G563" s="665">
        <v>1968.79172700672</v>
      </c>
      <c r="H563" s="665">
        <v>1968.79172700672</v>
      </c>
      <c r="I563" s="665">
        <v>1968.79172700672</v>
      </c>
      <c r="J563" s="665">
        <v>1968.79172700672</v>
      </c>
      <c r="K563" s="665">
        <v>1968.79172700672</v>
      </c>
      <c r="L563" s="665">
        <v>1968.79172700672</v>
      </c>
      <c r="M563" s="665">
        <v>1968.79172700672</v>
      </c>
      <c r="N563" s="668">
        <v>1968.79172700672</v>
      </c>
      <c r="O563" s="668">
        <v>1968.79172700672</v>
      </c>
    </row>
    <row r="564" s="597" customFormat="1" spans="1:15">
      <c r="A564" s="618"/>
      <c r="B564" s="526" t="s">
        <v>934</v>
      </c>
      <c r="C564" s="597">
        <v>1240</v>
      </c>
      <c r="D564" s="663">
        <v>2460.9896587584</v>
      </c>
      <c r="E564" s="663">
        <v>2460.9896587584</v>
      </c>
      <c r="F564" s="663">
        <v>2460.9896587584</v>
      </c>
      <c r="G564" s="663">
        <v>2460.9896587584</v>
      </c>
      <c r="H564" s="663">
        <v>2460.9896587584</v>
      </c>
      <c r="I564" s="663">
        <v>2460.9896587584</v>
      </c>
      <c r="J564" s="663">
        <v>2460.9896587584</v>
      </c>
      <c r="K564" s="663">
        <v>2460.9896587584</v>
      </c>
      <c r="L564" s="663">
        <v>2460.9896587584</v>
      </c>
      <c r="M564" s="663">
        <v>2460.9896587584</v>
      </c>
      <c r="N564" s="666">
        <v>2460.9896587584</v>
      </c>
      <c r="O564" s="666">
        <v>2460.9896587584</v>
      </c>
    </row>
    <row r="565" s="597" customFormat="1" spans="1:15">
      <c r="A565" s="618"/>
      <c r="B565" s="526" t="s">
        <v>935</v>
      </c>
      <c r="C565" s="597">
        <v>1240</v>
      </c>
      <c r="D565" s="663">
        <v>2460.9896587584</v>
      </c>
      <c r="E565" s="663">
        <v>2460.9896587584</v>
      </c>
      <c r="F565" s="663">
        <v>2460.9896587584</v>
      </c>
      <c r="G565" s="663">
        <v>2460.9896587584</v>
      </c>
      <c r="H565" s="663">
        <v>2460.9896587584</v>
      </c>
      <c r="I565" s="663">
        <v>2460.9896587584</v>
      </c>
      <c r="J565" s="663">
        <v>2460.9896587584</v>
      </c>
      <c r="K565" s="663">
        <v>2460.9896587584</v>
      </c>
      <c r="L565" s="663">
        <v>2460.9896587584</v>
      </c>
      <c r="M565" s="663">
        <v>2460.9896587584</v>
      </c>
      <c r="N565" s="666">
        <v>2460.9896587584</v>
      </c>
      <c r="O565" s="666">
        <v>2460.9896587584</v>
      </c>
    </row>
    <row r="566" s="597" customFormat="1" spans="1:15">
      <c r="A566" s="618"/>
      <c r="B566" s="526" t="s">
        <v>936</v>
      </c>
      <c r="C566" s="597">
        <v>1240</v>
      </c>
      <c r="D566" s="663">
        <v>2480</v>
      </c>
      <c r="E566" s="663">
        <v>2480</v>
      </c>
      <c r="F566" s="663">
        <v>2480</v>
      </c>
      <c r="G566" s="663">
        <v>2480</v>
      </c>
      <c r="H566" s="663">
        <v>2480</v>
      </c>
      <c r="I566" s="663">
        <v>2480</v>
      </c>
      <c r="J566" s="663">
        <v>2480</v>
      </c>
      <c r="K566" s="663">
        <v>2480</v>
      </c>
      <c r="L566" s="663">
        <v>2480</v>
      </c>
      <c r="M566" s="663">
        <v>2480</v>
      </c>
      <c r="N566" s="666">
        <v>2480</v>
      </c>
      <c r="O566" s="666">
        <v>2480</v>
      </c>
    </row>
    <row r="567" s="597" customFormat="1" spans="1:15">
      <c r="A567" s="618"/>
      <c r="B567" s="526" t="s">
        <v>937</v>
      </c>
      <c r="C567" s="597">
        <v>1240</v>
      </c>
      <c r="D567" s="663">
        <v>2480</v>
      </c>
      <c r="E567" s="663">
        <v>2480</v>
      </c>
      <c r="F567" s="663">
        <v>2480</v>
      </c>
      <c r="G567" s="663">
        <v>2480</v>
      </c>
      <c r="H567" s="663">
        <v>2480</v>
      </c>
      <c r="I567" s="663">
        <v>2480</v>
      </c>
      <c r="J567" s="663">
        <v>2480</v>
      </c>
      <c r="K567" s="663">
        <v>2480</v>
      </c>
      <c r="L567" s="663">
        <v>2480</v>
      </c>
      <c r="M567" s="663">
        <v>2480</v>
      </c>
      <c r="N567" s="666">
        <v>2480</v>
      </c>
      <c r="O567" s="666">
        <v>2480</v>
      </c>
    </row>
    <row r="568" s="597" customFormat="1" spans="1:15">
      <c r="A568" s="618"/>
      <c r="B568" s="526" t="s">
        <v>938</v>
      </c>
      <c r="C568" s="597">
        <v>1240</v>
      </c>
      <c r="D568" s="663">
        <v>2480</v>
      </c>
      <c r="E568" s="663">
        <v>2480</v>
      </c>
      <c r="F568" s="663">
        <v>2480</v>
      </c>
      <c r="G568" s="663">
        <v>2480</v>
      </c>
      <c r="H568" s="663">
        <v>2480</v>
      </c>
      <c r="I568" s="663">
        <v>2480</v>
      </c>
      <c r="J568" s="663">
        <v>2480</v>
      </c>
      <c r="K568" s="663">
        <v>2480</v>
      </c>
      <c r="L568" s="663">
        <v>2480</v>
      </c>
      <c r="M568" s="663">
        <v>2480</v>
      </c>
      <c r="N568" s="666">
        <v>2480</v>
      </c>
      <c r="O568" s="666">
        <v>2480</v>
      </c>
    </row>
    <row r="569" s="597" customFormat="1" spans="1:15">
      <c r="A569" s="618"/>
      <c r="B569" s="526" t="s">
        <v>939</v>
      </c>
      <c r="C569" s="597">
        <v>0</v>
      </c>
      <c r="D569" s="663">
        <v>1240</v>
      </c>
      <c r="E569" s="663">
        <v>1240</v>
      </c>
      <c r="F569" s="663">
        <v>1240</v>
      </c>
      <c r="G569" s="663">
        <v>1240</v>
      </c>
      <c r="H569" s="663">
        <v>1240</v>
      </c>
      <c r="I569" s="663">
        <v>1240</v>
      </c>
      <c r="J569" s="663">
        <v>1240</v>
      </c>
      <c r="K569" s="663">
        <v>1240</v>
      </c>
      <c r="L569" s="663">
        <v>1240</v>
      </c>
      <c r="M569" s="663">
        <v>1240</v>
      </c>
      <c r="N569" s="666">
        <v>1240</v>
      </c>
      <c r="O569" s="666">
        <v>1240</v>
      </c>
    </row>
    <row r="570" s="597" customFormat="1" spans="1:15">
      <c r="A570" s="618"/>
      <c r="B570" s="526" t="s">
        <v>940</v>
      </c>
      <c r="C570" s="597">
        <v>0</v>
      </c>
      <c r="D570" s="663">
        <v>1240</v>
      </c>
      <c r="E570" s="663">
        <v>1240</v>
      </c>
      <c r="F570" s="663">
        <v>1240</v>
      </c>
      <c r="G570" s="663">
        <v>1240</v>
      </c>
      <c r="H570" s="663">
        <v>1240</v>
      </c>
      <c r="I570" s="663">
        <v>1240</v>
      </c>
      <c r="J570" s="663">
        <v>1240</v>
      </c>
      <c r="K570" s="663">
        <v>1240</v>
      </c>
      <c r="L570" s="663">
        <v>1240</v>
      </c>
      <c r="M570" s="663">
        <v>1240</v>
      </c>
      <c r="N570" s="666">
        <v>1240</v>
      </c>
      <c r="O570" s="666">
        <v>1240</v>
      </c>
    </row>
    <row r="571" s="597" customFormat="1" spans="1:15">
      <c r="A571" s="618"/>
      <c r="B571" s="526" t="s">
        <v>941</v>
      </c>
      <c r="C571" s="597">
        <v>0</v>
      </c>
      <c r="D571" s="663">
        <v>1240</v>
      </c>
      <c r="E571" s="663">
        <v>1240</v>
      </c>
      <c r="F571" s="663">
        <v>1240</v>
      </c>
      <c r="G571" s="663">
        <v>1240</v>
      </c>
      <c r="H571" s="671">
        <v>1105.832673792</v>
      </c>
      <c r="I571" s="671">
        <v>1105.832673792</v>
      </c>
      <c r="J571" s="671">
        <v>1105.832673792</v>
      </c>
      <c r="K571" s="671">
        <v>1105.832673792</v>
      </c>
      <c r="L571" s="671">
        <v>1105.832673792</v>
      </c>
      <c r="M571" s="671">
        <v>1105.832673792</v>
      </c>
      <c r="N571" s="674">
        <v>1105.832673792</v>
      </c>
      <c r="O571" s="674">
        <v>1105.832673792</v>
      </c>
    </row>
    <row r="572" s="597" customFormat="1" spans="1:15">
      <c r="A572" s="618"/>
      <c r="B572" s="526" t="s">
        <v>942</v>
      </c>
      <c r="C572" s="597">
        <v>0</v>
      </c>
      <c r="D572" s="663">
        <v>1240</v>
      </c>
      <c r="E572" s="663">
        <v>1240</v>
      </c>
      <c r="F572" s="663">
        <v>1240</v>
      </c>
      <c r="G572" s="663">
        <v>1240</v>
      </c>
      <c r="H572" s="671">
        <v>1105.832673792</v>
      </c>
      <c r="I572" s="671">
        <v>1105.832673792</v>
      </c>
      <c r="J572" s="671">
        <v>1105.832673792</v>
      </c>
      <c r="K572" s="671">
        <v>1105.832673792</v>
      </c>
      <c r="L572" s="671">
        <v>1105.832673792</v>
      </c>
      <c r="M572" s="671">
        <v>1105.832673792</v>
      </c>
      <c r="N572" s="674">
        <v>1105.832673792</v>
      </c>
      <c r="O572" s="674">
        <v>1105.832673792</v>
      </c>
    </row>
    <row r="573" s="597" customFormat="1" spans="1:15">
      <c r="A573" s="618"/>
      <c r="B573" s="526" t="s">
        <v>943</v>
      </c>
      <c r="C573" s="597">
        <v>0</v>
      </c>
      <c r="D573" s="663">
        <v>1240</v>
      </c>
      <c r="E573" s="663">
        <v>1240</v>
      </c>
      <c r="F573" s="663">
        <v>1240</v>
      </c>
      <c r="G573" s="663">
        <v>1240</v>
      </c>
      <c r="H573" s="663">
        <v>1240</v>
      </c>
      <c r="I573" s="663">
        <v>1240</v>
      </c>
      <c r="J573" s="663">
        <v>1240</v>
      </c>
      <c r="K573" s="663">
        <v>1240</v>
      </c>
      <c r="L573" s="663">
        <v>1240</v>
      </c>
      <c r="M573" s="663">
        <v>1240</v>
      </c>
      <c r="N573" s="666">
        <v>1240</v>
      </c>
      <c r="O573" s="666">
        <v>1240</v>
      </c>
    </row>
    <row r="574" s="597" customFormat="1" spans="1:15">
      <c r="A574" s="618"/>
      <c r="B574" s="526" t="s">
        <v>944</v>
      </c>
      <c r="C574" s="597">
        <v>1006.30773315072</v>
      </c>
      <c r="D574" s="663">
        <v>1240</v>
      </c>
      <c r="E574" s="663">
        <v>1240</v>
      </c>
      <c r="F574" s="663">
        <v>1240</v>
      </c>
      <c r="G574" s="663">
        <v>1240</v>
      </c>
      <c r="H574" s="663">
        <v>1240</v>
      </c>
      <c r="I574" s="663">
        <v>1240</v>
      </c>
      <c r="J574" s="663">
        <v>1240</v>
      </c>
      <c r="K574" s="663">
        <v>1240</v>
      </c>
      <c r="L574" s="663">
        <v>1240</v>
      </c>
      <c r="M574" s="663">
        <v>1240</v>
      </c>
      <c r="N574" s="666">
        <v>1240</v>
      </c>
      <c r="O574" s="666">
        <v>1240</v>
      </c>
    </row>
    <row r="575" s="597" customFormat="1" spans="1:15">
      <c r="A575" s="618"/>
      <c r="B575" s="526" t="s">
        <v>945</v>
      </c>
      <c r="C575" s="597">
        <v>1150.06598074368</v>
      </c>
      <c r="D575" s="663">
        <v>1240</v>
      </c>
      <c r="E575" s="663">
        <v>1240</v>
      </c>
      <c r="F575" s="663">
        <v>1240</v>
      </c>
      <c r="G575" s="665">
        <v>2034.73211977728</v>
      </c>
      <c r="H575" s="671">
        <v>1240</v>
      </c>
      <c r="I575" s="671">
        <v>1240</v>
      </c>
      <c r="J575" s="671">
        <v>1240</v>
      </c>
      <c r="K575" s="671">
        <v>1240</v>
      </c>
      <c r="L575" s="671">
        <v>1240</v>
      </c>
      <c r="M575" s="671">
        <v>1240</v>
      </c>
      <c r="N575" s="674">
        <v>1240</v>
      </c>
      <c r="O575" s="674">
        <v>1240</v>
      </c>
    </row>
    <row r="576" s="597" customFormat="1" spans="1:15">
      <c r="A576" s="618"/>
      <c r="B576" s="526" t="s">
        <v>946</v>
      </c>
      <c r="C576" s="597">
        <v>1240</v>
      </c>
      <c r="D576" s="663">
        <v>2480</v>
      </c>
      <c r="E576" s="663">
        <v>2480</v>
      </c>
      <c r="F576" s="663">
        <v>2480</v>
      </c>
      <c r="G576" s="663">
        <v>2480</v>
      </c>
      <c r="H576" s="671">
        <v>2211.665347584</v>
      </c>
      <c r="I576" s="671">
        <v>2211.665347584</v>
      </c>
      <c r="J576" s="671">
        <v>2211.665347584</v>
      </c>
      <c r="K576" s="671">
        <v>2211.665347584</v>
      </c>
      <c r="L576" s="671">
        <v>2211.665347584</v>
      </c>
      <c r="M576" s="671">
        <v>2211.665347584</v>
      </c>
      <c r="N576" s="674">
        <v>2211.665347584</v>
      </c>
      <c r="O576" s="674">
        <v>2211.665347584</v>
      </c>
    </row>
    <row r="577" s="597" customFormat="1" spans="1:15">
      <c r="A577" s="618"/>
      <c r="B577" s="526" t="s">
        <v>947</v>
      </c>
      <c r="C577" s="597">
        <v>1240</v>
      </c>
      <c r="D577" s="663">
        <v>2480</v>
      </c>
      <c r="E577" s="663">
        <v>2480</v>
      </c>
      <c r="F577" s="663">
        <v>2480</v>
      </c>
      <c r="G577" s="663">
        <v>2480</v>
      </c>
      <c r="H577" s="671">
        <v>2211.665347584</v>
      </c>
      <c r="I577" s="671">
        <v>2211.665347584</v>
      </c>
      <c r="J577" s="671">
        <v>2211.665347584</v>
      </c>
      <c r="K577" s="671">
        <v>2211.665347584</v>
      </c>
      <c r="L577" s="671">
        <v>2211.665347584</v>
      </c>
      <c r="M577" s="671">
        <v>2211.665347584</v>
      </c>
      <c r="N577" s="674">
        <v>2211.665347584</v>
      </c>
      <c r="O577" s="674">
        <v>2211.665347584</v>
      </c>
    </row>
    <row r="578" s="597" customFormat="1" spans="1:15">
      <c r="A578" s="618"/>
      <c r="B578" s="526" t="s">
        <v>948</v>
      </c>
      <c r="C578" s="597">
        <v>1240</v>
      </c>
      <c r="D578" s="663">
        <v>2480</v>
      </c>
      <c r="E578" s="663">
        <v>2480</v>
      </c>
      <c r="F578" s="663">
        <v>2480</v>
      </c>
      <c r="G578" s="663">
        <v>2480</v>
      </c>
      <c r="H578" s="663">
        <v>2480</v>
      </c>
      <c r="I578" s="663">
        <v>2480</v>
      </c>
      <c r="J578" s="663">
        <v>2480</v>
      </c>
      <c r="K578" s="663">
        <v>2480</v>
      </c>
      <c r="L578" s="663">
        <v>2480</v>
      </c>
      <c r="M578" s="663">
        <v>2480</v>
      </c>
      <c r="N578" s="666">
        <v>2480</v>
      </c>
      <c r="O578" s="666">
        <v>2480</v>
      </c>
    </row>
    <row r="579" s="597" customFormat="1" spans="1:15">
      <c r="A579" s="618"/>
      <c r="B579" s="526" t="s">
        <v>949</v>
      </c>
      <c r="C579" s="597">
        <v>1240</v>
      </c>
      <c r="D579" s="663">
        <v>2480</v>
      </c>
      <c r="E579" s="663">
        <v>2480</v>
      </c>
      <c r="F579" s="663">
        <v>2480</v>
      </c>
      <c r="G579" s="663">
        <v>2480</v>
      </c>
      <c r="H579" s="663">
        <v>2480</v>
      </c>
      <c r="I579" s="663">
        <v>2480</v>
      </c>
      <c r="J579" s="663">
        <v>2480</v>
      </c>
      <c r="K579" s="663">
        <v>2480</v>
      </c>
      <c r="L579" s="663">
        <v>2480</v>
      </c>
      <c r="M579" s="663">
        <v>2480</v>
      </c>
      <c r="N579" s="666">
        <v>2480</v>
      </c>
      <c r="O579" s="666">
        <v>2480</v>
      </c>
    </row>
    <row r="580" s="597" customFormat="1" spans="1:15">
      <c r="A580" s="618"/>
      <c r="B580" s="526" t="s">
        <v>950</v>
      </c>
      <c r="C580" s="597">
        <v>1240</v>
      </c>
      <c r="D580" s="663">
        <v>2480</v>
      </c>
      <c r="E580" s="663">
        <v>2480</v>
      </c>
      <c r="F580" s="663">
        <v>2480</v>
      </c>
      <c r="G580" s="663">
        <v>2480</v>
      </c>
      <c r="H580" s="671">
        <v>2432.8318823424</v>
      </c>
      <c r="I580" s="671">
        <v>2432.8318823424</v>
      </c>
      <c r="J580" s="671">
        <v>2432.8318823424</v>
      </c>
      <c r="K580" s="671">
        <v>2432.8318823424</v>
      </c>
      <c r="L580" s="671">
        <v>2432.8318823424</v>
      </c>
      <c r="M580" s="671">
        <v>2432.8318823424</v>
      </c>
      <c r="N580" s="674">
        <v>2432.8318823424</v>
      </c>
      <c r="O580" s="674">
        <v>2432.8318823424</v>
      </c>
    </row>
    <row r="581" s="597" customFormat="1" spans="1:15">
      <c r="A581" s="618"/>
      <c r="B581" s="526" t="s">
        <v>951</v>
      </c>
      <c r="C581" s="597">
        <v>1006.30773315072</v>
      </c>
      <c r="D581" s="663">
        <v>1240</v>
      </c>
      <c r="E581" s="663">
        <v>1240</v>
      </c>
      <c r="F581" s="663">
        <v>1240</v>
      </c>
      <c r="G581" s="663">
        <v>1240</v>
      </c>
      <c r="H581" s="663">
        <v>1240</v>
      </c>
      <c r="I581" s="663">
        <v>1240</v>
      </c>
      <c r="J581" s="663">
        <v>1240</v>
      </c>
      <c r="K581" s="663">
        <v>1240</v>
      </c>
      <c r="L581" s="663">
        <v>1240</v>
      </c>
      <c r="M581" s="663">
        <v>1240</v>
      </c>
      <c r="N581" s="666">
        <v>1240</v>
      </c>
      <c r="O581" s="666">
        <v>1240</v>
      </c>
    </row>
    <row r="582" s="597" customFormat="1" spans="1:15">
      <c r="A582" s="618"/>
      <c r="B582" s="526" t="s">
        <v>952</v>
      </c>
      <c r="C582" s="597">
        <v>1006.30773315072</v>
      </c>
      <c r="D582" s="663">
        <v>1240</v>
      </c>
      <c r="E582" s="663">
        <v>1240</v>
      </c>
      <c r="F582" s="663">
        <v>1240</v>
      </c>
      <c r="G582" s="663">
        <v>1240</v>
      </c>
      <c r="H582" s="663">
        <v>1240</v>
      </c>
      <c r="I582" s="663">
        <v>1240</v>
      </c>
      <c r="J582" s="663">
        <v>1240</v>
      </c>
      <c r="K582" s="663">
        <v>1240</v>
      </c>
      <c r="L582" s="663">
        <v>1240</v>
      </c>
      <c r="M582" s="663">
        <v>1240</v>
      </c>
      <c r="N582" s="666">
        <v>1240</v>
      </c>
      <c r="O582" s="666">
        <v>1240</v>
      </c>
    </row>
    <row r="583" s="597" customFormat="1" spans="1:15">
      <c r="A583" s="618"/>
      <c r="B583" s="526" t="s">
        <v>953</v>
      </c>
      <c r="C583" s="597">
        <v>0</v>
      </c>
      <c r="D583" s="663">
        <v>1155.9193851744</v>
      </c>
      <c r="E583" s="663">
        <v>1155.9193851744</v>
      </c>
      <c r="F583" s="663">
        <v>1155.9193851744</v>
      </c>
      <c r="G583" s="663">
        <v>1155.9193851744</v>
      </c>
      <c r="H583" s="663">
        <v>1155.9193851744</v>
      </c>
      <c r="I583" s="663">
        <v>1155.9193851744</v>
      </c>
      <c r="J583" s="663">
        <v>1155.9193851744</v>
      </c>
      <c r="K583" s="663">
        <v>1155.9193851744</v>
      </c>
      <c r="L583" s="663">
        <v>1155.9193851744</v>
      </c>
      <c r="M583" s="663">
        <v>1155.9193851744</v>
      </c>
      <c r="N583" s="666">
        <v>1155.9193851744</v>
      </c>
      <c r="O583" s="666">
        <v>1155.9193851744</v>
      </c>
    </row>
    <row r="584" s="597" customFormat="1" spans="1:15">
      <c r="A584" s="618"/>
      <c r="B584" s="526" t="s">
        <v>954</v>
      </c>
      <c r="C584" s="597">
        <v>0</v>
      </c>
      <c r="D584" s="663">
        <v>1155.9193851744</v>
      </c>
      <c r="E584" s="663">
        <v>1155.9193851744</v>
      </c>
      <c r="F584" s="663">
        <v>1155.9193851744</v>
      </c>
      <c r="G584" s="663">
        <v>1155.9193851744</v>
      </c>
      <c r="H584" s="663">
        <v>1155.9193851744</v>
      </c>
      <c r="I584" s="663">
        <v>1155.9193851744</v>
      </c>
      <c r="J584" s="663">
        <v>1155.9193851744</v>
      </c>
      <c r="K584" s="663">
        <v>1155.9193851744</v>
      </c>
      <c r="L584" s="663">
        <v>1155.9193851744</v>
      </c>
      <c r="M584" s="663">
        <v>1155.9193851744</v>
      </c>
      <c r="N584" s="666">
        <v>1155.9193851744</v>
      </c>
      <c r="O584" s="666">
        <v>1155.9193851744</v>
      </c>
    </row>
    <row r="585" s="597" customFormat="1" spans="1:15">
      <c r="A585" s="618"/>
      <c r="B585" s="526" t="s">
        <v>955</v>
      </c>
      <c r="C585" s="597">
        <v>0</v>
      </c>
      <c r="D585" s="663">
        <v>1240</v>
      </c>
      <c r="E585" s="663">
        <v>1240</v>
      </c>
      <c r="F585" s="663">
        <v>1240</v>
      </c>
      <c r="G585" s="663">
        <v>1240</v>
      </c>
      <c r="H585" s="663">
        <v>1240</v>
      </c>
      <c r="I585" s="663">
        <v>1240</v>
      </c>
      <c r="J585" s="663">
        <v>1240</v>
      </c>
      <c r="K585" s="663">
        <v>1240</v>
      </c>
      <c r="L585" s="663">
        <v>1240</v>
      </c>
      <c r="M585" s="663">
        <v>1240</v>
      </c>
      <c r="N585" s="666">
        <v>1240</v>
      </c>
      <c r="O585" s="666">
        <v>1240</v>
      </c>
    </row>
    <row r="586" s="597" customFormat="1" spans="1:15">
      <c r="A586" s="618"/>
      <c r="B586" s="526" t="s">
        <v>956</v>
      </c>
      <c r="C586" s="597">
        <v>0</v>
      </c>
      <c r="D586" s="663">
        <v>1240</v>
      </c>
      <c r="E586" s="663">
        <v>1240</v>
      </c>
      <c r="F586" s="663">
        <v>1240</v>
      </c>
      <c r="G586" s="663">
        <v>1240</v>
      </c>
      <c r="H586" s="663">
        <v>1240</v>
      </c>
      <c r="I586" s="663">
        <v>1240</v>
      </c>
      <c r="J586" s="663">
        <v>1240</v>
      </c>
      <c r="K586" s="663">
        <v>1240</v>
      </c>
      <c r="L586" s="663">
        <v>1240</v>
      </c>
      <c r="M586" s="663">
        <v>1240</v>
      </c>
      <c r="N586" s="666">
        <v>1240</v>
      </c>
      <c r="O586" s="666">
        <v>1240</v>
      </c>
    </row>
    <row r="587" s="597" customFormat="1" spans="1:15">
      <c r="A587" s="618"/>
      <c r="B587" s="526" t="s">
        <v>957</v>
      </c>
      <c r="C587" s="597">
        <v>0</v>
      </c>
      <c r="D587" s="663">
        <v>1240</v>
      </c>
      <c r="E587" s="663">
        <v>1240</v>
      </c>
      <c r="F587" s="663">
        <v>1240</v>
      </c>
      <c r="G587" s="663">
        <v>1240</v>
      </c>
      <c r="H587" s="663">
        <v>1240</v>
      </c>
      <c r="I587" s="663">
        <v>1240</v>
      </c>
      <c r="J587" s="663">
        <v>1240</v>
      </c>
      <c r="K587" s="663">
        <v>1240</v>
      </c>
      <c r="L587" s="663">
        <v>1240</v>
      </c>
      <c r="M587" s="663">
        <v>1240</v>
      </c>
      <c r="N587" s="666">
        <v>1240</v>
      </c>
      <c r="O587" s="666">
        <v>1240</v>
      </c>
    </row>
    <row r="588" s="597" customFormat="1" spans="1:15">
      <c r="A588" s="618"/>
      <c r="B588" s="526" t="s">
        <v>958</v>
      </c>
      <c r="C588" s="597">
        <v>1206.1767497472</v>
      </c>
      <c r="D588" s="663">
        <v>2311.8387703488</v>
      </c>
      <c r="E588" s="663">
        <v>2311.8387703488</v>
      </c>
      <c r="F588" s="663">
        <v>2311.8387703488</v>
      </c>
      <c r="G588" s="663">
        <v>2311.8387703488</v>
      </c>
      <c r="H588" s="663">
        <v>2311.8387703488</v>
      </c>
      <c r="I588" s="663">
        <v>2311.8387703488</v>
      </c>
      <c r="J588" s="663">
        <v>2311.8387703488</v>
      </c>
      <c r="K588" s="663">
        <v>2311.8387703488</v>
      </c>
      <c r="L588" s="663">
        <v>2311.8387703488</v>
      </c>
      <c r="M588" s="663">
        <v>2311.8387703488</v>
      </c>
      <c r="N588" s="666">
        <v>2311.8387703488</v>
      </c>
      <c r="O588" s="666">
        <v>2311.8387703488</v>
      </c>
    </row>
    <row r="589" s="597" customFormat="1" spans="1:15">
      <c r="A589" s="618"/>
      <c r="B589" s="526" t="s">
        <v>959</v>
      </c>
      <c r="C589" s="597">
        <v>1206.1767497472</v>
      </c>
      <c r="D589" s="663">
        <v>2311.8387703488</v>
      </c>
      <c r="E589" s="663">
        <v>2311.8387703488</v>
      </c>
      <c r="F589" s="663">
        <v>2311.8387703488</v>
      </c>
      <c r="G589" s="663">
        <v>2311.8387703488</v>
      </c>
      <c r="H589" s="663">
        <v>2311.8387703488</v>
      </c>
      <c r="I589" s="663">
        <v>2311.8387703488</v>
      </c>
      <c r="J589" s="663">
        <v>2311.8387703488</v>
      </c>
      <c r="K589" s="663">
        <v>2311.8387703488</v>
      </c>
      <c r="L589" s="663">
        <v>2311.8387703488</v>
      </c>
      <c r="M589" s="663">
        <v>2311.8387703488</v>
      </c>
      <c r="N589" s="666">
        <v>2311.8387703488</v>
      </c>
      <c r="O589" s="666">
        <v>2311.8387703488</v>
      </c>
    </row>
    <row r="590" s="597" customFormat="1" spans="1:15">
      <c r="A590" s="618"/>
      <c r="B590" s="526" t="s">
        <v>960</v>
      </c>
      <c r="C590" s="597">
        <v>1240</v>
      </c>
      <c r="D590" s="663">
        <v>2480</v>
      </c>
      <c r="E590" s="663">
        <v>2480</v>
      </c>
      <c r="F590" s="663">
        <v>2480</v>
      </c>
      <c r="G590" s="663">
        <v>2480</v>
      </c>
      <c r="H590" s="663">
        <v>2480</v>
      </c>
      <c r="I590" s="663">
        <v>2480</v>
      </c>
      <c r="J590" s="663">
        <v>2480</v>
      </c>
      <c r="K590" s="663">
        <v>2480</v>
      </c>
      <c r="L590" s="663">
        <v>2480</v>
      </c>
      <c r="M590" s="663">
        <v>2480</v>
      </c>
      <c r="N590" s="666">
        <v>2480</v>
      </c>
      <c r="O590" s="666">
        <v>2480</v>
      </c>
    </row>
    <row r="591" s="597" customFormat="1" spans="1:15">
      <c r="A591" s="618"/>
      <c r="B591" s="526" t="s">
        <v>961</v>
      </c>
      <c r="C591" s="597">
        <v>1240</v>
      </c>
      <c r="D591" s="663">
        <v>2480</v>
      </c>
      <c r="E591" s="663">
        <v>2480</v>
      </c>
      <c r="F591" s="663">
        <v>2480</v>
      </c>
      <c r="G591" s="663">
        <v>2480</v>
      </c>
      <c r="H591" s="663">
        <v>2480</v>
      </c>
      <c r="I591" s="663">
        <v>2480</v>
      </c>
      <c r="J591" s="663">
        <v>2480</v>
      </c>
      <c r="K591" s="663">
        <v>2480</v>
      </c>
      <c r="L591" s="663">
        <v>2480</v>
      </c>
      <c r="M591" s="663">
        <v>2480</v>
      </c>
      <c r="N591" s="666">
        <v>2480</v>
      </c>
      <c r="O591" s="666">
        <v>2480</v>
      </c>
    </row>
    <row r="592" s="597" customFormat="1" spans="1:15">
      <c r="A592" s="618"/>
      <c r="B592" s="526" t="s">
        <v>962</v>
      </c>
      <c r="C592" s="597">
        <v>1240</v>
      </c>
      <c r="D592" s="663">
        <v>2480</v>
      </c>
      <c r="E592" s="663">
        <v>2480</v>
      </c>
      <c r="F592" s="663">
        <v>2480</v>
      </c>
      <c r="G592" s="663">
        <v>2480</v>
      </c>
      <c r="H592" s="663">
        <v>2480</v>
      </c>
      <c r="I592" s="663">
        <v>2480</v>
      </c>
      <c r="J592" s="663">
        <v>2480</v>
      </c>
      <c r="K592" s="663">
        <v>2480</v>
      </c>
      <c r="L592" s="663">
        <v>2480</v>
      </c>
      <c r="M592" s="663">
        <v>2480</v>
      </c>
      <c r="N592" s="666">
        <v>2480</v>
      </c>
      <c r="O592" s="666">
        <v>2480</v>
      </c>
    </row>
    <row r="593" s="597" customFormat="1" spans="1:15">
      <c r="A593" s="618"/>
      <c r="B593" s="526" t="s">
        <v>963</v>
      </c>
      <c r="C593" s="597">
        <v>0</v>
      </c>
      <c r="D593" s="663">
        <v>1240</v>
      </c>
      <c r="E593" s="663">
        <v>1240</v>
      </c>
      <c r="F593" s="663">
        <v>1240</v>
      </c>
      <c r="G593" s="663">
        <v>1240</v>
      </c>
      <c r="H593" s="663">
        <v>1240</v>
      </c>
      <c r="I593" s="663">
        <v>1240</v>
      </c>
      <c r="J593" s="663">
        <v>1240</v>
      </c>
      <c r="K593" s="663">
        <v>1240</v>
      </c>
      <c r="L593" s="663">
        <v>1240</v>
      </c>
      <c r="M593" s="663">
        <v>1240</v>
      </c>
      <c r="N593" s="666">
        <v>1240</v>
      </c>
      <c r="O593" s="666">
        <v>1240</v>
      </c>
    </row>
    <row r="594" s="597" customFormat="1" spans="1:15">
      <c r="A594" s="618"/>
      <c r="B594" s="526" t="s">
        <v>964</v>
      </c>
      <c r="C594" s="597">
        <v>0</v>
      </c>
      <c r="D594" s="663">
        <v>1240</v>
      </c>
      <c r="E594" s="663">
        <v>1240</v>
      </c>
      <c r="F594" s="663">
        <v>1240</v>
      </c>
      <c r="G594" s="663">
        <v>1240</v>
      </c>
      <c r="H594" s="663">
        <v>1240</v>
      </c>
      <c r="I594" s="663">
        <v>1240</v>
      </c>
      <c r="J594" s="663">
        <v>1240</v>
      </c>
      <c r="K594" s="663">
        <v>1240</v>
      </c>
      <c r="L594" s="663">
        <v>1240</v>
      </c>
      <c r="M594" s="663">
        <v>1240</v>
      </c>
      <c r="N594" s="666">
        <v>1240</v>
      </c>
      <c r="O594" s="666">
        <v>1240</v>
      </c>
    </row>
    <row r="595" s="597" customFormat="1" spans="1:15">
      <c r="A595" s="618"/>
      <c r="B595" s="526" t="s">
        <v>965</v>
      </c>
      <c r="C595" s="597">
        <v>0</v>
      </c>
      <c r="D595" s="663">
        <v>1230.4948293792</v>
      </c>
      <c r="E595" s="663">
        <v>1230.4948293792</v>
      </c>
      <c r="F595" s="663">
        <v>1230.4948293792</v>
      </c>
      <c r="G595" s="663">
        <v>1230.4948293792</v>
      </c>
      <c r="H595" s="663">
        <v>1230.4948293792</v>
      </c>
      <c r="I595" s="663">
        <v>1230.4948293792</v>
      </c>
      <c r="J595" s="663">
        <v>1230.4948293792</v>
      </c>
      <c r="K595" s="663">
        <v>1230.4948293792</v>
      </c>
      <c r="L595" s="663">
        <v>1230.4948293792</v>
      </c>
      <c r="M595" s="663">
        <v>1230.4948293792</v>
      </c>
      <c r="N595" s="666">
        <v>1230.4948293792</v>
      </c>
      <c r="O595" s="666">
        <v>1230.4948293792</v>
      </c>
    </row>
    <row r="596" s="597" customFormat="1" spans="1:15">
      <c r="A596" s="618"/>
      <c r="B596" s="526" t="s">
        <v>966</v>
      </c>
      <c r="C596" s="597">
        <v>0</v>
      </c>
      <c r="D596" s="663">
        <v>1230.4948293792</v>
      </c>
      <c r="E596" s="663">
        <v>1230.4948293792</v>
      </c>
      <c r="F596" s="663">
        <v>1230.4948293792</v>
      </c>
      <c r="G596" s="663">
        <v>1230.4948293792</v>
      </c>
      <c r="H596" s="663">
        <v>1230.4948293792</v>
      </c>
      <c r="I596" s="663">
        <v>1230.4948293792</v>
      </c>
      <c r="J596" s="663">
        <v>1230.4948293792</v>
      </c>
      <c r="K596" s="663">
        <v>1230.4948293792</v>
      </c>
      <c r="L596" s="663">
        <v>1230.4948293792</v>
      </c>
      <c r="M596" s="663">
        <v>1230.4948293792</v>
      </c>
      <c r="N596" s="666">
        <v>1230.4948293792</v>
      </c>
      <c r="O596" s="666">
        <v>1230.4948293792</v>
      </c>
    </row>
    <row r="597" s="597" customFormat="1" spans="1:15">
      <c r="A597" s="618"/>
      <c r="B597" s="526" t="s">
        <v>967</v>
      </c>
      <c r="C597" s="597">
        <v>0</v>
      </c>
      <c r="D597" s="663">
        <v>1240</v>
      </c>
      <c r="E597" s="663">
        <v>1240</v>
      </c>
      <c r="F597" s="663">
        <v>1240</v>
      </c>
      <c r="G597" s="663">
        <v>1240</v>
      </c>
      <c r="H597" s="663">
        <v>1240</v>
      </c>
      <c r="I597" s="663">
        <v>1240</v>
      </c>
      <c r="J597" s="663">
        <v>1240</v>
      </c>
      <c r="K597" s="663">
        <v>1240</v>
      </c>
      <c r="L597" s="663">
        <v>1240</v>
      </c>
      <c r="M597" s="663">
        <v>1240</v>
      </c>
      <c r="N597" s="666">
        <v>1240</v>
      </c>
      <c r="O597" s="666">
        <v>1240</v>
      </c>
    </row>
    <row r="598" s="597" customFormat="1" spans="1:15">
      <c r="A598" s="618"/>
      <c r="B598" s="526" t="s">
        <v>968</v>
      </c>
      <c r="C598" s="597">
        <v>0</v>
      </c>
      <c r="D598" s="663">
        <v>1240</v>
      </c>
      <c r="E598" s="663">
        <v>1240</v>
      </c>
      <c r="F598" s="663">
        <v>1240</v>
      </c>
      <c r="G598" s="663">
        <v>1240</v>
      </c>
      <c r="H598" s="663">
        <v>1240</v>
      </c>
      <c r="I598" s="663">
        <v>1240</v>
      </c>
      <c r="J598" s="663">
        <v>1240</v>
      </c>
      <c r="K598" s="663">
        <v>1240</v>
      </c>
      <c r="L598" s="663">
        <v>1240</v>
      </c>
      <c r="M598" s="663">
        <v>1240</v>
      </c>
      <c r="N598" s="666">
        <v>1240</v>
      </c>
      <c r="O598" s="666">
        <v>1240</v>
      </c>
    </row>
    <row r="599" s="597" customFormat="1" spans="1:15">
      <c r="A599" s="618"/>
      <c r="B599" s="526" t="s">
        <v>969</v>
      </c>
      <c r="C599" s="597">
        <v>1112.79532396032</v>
      </c>
      <c r="D599" s="663">
        <v>1240</v>
      </c>
      <c r="E599" s="663">
        <v>1240</v>
      </c>
      <c r="F599" s="663">
        <v>1240</v>
      </c>
      <c r="G599" s="665">
        <v>1968.79172700672</v>
      </c>
      <c r="H599" s="665">
        <v>1968.79172700672</v>
      </c>
      <c r="I599" s="665">
        <v>1968.79172700672</v>
      </c>
      <c r="J599" s="665">
        <v>1968.79172700672</v>
      </c>
      <c r="K599" s="665">
        <v>1968.79172700672</v>
      </c>
      <c r="L599" s="665">
        <v>1968.79172700672</v>
      </c>
      <c r="M599" s="665">
        <v>1968.79172700672</v>
      </c>
      <c r="N599" s="668">
        <v>1968.79172700672</v>
      </c>
      <c r="O599" s="668">
        <v>1968.79172700672</v>
      </c>
    </row>
    <row r="600" s="597" customFormat="1" spans="1:15">
      <c r="A600" s="618"/>
      <c r="B600" s="526" t="s">
        <v>970</v>
      </c>
      <c r="C600" s="597">
        <v>1240</v>
      </c>
      <c r="D600" s="663">
        <v>2460.9896587584</v>
      </c>
      <c r="E600" s="663">
        <v>2460.9896587584</v>
      </c>
      <c r="F600" s="663">
        <v>2460.9896587584</v>
      </c>
      <c r="G600" s="663">
        <v>2460.9896587584</v>
      </c>
      <c r="H600" s="663">
        <v>2460.9896587584</v>
      </c>
      <c r="I600" s="663">
        <v>2460.9896587584</v>
      </c>
      <c r="J600" s="663">
        <v>2460.9896587584</v>
      </c>
      <c r="K600" s="663">
        <v>2460.9896587584</v>
      </c>
      <c r="L600" s="663">
        <v>2460.9896587584</v>
      </c>
      <c r="M600" s="663">
        <v>2460.9896587584</v>
      </c>
      <c r="N600" s="666">
        <v>2460.9896587584</v>
      </c>
      <c r="O600" s="666">
        <v>2460.9896587584</v>
      </c>
    </row>
    <row r="601" s="597" customFormat="1" spans="1:15">
      <c r="A601" s="618"/>
      <c r="B601" s="526" t="s">
        <v>971</v>
      </c>
      <c r="C601" s="597">
        <v>1240</v>
      </c>
      <c r="D601" s="663">
        <v>2460.9896587584</v>
      </c>
      <c r="E601" s="663">
        <v>2460.9896587584</v>
      </c>
      <c r="F601" s="663">
        <v>2460.9896587584</v>
      </c>
      <c r="G601" s="663">
        <v>2460.9896587584</v>
      </c>
      <c r="H601" s="663">
        <v>2460.9896587584</v>
      </c>
      <c r="I601" s="663">
        <v>2460.9896587584</v>
      </c>
      <c r="J601" s="663">
        <v>2460.9896587584</v>
      </c>
      <c r="K601" s="663">
        <v>2460.9896587584</v>
      </c>
      <c r="L601" s="663">
        <v>2460.9896587584</v>
      </c>
      <c r="M601" s="663">
        <v>2460.9896587584</v>
      </c>
      <c r="N601" s="666">
        <v>2460.9896587584</v>
      </c>
      <c r="O601" s="666">
        <v>2460.9896587584</v>
      </c>
    </row>
    <row r="602" s="597" customFormat="1" spans="1:15">
      <c r="A602" s="618"/>
      <c r="B602" s="526" t="s">
        <v>972</v>
      </c>
      <c r="C602" s="597">
        <v>1240</v>
      </c>
      <c r="D602" s="663">
        <v>2480</v>
      </c>
      <c r="E602" s="663">
        <v>2480</v>
      </c>
      <c r="F602" s="663">
        <v>2480</v>
      </c>
      <c r="G602" s="663">
        <v>2480</v>
      </c>
      <c r="H602" s="663">
        <v>2480</v>
      </c>
      <c r="I602" s="663">
        <v>2480</v>
      </c>
      <c r="J602" s="663">
        <v>2480</v>
      </c>
      <c r="K602" s="663">
        <v>2480</v>
      </c>
      <c r="L602" s="663">
        <v>2480</v>
      </c>
      <c r="M602" s="663">
        <v>2480</v>
      </c>
      <c r="N602" s="666">
        <v>2480</v>
      </c>
      <c r="O602" s="666">
        <v>2480</v>
      </c>
    </row>
    <row r="603" s="597" customFormat="1" spans="1:15">
      <c r="A603" s="618"/>
      <c r="B603" s="526" t="s">
        <v>973</v>
      </c>
      <c r="C603" s="597">
        <v>1240</v>
      </c>
      <c r="D603" s="663">
        <v>2480</v>
      </c>
      <c r="E603" s="663">
        <v>2480</v>
      </c>
      <c r="F603" s="663">
        <v>2480</v>
      </c>
      <c r="G603" s="663">
        <v>2480</v>
      </c>
      <c r="H603" s="663">
        <v>2480</v>
      </c>
      <c r="I603" s="663">
        <v>2480</v>
      </c>
      <c r="J603" s="663">
        <v>2480</v>
      </c>
      <c r="K603" s="663">
        <v>2480</v>
      </c>
      <c r="L603" s="663">
        <v>2480</v>
      </c>
      <c r="M603" s="663">
        <v>2480</v>
      </c>
      <c r="N603" s="666">
        <v>2480</v>
      </c>
      <c r="O603" s="666">
        <v>2480</v>
      </c>
    </row>
    <row r="604" s="597" customFormat="1" spans="1:15">
      <c r="A604" s="618"/>
      <c r="B604" s="526" t="s">
        <v>974</v>
      </c>
      <c r="C604" s="597">
        <v>1240</v>
      </c>
      <c r="D604" s="663">
        <v>2480</v>
      </c>
      <c r="E604" s="663">
        <v>2480</v>
      </c>
      <c r="F604" s="663">
        <v>2480</v>
      </c>
      <c r="G604" s="663">
        <v>2480</v>
      </c>
      <c r="H604" s="663">
        <v>2480</v>
      </c>
      <c r="I604" s="663">
        <v>2480</v>
      </c>
      <c r="J604" s="663">
        <v>2480</v>
      </c>
      <c r="K604" s="663">
        <v>2480</v>
      </c>
      <c r="L604" s="663">
        <v>2480</v>
      </c>
      <c r="M604" s="663">
        <v>2480</v>
      </c>
      <c r="N604" s="666">
        <v>2480</v>
      </c>
      <c r="O604" s="666">
        <v>2480</v>
      </c>
    </row>
    <row r="605" s="597" customFormat="1" spans="1:15">
      <c r="A605" s="618"/>
      <c r="B605" s="526" t="s">
        <v>975</v>
      </c>
      <c r="C605" s="597">
        <v>0</v>
      </c>
      <c r="D605" s="663">
        <v>1240</v>
      </c>
      <c r="E605" s="663">
        <v>1240</v>
      </c>
      <c r="F605" s="663">
        <v>1240</v>
      </c>
      <c r="G605" s="663">
        <v>1240</v>
      </c>
      <c r="H605" s="663">
        <v>1240</v>
      </c>
      <c r="I605" s="663">
        <v>1240</v>
      </c>
      <c r="J605" s="663">
        <v>1240</v>
      </c>
      <c r="K605" s="663">
        <v>1240</v>
      </c>
      <c r="L605" s="663">
        <v>1240</v>
      </c>
      <c r="M605" s="663">
        <v>1240</v>
      </c>
      <c r="N605" s="666">
        <v>1240</v>
      </c>
      <c r="O605" s="666">
        <v>1240</v>
      </c>
    </row>
    <row r="606" s="597" customFormat="1" spans="1:15">
      <c r="A606" s="618"/>
      <c r="B606" s="526" t="s">
        <v>976</v>
      </c>
      <c r="C606" s="597">
        <v>0</v>
      </c>
      <c r="D606" s="663">
        <v>1240</v>
      </c>
      <c r="E606" s="663">
        <v>1240</v>
      </c>
      <c r="F606" s="663">
        <v>1240</v>
      </c>
      <c r="G606" s="663">
        <v>1240</v>
      </c>
      <c r="H606" s="663">
        <v>1240</v>
      </c>
      <c r="I606" s="663">
        <v>1240</v>
      </c>
      <c r="J606" s="663">
        <v>1240</v>
      </c>
      <c r="K606" s="663">
        <v>1240</v>
      </c>
      <c r="L606" s="663">
        <v>1240</v>
      </c>
      <c r="M606" s="663">
        <v>1240</v>
      </c>
      <c r="N606" s="666">
        <v>1240</v>
      </c>
      <c r="O606" s="666">
        <v>1240</v>
      </c>
    </row>
    <row r="607" s="597" customFormat="1" spans="1:15">
      <c r="A607" s="618"/>
      <c r="B607" s="526" t="s">
        <v>977</v>
      </c>
      <c r="C607" s="597">
        <v>0</v>
      </c>
      <c r="D607" s="663">
        <v>1240</v>
      </c>
      <c r="E607" s="663">
        <v>1240</v>
      </c>
      <c r="F607" s="663">
        <v>1240</v>
      </c>
      <c r="G607" s="663">
        <v>1240</v>
      </c>
      <c r="H607" s="671">
        <v>1105.832673792</v>
      </c>
      <c r="I607" s="671">
        <v>1105.832673792</v>
      </c>
      <c r="J607" s="671">
        <v>1105.832673792</v>
      </c>
      <c r="K607" s="671">
        <v>1105.832673792</v>
      </c>
      <c r="L607" s="671">
        <v>1105.832673792</v>
      </c>
      <c r="M607" s="671">
        <v>1105.832673792</v>
      </c>
      <c r="N607" s="674">
        <v>1105.832673792</v>
      </c>
      <c r="O607" s="674">
        <v>1105.832673792</v>
      </c>
    </row>
    <row r="608" s="597" customFormat="1" spans="1:15">
      <c r="A608" s="618"/>
      <c r="B608" s="526" t="s">
        <v>978</v>
      </c>
      <c r="C608" s="597">
        <v>0</v>
      </c>
      <c r="D608" s="663">
        <v>1240</v>
      </c>
      <c r="E608" s="663">
        <v>1240</v>
      </c>
      <c r="F608" s="663">
        <v>1240</v>
      </c>
      <c r="G608" s="663">
        <v>1240</v>
      </c>
      <c r="H608" s="671">
        <v>1105.832673792</v>
      </c>
      <c r="I608" s="671">
        <v>1105.832673792</v>
      </c>
      <c r="J608" s="671">
        <v>1105.832673792</v>
      </c>
      <c r="K608" s="671">
        <v>1105.832673792</v>
      </c>
      <c r="L608" s="671">
        <v>1105.832673792</v>
      </c>
      <c r="M608" s="671">
        <v>1105.832673792</v>
      </c>
      <c r="N608" s="674">
        <v>1105.832673792</v>
      </c>
      <c r="O608" s="674">
        <v>1105.832673792</v>
      </c>
    </row>
    <row r="609" s="597" customFormat="1" spans="1:15">
      <c r="A609" s="618"/>
      <c r="B609" s="526" t="s">
        <v>979</v>
      </c>
      <c r="C609" s="597">
        <v>0</v>
      </c>
      <c r="D609" s="663">
        <v>1240</v>
      </c>
      <c r="E609" s="663">
        <v>1240</v>
      </c>
      <c r="F609" s="663">
        <v>1240</v>
      </c>
      <c r="G609" s="663">
        <v>1240</v>
      </c>
      <c r="H609" s="663">
        <v>1240</v>
      </c>
      <c r="I609" s="663">
        <v>1240</v>
      </c>
      <c r="J609" s="663">
        <v>1240</v>
      </c>
      <c r="K609" s="663">
        <v>1240</v>
      </c>
      <c r="L609" s="663">
        <v>1240</v>
      </c>
      <c r="M609" s="663">
        <v>1240</v>
      </c>
      <c r="N609" s="666">
        <v>1240</v>
      </c>
      <c r="O609" s="666">
        <v>1240</v>
      </c>
    </row>
    <row r="610" s="597" customFormat="1" spans="1:15">
      <c r="A610" s="618"/>
      <c r="B610" s="526" t="s">
        <v>980</v>
      </c>
      <c r="C610" s="597">
        <v>1006.30773315072</v>
      </c>
      <c r="D610" s="663">
        <v>1240</v>
      </c>
      <c r="E610" s="663">
        <v>1240</v>
      </c>
      <c r="F610" s="663">
        <v>1240</v>
      </c>
      <c r="G610" s="663">
        <v>1240</v>
      </c>
      <c r="H610" s="663">
        <v>1240</v>
      </c>
      <c r="I610" s="663">
        <v>1240</v>
      </c>
      <c r="J610" s="663">
        <v>1240</v>
      </c>
      <c r="K610" s="663">
        <v>1240</v>
      </c>
      <c r="L610" s="663">
        <v>1240</v>
      </c>
      <c r="M610" s="663">
        <v>1240</v>
      </c>
      <c r="N610" s="666">
        <v>1240</v>
      </c>
      <c r="O610" s="666">
        <v>1240</v>
      </c>
    </row>
    <row r="611" s="597" customFormat="1" spans="1:15">
      <c r="A611" s="618"/>
      <c r="B611" s="526" t="s">
        <v>981</v>
      </c>
      <c r="C611" s="597">
        <v>1150.06598074368</v>
      </c>
      <c r="D611" s="663">
        <v>1240</v>
      </c>
      <c r="E611" s="663">
        <v>1240</v>
      </c>
      <c r="F611" s="663">
        <v>1240</v>
      </c>
      <c r="G611" s="665">
        <v>2034.73211977728</v>
      </c>
      <c r="H611" s="671">
        <v>1240</v>
      </c>
      <c r="I611" s="671">
        <v>1240</v>
      </c>
      <c r="J611" s="671">
        <v>1240</v>
      </c>
      <c r="K611" s="671">
        <v>1240</v>
      </c>
      <c r="L611" s="671">
        <v>1240</v>
      </c>
      <c r="M611" s="671">
        <v>1240</v>
      </c>
      <c r="N611" s="674">
        <v>1240</v>
      </c>
      <c r="O611" s="674">
        <v>1240</v>
      </c>
    </row>
    <row r="612" s="597" customFormat="1" spans="1:15">
      <c r="A612" s="618"/>
      <c r="B612" s="526" t="s">
        <v>982</v>
      </c>
      <c r="C612" s="597">
        <v>1240</v>
      </c>
      <c r="D612" s="663">
        <v>2480</v>
      </c>
      <c r="E612" s="663">
        <v>2480</v>
      </c>
      <c r="F612" s="663">
        <v>2480</v>
      </c>
      <c r="G612" s="663">
        <v>2480</v>
      </c>
      <c r="H612" s="671">
        <v>2211.665347584</v>
      </c>
      <c r="I612" s="671">
        <v>2211.665347584</v>
      </c>
      <c r="J612" s="671">
        <v>2211.665347584</v>
      </c>
      <c r="K612" s="671">
        <v>2211.665347584</v>
      </c>
      <c r="L612" s="671">
        <v>2211.665347584</v>
      </c>
      <c r="M612" s="671">
        <v>2211.665347584</v>
      </c>
      <c r="N612" s="674">
        <v>2211.665347584</v>
      </c>
      <c r="O612" s="674">
        <v>2211.665347584</v>
      </c>
    </row>
    <row r="613" s="597" customFormat="1" spans="1:15">
      <c r="A613" s="618"/>
      <c r="B613" s="526" t="s">
        <v>983</v>
      </c>
      <c r="C613" s="597">
        <v>1240</v>
      </c>
      <c r="D613" s="663">
        <v>2480</v>
      </c>
      <c r="E613" s="663">
        <v>2480</v>
      </c>
      <c r="F613" s="663">
        <v>2480</v>
      </c>
      <c r="G613" s="663">
        <v>2480</v>
      </c>
      <c r="H613" s="671">
        <v>2211.665347584</v>
      </c>
      <c r="I613" s="671">
        <v>2211.665347584</v>
      </c>
      <c r="J613" s="671">
        <v>2211.665347584</v>
      </c>
      <c r="K613" s="671">
        <v>2211.665347584</v>
      </c>
      <c r="L613" s="671">
        <v>2211.665347584</v>
      </c>
      <c r="M613" s="671">
        <v>2211.665347584</v>
      </c>
      <c r="N613" s="674">
        <v>2211.665347584</v>
      </c>
      <c r="O613" s="674">
        <v>2211.665347584</v>
      </c>
    </row>
    <row r="614" s="597" customFormat="1" spans="1:15">
      <c r="A614" s="618"/>
      <c r="B614" s="526" t="s">
        <v>984</v>
      </c>
      <c r="C614" s="597">
        <v>1240</v>
      </c>
      <c r="D614" s="663">
        <v>2480</v>
      </c>
      <c r="E614" s="663">
        <v>2480</v>
      </c>
      <c r="F614" s="663">
        <v>2480</v>
      </c>
      <c r="G614" s="663">
        <v>2480</v>
      </c>
      <c r="H614" s="663">
        <v>2480</v>
      </c>
      <c r="I614" s="663">
        <v>2480</v>
      </c>
      <c r="J614" s="663">
        <v>2480</v>
      </c>
      <c r="K614" s="663">
        <v>2480</v>
      </c>
      <c r="L614" s="663">
        <v>2480</v>
      </c>
      <c r="M614" s="663">
        <v>2480</v>
      </c>
      <c r="N614" s="666">
        <v>2480</v>
      </c>
      <c r="O614" s="666">
        <v>2480</v>
      </c>
    </row>
    <row r="615" s="597" customFormat="1" spans="1:15">
      <c r="A615" s="618"/>
      <c r="B615" s="526" t="s">
        <v>985</v>
      </c>
      <c r="C615" s="597">
        <v>1240</v>
      </c>
      <c r="D615" s="663">
        <v>2480</v>
      </c>
      <c r="E615" s="663">
        <v>2480</v>
      </c>
      <c r="F615" s="663">
        <v>2480</v>
      </c>
      <c r="G615" s="663">
        <v>2480</v>
      </c>
      <c r="H615" s="663">
        <v>2480</v>
      </c>
      <c r="I615" s="663">
        <v>2480</v>
      </c>
      <c r="J615" s="663">
        <v>2480</v>
      </c>
      <c r="K615" s="663">
        <v>2480</v>
      </c>
      <c r="L615" s="663">
        <v>2480</v>
      </c>
      <c r="M615" s="663">
        <v>2480</v>
      </c>
      <c r="N615" s="666">
        <v>2480</v>
      </c>
      <c r="O615" s="666">
        <v>2480</v>
      </c>
    </row>
    <row r="616" s="597" customFormat="1" spans="1:15">
      <c r="A616" s="618"/>
      <c r="B616" s="526" t="s">
        <v>986</v>
      </c>
      <c r="C616" s="597">
        <v>1240</v>
      </c>
      <c r="D616" s="663">
        <v>2480</v>
      </c>
      <c r="E616" s="663">
        <v>2480</v>
      </c>
      <c r="F616" s="663">
        <v>2480</v>
      </c>
      <c r="G616" s="663">
        <v>2480</v>
      </c>
      <c r="H616" s="671">
        <v>2432.8318823424</v>
      </c>
      <c r="I616" s="671">
        <v>2432.8318823424</v>
      </c>
      <c r="J616" s="671">
        <v>2432.8318823424</v>
      </c>
      <c r="K616" s="671">
        <v>2432.8318823424</v>
      </c>
      <c r="L616" s="671">
        <v>2432.8318823424</v>
      </c>
      <c r="M616" s="671">
        <v>2432.8318823424</v>
      </c>
      <c r="N616" s="674">
        <v>2432.8318823424</v>
      </c>
      <c r="O616" s="674">
        <v>2432.8318823424</v>
      </c>
    </row>
    <row r="617" s="597" customFormat="1" spans="1:15">
      <c r="A617" s="618"/>
      <c r="B617" s="526" t="s">
        <v>987</v>
      </c>
      <c r="C617" s="597">
        <v>1006.30773315072</v>
      </c>
      <c r="D617" s="663">
        <v>1240</v>
      </c>
      <c r="E617" s="663">
        <v>1240</v>
      </c>
      <c r="F617" s="663">
        <v>1240</v>
      </c>
      <c r="G617" s="663">
        <v>1240</v>
      </c>
      <c r="H617" s="663">
        <v>1240</v>
      </c>
      <c r="I617" s="663">
        <v>1240</v>
      </c>
      <c r="J617" s="663">
        <v>1240</v>
      </c>
      <c r="K617" s="663">
        <v>1240</v>
      </c>
      <c r="L617" s="663">
        <v>1240</v>
      </c>
      <c r="M617" s="663">
        <v>1240</v>
      </c>
      <c r="N617" s="666">
        <v>1240</v>
      </c>
      <c r="O617" s="666">
        <v>1240</v>
      </c>
    </row>
    <row r="618" s="597" customFormat="1" spans="1:15">
      <c r="A618" s="618"/>
      <c r="B618" s="526" t="s">
        <v>988</v>
      </c>
      <c r="C618" s="597">
        <v>1006.30773315072</v>
      </c>
      <c r="D618" s="663">
        <v>1240</v>
      </c>
      <c r="E618" s="663">
        <v>1240</v>
      </c>
      <c r="F618" s="663">
        <v>1240</v>
      </c>
      <c r="G618" s="663">
        <v>1240</v>
      </c>
      <c r="H618" s="663">
        <v>1240</v>
      </c>
      <c r="I618" s="663">
        <v>1240</v>
      </c>
      <c r="J618" s="663">
        <v>1240</v>
      </c>
      <c r="K618" s="663">
        <v>1240</v>
      </c>
      <c r="L618" s="663">
        <v>1240</v>
      </c>
      <c r="M618" s="663">
        <v>1240</v>
      </c>
      <c r="N618" s="666">
        <v>1240</v>
      </c>
      <c r="O618" s="666">
        <v>1240</v>
      </c>
    </row>
    <row r="619" s="597" customFormat="1" spans="1:15">
      <c r="A619" s="618"/>
      <c r="B619" s="526" t="s">
        <v>989</v>
      </c>
      <c r="C619" s="597">
        <v>0</v>
      </c>
      <c r="D619" s="663">
        <v>1155.9193851744</v>
      </c>
      <c r="E619" s="663">
        <v>1155.9193851744</v>
      </c>
      <c r="F619" s="663">
        <v>1155.9193851744</v>
      </c>
      <c r="G619" s="663">
        <v>1155.9193851744</v>
      </c>
      <c r="H619" s="663">
        <v>1155.9193851744</v>
      </c>
      <c r="I619" s="663">
        <v>1155.9193851744</v>
      </c>
      <c r="J619" s="663">
        <v>1155.9193851744</v>
      </c>
      <c r="K619" s="663">
        <v>1155.9193851744</v>
      </c>
      <c r="L619" s="663">
        <v>1155.9193851744</v>
      </c>
      <c r="M619" s="663">
        <v>1155.9193851744</v>
      </c>
      <c r="N619" s="666">
        <v>1155.9193851744</v>
      </c>
      <c r="O619" s="666">
        <v>1155.9193851744</v>
      </c>
    </row>
    <row r="620" s="597" customFormat="1" spans="1:15">
      <c r="A620" s="618"/>
      <c r="B620" s="526" t="s">
        <v>990</v>
      </c>
      <c r="C620" s="597">
        <v>0</v>
      </c>
      <c r="D620" s="663">
        <v>1155.9193851744</v>
      </c>
      <c r="E620" s="663">
        <v>1155.9193851744</v>
      </c>
      <c r="F620" s="663">
        <v>1155.9193851744</v>
      </c>
      <c r="G620" s="663">
        <v>1155.9193851744</v>
      </c>
      <c r="H620" s="663">
        <v>1155.9193851744</v>
      </c>
      <c r="I620" s="663">
        <v>1155.9193851744</v>
      </c>
      <c r="J620" s="663">
        <v>1155.9193851744</v>
      </c>
      <c r="K620" s="663">
        <v>1155.9193851744</v>
      </c>
      <c r="L620" s="663">
        <v>1155.9193851744</v>
      </c>
      <c r="M620" s="663">
        <v>1155.9193851744</v>
      </c>
      <c r="N620" s="666">
        <v>1155.9193851744</v>
      </c>
      <c r="O620" s="666">
        <v>1155.9193851744</v>
      </c>
    </row>
    <row r="621" s="597" customFormat="1" spans="1:15">
      <c r="A621" s="618"/>
      <c r="B621" s="526" t="s">
        <v>991</v>
      </c>
      <c r="C621" s="597">
        <v>0</v>
      </c>
      <c r="D621" s="663">
        <v>1240</v>
      </c>
      <c r="E621" s="663">
        <v>1240</v>
      </c>
      <c r="F621" s="663">
        <v>1240</v>
      </c>
      <c r="G621" s="663">
        <v>1240</v>
      </c>
      <c r="H621" s="663">
        <v>1240</v>
      </c>
      <c r="I621" s="663">
        <v>1240</v>
      </c>
      <c r="J621" s="663">
        <v>1240</v>
      </c>
      <c r="K621" s="663">
        <v>1240</v>
      </c>
      <c r="L621" s="663">
        <v>1240</v>
      </c>
      <c r="M621" s="663">
        <v>1240</v>
      </c>
      <c r="N621" s="666">
        <v>1240</v>
      </c>
      <c r="O621" s="666">
        <v>1240</v>
      </c>
    </row>
    <row r="622" s="597" customFormat="1" spans="1:15">
      <c r="A622" s="618"/>
      <c r="B622" s="526" t="s">
        <v>992</v>
      </c>
      <c r="C622" s="597">
        <v>0</v>
      </c>
      <c r="D622" s="663">
        <v>1240</v>
      </c>
      <c r="E622" s="663">
        <v>1240</v>
      </c>
      <c r="F622" s="663">
        <v>1240</v>
      </c>
      <c r="G622" s="663">
        <v>1240</v>
      </c>
      <c r="H622" s="663">
        <v>1240</v>
      </c>
      <c r="I622" s="663">
        <v>1240</v>
      </c>
      <c r="J622" s="663">
        <v>1240</v>
      </c>
      <c r="K622" s="663">
        <v>1240</v>
      </c>
      <c r="L622" s="663">
        <v>1240</v>
      </c>
      <c r="M622" s="663">
        <v>1240</v>
      </c>
      <c r="N622" s="666">
        <v>1240</v>
      </c>
      <c r="O622" s="666">
        <v>1240</v>
      </c>
    </row>
    <row r="623" s="597" customFormat="1" spans="1:15">
      <c r="A623" s="618"/>
      <c r="B623" s="526" t="s">
        <v>993</v>
      </c>
      <c r="C623" s="597">
        <v>1125.76496643072</v>
      </c>
      <c r="D623" s="663">
        <v>1240</v>
      </c>
      <c r="E623" s="663">
        <v>1240</v>
      </c>
      <c r="F623" s="663">
        <v>1240</v>
      </c>
      <c r="G623" s="663">
        <v>1240</v>
      </c>
      <c r="H623" s="663">
        <v>1240</v>
      </c>
      <c r="I623" s="663">
        <v>1240</v>
      </c>
      <c r="J623" s="663">
        <v>1240</v>
      </c>
      <c r="K623" s="663">
        <v>1240</v>
      </c>
      <c r="L623" s="663">
        <v>1240</v>
      </c>
      <c r="M623" s="663">
        <v>1240</v>
      </c>
      <c r="N623" s="666">
        <v>1240</v>
      </c>
      <c r="O623" s="666">
        <v>1240</v>
      </c>
    </row>
    <row r="624" s="597" customFormat="1" spans="1:15">
      <c r="A624" s="618"/>
      <c r="B624" s="526" t="s">
        <v>994</v>
      </c>
      <c r="C624" s="597">
        <v>1240</v>
      </c>
      <c r="D624" s="663">
        <v>2311.8387703488</v>
      </c>
      <c r="E624" s="663">
        <v>2311.8387703488</v>
      </c>
      <c r="F624" s="663">
        <v>2311.8387703488</v>
      </c>
      <c r="G624" s="663">
        <v>2311.8387703488</v>
      </c>
      <c r="H624" s="663">
        <v>2311.8387703488</v>
      </c>
      <c r="I624" s="663">
        <v>2311.8387703488</v>
      </c>
      <c r="J624" s="663">
        <v>2311.8387703488</v>
      </c>
      <c r="K624" s="663">
        <v>2311.8387703488</v>
      </c>
      <c r="L624" s="663">
        <v>2311.8387703488</v>
      </c>
      <c r="M624" s="663">
        <v>2311.8387703488</v>
      </c>
      <c r="N624" s="666">
        <v>2311.8387703488</v>
      </c>
      <c r="O624" s="666">
        <v>2311.8387703488</v>
      </c>
    </row>
    <row r="625" s="597" customFormat="1" spans="1:15">
      <c r="A625" s="618"/>
      <c r="B625" s="526" t="s">
        <v>995</v>
      </c>
      <c r="C625" s="597">
        <v>1240</v>
      </c>
      <c r="D625" s="663">
        <v>2311.8387703488</v>
      </c>
      <c r="E625" s="663">
        <v>2311.8387703488</v>
      </c>
      <c r="F625" s="663">
        <v>2311.8387703488</v>
      </c>
      <c r="G625" s="663">
        <v>2311.8387703488</v>
      </c>
      <c r="H625" s="663">
        <v>2311.8387703488</v>
      </c>
      <c r="I625" s="663">
        <v>2311.8387703488</v>
      </c>
      <c r="J625" s="663">
        <v>2311.8387703488</v>
      </c>
      <c r="K625" s="663">
        <v>2311.8387703488</v>
      </c>
      <c r="L625" s="663">
        <v>2311.8387703488</v>
      </c>
      <c r="M625" s="663">
        <v>2311.8387703488</v>
      </c>
      <c r="N625" s="666">
        <v>2311.8387703488</v>
      </c>
      <c r="O625" s="666">
        <v>2311.8387703488</v>
      </c>
    </row>
    <row r="626" s="597" customFormat="1" spans="1:15">
      <c r="A626" s="618"/>
      <c r="B626" s="526" t="s">
        <v>996</v>
      </c>
      <c r="C626" s="597">
        <v>1240</v>
      </c>
      <c r="D626" s="663">
        <v>2480</v>
      </c>
      <c r="E626" s="663">
        <v>2480</v>
      </c>
      <c r="F626" s="663">
        <v>2480</v>
      </c>
      <c r="G626" s="663">
        <v>2480</v>
      </c>
      <c r="H626" s="663">
        <v>2480</v>
      </c>
      <c r="I626" s="663">
        <v>2480</v>
      </c>
      <c r="J626" s="663">
        <v>2480</v>
      </c>
      <c r="K626" s="663">
        <v>2480</v>
      </c>
      <c r="L626" s="663">
        <v>2480</v>
      </c>
      <c r="M626" s="663">
        <v>2480</v>
      </c>
      <c r="N626" s="666">
        <v>2480</v>
      </c>
      <c r="O626" s="666">
        <v>2480</v>
      </c>
    </row>
    <row r="627" s="597" customFormat="1" spans="1:15">
      <c r="A627" s="618"/>
      <c r="B627" s="526" t="s">
        <v>997</v>
      </c>
      <c r="C627" s="597">
        <v>1240</v>
      </c>
      <c r="D627" s="663">
        <v>2480</v>
      </c>
      <c r="E627" s="663">
        <v>2480</v>
      </c>
      <c r="F627" s="663">
        <v>2480</v>
      </c>
      <c r="G627" s="663">
        <v>2480</v>
      </c>
      <c r="H627" s="663">
        <v>2480</v>
      </c>
      <c r="I627" s="663">
        <v>2480</v>
      </c>
      <c r="J627" s="663">
        <v>2480</v>
      </c>
      <c r="K627" s="663">
        <v>2480</v>
      </c>
      <c r="L627" s="663">
        <v>2480</v>
      </c>
      <c r="M627" s="663">
        <v>2480</v>
      </c>
      <c r="N627" s="666">
        <v>2480</v>
      </c>
      <c r="O627" s="666">
        <v>2480</v>
      </c>
    </row>
    <row r="628" s="597" customFormat="1" spans="1:15">
      <c r="A628" s="618"/>
      <c r="B628" s="526" t="s">
        <v>998</v>
      </c>
      <c r="C628" s="597">
        <v>1240</v>
      </c>
      <c r="D628" s="663">
        <v>2480</v>
      </c>
      <c r="E628" s="663">
        <v>2480</v>
      </c>
      <c r="F628" s="663">
        <v>2480</v>
      </c>
      <c r="G628" s="663">
        <v>2480</v>
      </c>
      <c r="H628" s="663">
        <v>2480</v>
      </c>
      <c r="I628" s="663">
        <v>2480</v>
      </c>
      <c r="J628" s="663">
        <v>2480</v>
      </c>
      <c r="K628" s="663">
        <v>2480</v>
      </c>
      <c r="L628" s="663">
        <v>2480</v>
      </c>
      <c r="M628" s="663">
        <v>2480</v>
      </c>
      <c r="N628" s="666">
        <v>2480</v>
      </c>
      <c r="O628" s="666">
        <v>2480</v>
      </c>
    </row>
    <row r="629" s="597" customFormat="1" spans="1:15">
      <c r="A629" s="618"/>
      <c r="B629" s="526" t="s">
        <v>999</v>
      </c>
      <c r="C629" s="597">
        <v>0</v>
      </c>
      <c r="D629" s="663">
        <v>1240</v>
      </c>
      <c r="E629" s="663">
        <v>1240</v>
      </c>
      <c r="F629" s="663">
        <v>1240</v>
      </c>
      <c r="G629" s="663">
        <v>1240</v>
      </c>
      <c r="H629" s="663">
        <v>1240</v>
      </c>
      <c r="I629" s="663">
        <v>1240</v>
      </c>
      <c r="J629" s="663">
        <v>1240</v>
      </c>
      <c r="K629" s="663">
        <v>1240</v>
      </c>
      <c r="L629" s="663">
        <v>1240</v>
      </c>
      <c r="M629" s="663">
        <v>1240</v>
      </c>
      <c r="N629" s="666">
        <v>1240</v>
      </c>
      <c r="O629" s="666">
        <v>1240</v>
      </c>
    </row>
    <row r="630" s="597" customFormat="1" spans="1:15">
      <c r="A630" s="618"/>
      <c r="B630" s="526" t="s">
        <v>1000</v>
      </c>
      <c r="C630" s="597">
        <v>0</v>
      </c>
      <c r="D630" s="663">
        <v>1240</v>
      </c>
      <c r="E630" s="663">
        <v>1240</v>
      </c>
      <c r="F630" s="663">
        <v>1240</v>
      </c>
      <c r="G630" s="663">
        <v>1240</v>
      </c>
      <c r="H630" s="663">
        <v>1240</v>
      </c>
      <c r="I630" s="663">
        <v>1240</v>
      </c>
      <c r="J630" s="663">
        <v>1240</v>
      </c>
      <c r="K630" s="663">
        <v>1240</v>
      </c>
      <c r="L630" s="663">
        <v>1240</v>
      </c>
      <c r="M630" s="663">
        <v>1240</v>
      </c>
      <c r="N630" s="666">
        <v>1240</v>
      </c>
      <c r="O630" s="666">
        <v>1240</v>
      </c>
    </row>
    <row r="631" s="597" customFormat="1" spans="1:15">
      <c r="A631" s="618"/>
      <c r="B631" s="526" t="s">
        <v>1001</v>
      </c>
      <c r="C631" s="597">
        <v>0</v>
      </c>
      <c r="D631" s="663">
        <v>1230.4948293792</v>
      </c>
      <c r="E631" s="663">
        <v>1230.4948293792</v>
      </c>
      <c r="F631" s="663">
        <v>1230.4948293792</v>
      </c>
      <c r="G631" s="663">
        <v>1230.4948293792</v>
      </c>
      <c r="H631" s="663">
        <v>1230.4948293792</v>
      </c>
      <c r="I631" s="663">
        <v>1230.4948293792</v>
      </c>
      <c r="J631" s="663">
        <v>1230.4948293792</v>
      </c>
      <c r="K631" s="663">
        <v>1230.4948293792</v>
      </c>
      <c r="L631" s="663">
        <v>1230.4948293792</v>
      </c>
      <c r="M631" s="663">
        <v>1230.4948293792</v>
      </c>
      <c r="N631" s="666">
        <v>1230.4948293792</v>
      </c>
      <c r="O631" s="666">
        <v>1230.4948293792</v>
      </c>
    </row>
    <row r="632" s="597" customFormat="1" spans="1:15">
      <c r="A632" s="618"/>
      <c r="B632" s="526" t="s">
        <v>1002</v>
      </c>
      <c r="C632" s="597">
        <v>0</v>
      </c>
      <c r="D632" s="663">
        <v>1230.4948293792</v>
      </c>
      <c r="E632" s="663">
        <v>1230.4948293792</v>
      </c>
      <c r="F632" s="663">
        <v>1230.4948293792</v>
      </c>
      <c r="G632" s="663">
        <v>1230.4948293792</v>
      </c>
      <c r="H632" s="663">
        <v>1230.4948293792</v>
      </c>
      <c r="I632" s="663">
        <v>1230.4948293792</v>
      </c>
      <c r="J632" s="663">
        <v>1230.4948293792</v>
      </c>
      <c r="K632" s="663">
        <v>1230.4948293792</v>
      </c>
      <c r="L632" s="663">
        <v>1230.4948293792</v>
      </c>
      <c r="M632" s="663">
        <v>1230.4948293792</v>
      </c>
      <c r="N632" s="666">
        <v>1230.4948293792</v>
      </c>
      <c r="O632" s="666">
        <v>1230.4948293792</v>
      </c>
    </row>
    <row r="633" s="597" customFormat="1" spans="1:15">
      <c r="A633" s="618"/>
      <c r="B633" s="526" t="s">
        <v>1003</v>
      </c>
      <c r="C633" s="597">
        <v>0</v>
      </c>
      <c r="D633" s="663">
        <v>1240</v>
      </c>
      <c r="E633" s="663">
        <v>1240</v>
      </c>
      <c r="F633" s="663">
        <v>1240</v>
      </c>
      <c r="G633" s="663">
        <v>1240</v>
      </c>
      <c r="H633" s="663">
        <v>1240</v>
      </c>
      <c r="I633" s="663">
        <v>1240</v>
      </c>
      <c r="J633" s="663">
        <v>1240</v>
      </c>
      <c r="K633" s="663">
        <v>1240</v>
      </c>
      <c r="L633" s="663">
        <v>1240</v>
      </c>
      <c r="M633" s="663">
        <v>1240</v>
      </c>
      <c r="N633" s="666">
        <v>1240</v>
      </c>
      <c r="O633" s="666">
        <v>1240</v>
      </c>
    </row>
    <row r="634" s="597" customFormat="1" spans="1:15">
      <c r="A634" s="618"/>
      <c r="B634" s="526" t="s">
        <v>1004</v>
      </c>
      <c r="C634" s="597">
        <v>0</v>
      </c>
      <c r="D634" s="663">
        <v>1240</v>
      </c>
      <c r="E634" s="663">
        <v>1240</v>
      </c>
      <c r="F634" s="663">
        <v>1240</v>
      </c>
      <c r="G634" s="663">
        <v>1240</v>
      </c>
      <c r="H634" s="663">
        <v>1240</v>
      </c>
      <c r="I634" s="663">
        <v>1240</v>
      </c>
      <c r="J634" s="663">
        <v>1240</v>
      </c>
      <c r="K634" s="663">
        <v>1240</v>
      </c>
      <c r="L634" s="663">
        <v>1240</v>
      </c>
      <c r="M634" s="663">
        <v>1240</v>
      </c>
      <c r="N634" s="666">
        <v>1240</v>
      </c>
      <c r="O634" s="666">
        <v>1240</v>
      </c>
    </row>
    <row r="635" s="597" customFormat="1" spans="1:15">
      <c r="A635" s="618"/>
      <c r="B635" s="526" t="s">
        <v>1005</v>
      </c>
      <c r="C635" s="597">
        <v>1112.79532396032</v>
      </c>
      <c r="D635" s="663">
        <v>1240</v>
      </c>
      <c r="E635" s="663">
        <v>1240</v>
      </c>
      <c r="F635" s="663">
        <v>1240</v>
      </c>
      <c r="G635" s="665">
        <v>1968.79172700672</v>
      </c>
      <c r="H635" s="665">
        <v>1968.79172700672</v>
      </c>
      <c r="I635" s="665">
        <v>1968.79172700672</v>
      </c>
      <c r="J635" s="665">
        <v>1968.79172700672</v>
      </c>
      <c r="K635" s="665">
        <v>1968.79172700672</v>
      </c>
      <c r="L635" s="665">
        <v>1968.79172700672</v>
      </c>
      <c r="M635" s="665">
        <v>1968.79172700672</v>
      </c>
      <c r="N635" s="668">
        <v>1968.79172700672</v>
      </c>
      <c r="O635" s="668">
        <v>1968.79172700672</v>
      </c>
    </row>
    <row r="636" s="597" customFormat="1" spans="1:15">
      <c r="A636" s="618"/>
      <c r="B636" s="526" t="s">
        <v>1006</v>
      </c>
      <c r="C636" s="597">
        <v>1240</v>
      </c>
      <c r="D636" s="663">
        <v>2460.9896587584</v>
      </c>
      <c r="E636" s="663">
        <v>2460.9896587584</v>
      </c>
      <c r="F636" s="663">
        <v>2460.9896587584</v>
      </c>
      <c r="G636" s="663">
        <v>2460.9896587584</v>
      </c>
      <c r="H636" s="663">
        <v>2460.9896587584</v>
      </c>
      <c r="I636" s="663">
        <v>2460.9896587584</v>
      </c>
      <c r="J636" s="663">
        <v>2460.9896587584</v>
      </c>
      <c r="K636" s="663">
        <v>2460.9896587584</v>
      </c>
      <c r="L636" s="663">
        <v>2460.9896587584</v>
      </c>
      <c r="M636" s="663">
        <v>2460.9896587584</v>
      </c>
      <c r="N636" s="666">
        <v>2460.9896587584</v>
      </c>
      <c r="O636" s="666">
        <v>2460.9896587584</v>
      </c>
    </row>
    <row r="637" s="597" customFormat="1" spans="1:15">
      <c r="A637" s="618"/>
      <c r="B637" s="526" t="s">
        <v>1007</v>
      </c>
      <c r="C637" s="597">
        <v>1240</v>
      </c>
      <c r="D637" s="663">
        <v>2460.9896587584</v>
      </c>
      <c r="E637" s="663">
        <v>2460.9896587584</v>
      </c>
      <c r="F637" s="663">
        <v>2460.9896587584</v>
      </c>
      <c r="G637" s="663">
        <v>2460.9896587584</v>
      </c>
      <c r="H637" s="663">
        <v>2460.9896587584</v>
      </c>
      <c r="I637" s="663">
        <v>2460.9896587584</v>
      </c>
      <c r="J637" s="663">
        <v>2460.9896587584</v>
      </c>
      <c r="K637" s="663">
        <v>2460.9896587584</v>
      </c>
      <c r="L637" s="663">
        <v>2460.9896587584</v>
      </c>
      <c r="M637" s="663">
        <v>2460.9896587584</v>
      </c>
      <c r="N637" s="666">
        <v>2460.9896587584</v>
      </c>
      <c r="O637" s="666">
        <v>2460.9896587584</v>
      </c>
    </row>
    <row r="638" s="597" customFormat="1" spans="1:15">
      <c r="A638" s="618"/>
      <c r="B638" s="526" t="s">
        <v>1008</v>
      </c>
      <c r="C638" s="597">
        <v>1240</v>
      </c>
      <c r="D638" s="663">
        <v>2480</v>
      </c>
      <c r="E638" s="663">
        <v>2480</v>
      </c>
      <c r="F638" s="663">
        <v>2480</v>
      </c>
      <c r="G638" s="663">
        <v>2480</v>
      </c>
      <c r="H638" s="663">
        <v>2480</v>
      </c>
      <c r="I638" s="663">
        <v>2480</v>
      </c>
      <c r="J638" s="663">
        <v>2480</v>
      </c>
      <c r="K638" s="663">
        <v>2480</v>
      </c>
      <c r="L638" s="663">
        <v>2480</v>
      </c>
      <c r="M638" s="663">
        <v>2480</v>
      </c>
      <c r="N638" s="666">
        <v>2480</v>
      </c>
      <c r="O638" s="666">
        <v>2480</v>
      </c>
    </row>
    <row r="639" s="597" customFormat="1" spans="1:15">
      <c r="A639" s="618"/>
      <c r="B639" s="526" t="s">
        <v>1009</v>
      </c>
      <c r="C639" s="597">
        <v>1240</v>
      </c>
      <c r="D639" s="663">
        <v>2480</v>
      </c>
      <c r="E639" s="663">
        <v>2480</v>
      </c>
      <c r="F639" s="663">
        <v>2480</v>
      </c>
      <c r="G639" s="663">
        <v>2480</v>
      </c>
      <c r="H639" s="663">
        <v>2480</v>
      </c>
      <c r="I639" s="663">
        <v>2480</v>
      </c>
      <c r="J639" s="663">
        <v>2480</v>
      </c>
      <c r="K639" s="663">
        <v>2480</v>
      </c>
      <c r="L639" s="663">
        <v>2480</v>
      </c>
      <c r="M639" s="663">
        <v>2480</v>
      </c>
      <c r="N639" s="666">
        <v>2480</v>
      </c>
      <c r="O639" s="666">
        <v>2480</v>
      </c>
    </row>
    <row r="640" s="597" customFormat="1" spans="1:15">
      <c r="A640" s="618"/>
      <c r="B640" s="526" t="s">
        <v>1010</v>
      </c>
      <c r="C640" s="597">
        <v>1240</v>
      </c>
      <c r="D640" s="663">
        <v>2480</v>
      </c>
      <c r="E640" s="663">
        <v>2480</v>
      </c>
      <c r="F640" s="663">
        <v>2480</v>
      </c>
      <c r="G640" s="663">
        <v>2480</v>
      </c>
      <c r="H640" s="663">
        <v>2480</v>
      </c>
      <c r="I640" s="663">
        <v>2480</v>
      </c>
      <c r="J640" s="663">
        <v>2480</v>
      </c>
      <c r="K640" s="663">
        <v>2480</v>
      </c>
      <c r="L640" s="663">
        <v>2480</v>
      </c>
      <c r="M640" s="663">
        <v>2480</v>
      </c>
      <c r="N640" s="666">
        <v>2480</v>
      </c>
      <c r="O640" s="666">
        <v>2480</v>
      </c>
    </row>
    <row r="641" s="597" customFormat="1" spans="1:15">
      <c r="A641" s="618"/>
      <c r="B641" s="526" t="s">
        <v>1011</v>
      </c>
      <c r="C641" s="597">
        <v>0</v>
      </c>
      <c r="D641" s="663">
        <v>1240</v>
      </c>
      <c r="E641" s="663">
        <v>1240</v>
      </c>
      <c r="F641" s="663">
        <v>1240</v>
      </c>
      <c r="G641" s="663">
        <v>1240</v>
      </c>
      <c r="H641" s="663">
        <v>1240</v>
      </c>
      <c r="I641" s="663">
        <v>1240</v>
      </c>
      <c r="J641" s="663">
        <v>1240</v>
      </c>
      <c r="K641" s="663">
        <v>1240</v>
      </c>
      <c r="L641" s="663">
        <v>1240</v>
      </c>
      <c r="M641" s="663">
        <v>1240</v>
      </c>
      <c r="N641" s="666">
        <v>1240</v>
      </c>
      <c r="O641" s="666">
        <v>1240</v>
      </c>
    </row>
    <row r="642" s="597" customFormat="1" spans="1:15">
      <c r="A642" s="618"/>
      <c r="B642" s="526" t="s">
        <v>1012</v>
      </c>
      <c r="C642" s="597">
        <v>0</v>
      </c>
      <c r="D642" s="663">
        <v>1240</v>
      </c>
      <c r="E642" s="663">
        <v>1240</v>
      </c>
      <c r="F642" s="663">
        <v>1240</v>
      </c>
      <c r="G642" s="663">
        <v>1240</v>
      </c>
      <c r="H642" s="663">
        <v>1240</v>
      </c>
      <c r="I642" s="663">
        <v>1240</v>
      </c>
      <c r="J642" s="663">
        <v>1240</v>
      </c>
      <c r="K642" s="663">
        <v>1240</v>
      </c>
      <c r="L642" s="663">
        <v>1240</v>
      </c>
      <c r="M642" s="663">
        <v>1240</v>
      </c>
      <c r="N642" s="666">
        <v>1240</v>
      </c>
      <c r="O642" s="666">
        <v>1240</v>
      </c>
    </row>
    <row r="643" s="597" customFormat="1" spans="1:15">
      <c r="A643" s="618"/>
      <c r="B643" s="526" t="s">
        <v>1013</v>
      </c>
      <c r="C643" s="597">
        <v>0</v>
      </c>
      <c r="D643" s="663">
        <v>1240</v>
      </c>
      <c r="E643" s="663">
        <v>1240</v>
      </c>
      <c r="F643" s="663">
        <v>1240</v>
      </c>
      <c r="G643" s="663">
        <v>1240</v>
      </c>
      <c r="H643" s="671">
        <v>1105.832673792</v>
      </c>
      <c r="I643" s="671">
        <v>1105.832673792</v>
      </c>
      <c r="J643" s="671">
        <v>1105.832673792</v>
      </c>
      <c r="K643" s="671">
        <v>1105.832673792</v>
      </c>
      <c r="L643" s="671">
        <v>1105.832673792</v>
      </c>
      <c r="M643" s="671">
        <v>1105.832673792</v>
      </c>
      <c r="N643" s="674">
        <v>1105.832673792</v>
      </c>
      <c r="O643" s="674">
        <v>1105.832673792</v>
      </c>
    </row>
    <row r="644" s="597" customFormat="1" spans="1:15">
      <c r="A644" s="618"/>
      <c r="B644" s="526" t="s">
        <v>1014</v>
      </c>
      <c r="C644" s="597">
        <v>0</v>
      </c>
      <c r="D644" s="663">
        <v>1240</v>
      </c>
      <c r="E644" s="663">
        <v>1240</v>
      </c>
      <c r="F644" s="663">
        <v>1240</v>
      </c>
      <c r="G644" s="663">
        <v>1240</v>
      </c>
      <c r="H644" s="671">
        <v>1105.832673792</v>
      </c>
      <c r="I644" s="671">
        <v>1105.832673792</v>
      </c>
      <c r="J644" s="671">
        <v>1105.832673792</v>
      </c>
      <c r="K644" s="671">
        <v>1105.832673792</v>
      </c>
      <c r="L644" s="671">
        <v>1105.832673792</v>
      </c>
      <c r="M644" s="671">
        <v>1105.832673792</v>
      </c>
      <c r="N644" s="674">
        <v>1105.832673792</v>
      </c>
      <c r="O644" s="674">
        <v>1105.832673792</v>
      </c>
    </row>
    <row r="645" s="597" customFormat="1" spans="1:15">
      <c r="A645" s="618"/>
      <c r="B645" s="526" t="s">
        <v>1015</v>
      </c>
      <c r="C645" s="597">
        <v>0</v>
      </c>
      <c r="D645" s="663">
        <v>1240</v>
      </c>
      <c r="E645" s="663">
        <v>1240</v>
      </c>
      <c r="F645" s="663">
        <v>1240</v>
      </c>
      <c r="G645" s="663">
        <v>1240</v>
      </c>
      <c r="H645" s="663">
        <v>1240</v>
      </c>
      <c r="I645" s="663">
        <v>1240</v>
      </c>
      <c r="J645" s="663">
        <v>1240</v>
      </c>
      <c r="K645" s="663">
        <v>1240</v>
      </c>
      <c r="L645" s="663">
        <v>1240</v>
      </c>
      <c r="M645" s="663">
        <v>1240</v>
      </c>
      <c r="N645" s="666">
        <v>1240</v>
      </c>
      <c r="O645" s="666">
        <v>1240</v>
      </c>
    </row>
    <row r="646" s="597" customFormat="1" spans="1:15">
      <c r="A646" s="618"/>
      <c r="B646" s="526" t="s">
        <v>1016</v>
      </c>
      <c r="C646" s="597">
        <v>1083.71602031616</v>
      </c>
      <c r="D646" s="663">
        <v>1240</v>
      </c>
      <c r="E646" s="663">
        <v>1240</v>
      </c>
      <c r="F646" s="663">
        <v>1240</v>
      </c>
      <c r="G646" s="663">
        <v>1240</v>
      </c>
      <c r="H646" s="663">
        <v>1240</v>
      </c>
      <c r="I646" s="663">
        <v>1240</v>
      </c>
      <c r="J646" s="663">
        <v>1240</v>
      </c>
      <c r="K646" s="663">
        <v>1240</v>
      </c>
      <c r="L646" s="663">
        <v>1240</v>
      </c>
      <c r="M646" s="663">
        <v>1240</v>
      </c>
      <c r="N646" s="666">
        <v>1240</v>
      </c>
      <c r="O646" s="666">
        <v>1240</v>
      </c>
    </row>
    <row r="647" s="597" customFormat="1" spans="1:15">
      <c r="A647" s="618"/>
      <c r="B647" s="526" t="s">
        <v>1017</v>
      </c>
      <c r="C647" s="597">
        <v>1238.53259464704</v>
      </c>
      <c r="D647" s="663">
        <v>1240</v>
      </c>
      <c r="E647" s="663">
        <v>1240</v>
      </c>
      <c r="F647" s="663">
        <v>1240</v>
      </c>
      <c r="G647" s="665">
        <v>2034.73211977728</v>
      </c>
      <c r="H647" s="671">
        <v>1240</v>
      </c>
      <c r="I647" s="671">
        <v>1240</v>
      </c>
      <c r="J647" s="671">
        <v>1240</v>
      </c>
      <c r="K647" s="671">
        <v>1240</v>
      </c>
      <c r="L647" s="671">
        <v>1240</v>
      </c>
      <c r="M647" s="671">
        <v>1240</v>
      </c>
      <c r="N647" s="674">
        <v>1240</v>
      </c>
      <c r="O647" s="674">
        <v>1240</v>
      </c>
    </row>
    <row r="648" s="597" customFormat="1" spans="1:15">
      <c r="A648" s="618"/>
      <c r="B648" s="526" t="s">
        <v>1018</v>
      </c>
      <c r="C648" s="597">
        <v>1240</v>
      </c>
      <c r="D648" s="663">
        <v>2480</v>
      </c>
      <c r="E648" s="663">
        <v>2480</v>
      </c>
      <c r="F648" s="663">
        <v>2480</v>
      </c>
      <c r="G648" s="663">
        <v>2480</v>
      </c>
      <c r="H648" s="671">
        <v>2211.665347584</v>
      </c>
      <c r="I648" s="671">
        <v>2211.665347584</v>
      </c>
      <c r="J648" s="671">
        <v>2211.665347584</v>
      </c>
      <c r="K648" s="671">
        <v>2211.665347584</v>
      </c>
      <c r="L648" s="671">
        <v>2211.665347584</v>
      </c>
      <c r="M648" s="671">
        <v>2211.665347584</v>
      </c>
      <c r="N648" s="674">
        <v>2211.665347584</v>
      </c>
      <c r="O648" s="674">
        <v>2211.665347584</v>
      </c>
    </row>
    <row r="649" s="597" customFormat="1" spans="1:15">
      <c r="A649" s="618"/>
      <c r="B649" s="526" t="s">
        <v>1019</v>
      </c>
      <c r="C649" s="597">
        <v>1240</v>
      </c>
      <c r="D649" s="663">
        <v>2480</v>
      </c>
      <c r="E649" s="663">
        <v>2480</v>
      </c>
      <c r="F649" s="663">
        <v>2480</v>
      </c>
      <c r="G649" s="663">
        <v>2480</v>
      </c>
      <c r="H649" s="671">
        <v>2211.665347584</v>
      </c>
      <c r="I649" s="671">
        <v>2211.665347584</v>
      </c>
      <c r="J649" s="671">
        <v>2211.665347584</v>
      </c>
      <c r="K649" s="671">
        <v>2211.665347584</v>
      </c>
      <c r="L649" s="671">
        <v>2211.665347584</v>
      </c>
      <c r="M649" s="671">
        <v>2211.665347584</v>
      </c>
      <c r="N649" s="674">
        <v>2211.665347584</v>
      </c>
      <c r="O649" s="674">
        <v>2211.665347584</v>
      </c>
    </row>
    <row r="650" s="597" customFormat="1" spans="1:15">
      <c r="A650" s="618"/>
      <c r="B650" s="526" t="s">
        <v>1020</v>
      </c>
      <c r="C650" s="597">
        <v>1240</v>
      </c>
      <c r="D650" s="663">
        <v>2480</v>
      </c>
      <c r="E650" s="663">
        <v>2480</v>
      </c>
      <c r="F650" s="663">
        <v>2480</v>
      </c>
      <c r="G650" s="663">
        <v>2480</v>
      </c>
      <c r="H650" s="663">
        <v>2480</v>
      </c>
      <c r="I650" s="663">
        <v>2480</v>
      </c>
      <c r="J650" s="663">
        <v>2480</v>
      </c>
      <c r="K650" s="663">
        <v>2480</v>
      </c>
      <c r="L650" s="663">
        <v>2480</v>
      </c>
      <c r="M650" s="663">
        <v>2480</v>
      </c>
      <c r="N650" s="666">
        <v>2480</v>
      </c>
      <c r="O650" s="666">
        <v>2480</v>
      </c>
    </row>
    <row r="651" s="597" customFormat="1" spans="1:15">
      <c r="A651" s="618"/>
      <c r="B651" s="526" t="s">
        <v>1021</v>
      </c>
      <c r="C651" s="597">
        <v>1240</v>
      </c>
      <c r="D651" s="663">
        <v>2480</v>
      </c>
      <c r="E651" s="663">
        <v>2480</v>
      </c>
      <c r="F651" s="663">
        <v>2480</v>
      </c>
      <c r="G651" s="663">
        <v>2480</v>
      </c>
      <c r="H651" s="663">
        <v>2480</v>
      </c>
      <c r="I651" s="663">
        <v>2480</v>
      </c>
      <c r="J651" s="663">
        <v>2480</v>
      </c>
      <c r="K651" s="663">
        <v>2480</v>
      </c>
      <c r="L651" s="663">
        <v>2480</v>
      </c>
      <c r="M651" s="663">
        <v>2480</v>
      </c>
      <c r="N651" s="666">
        <v>2480</v>
      </c>
      <c r="O651" s="666">
        <v>2480</v>
      </c>
    </row>
    <row r="652" s="597" customFormat="1" spans="1:15">
      <c r="A652" s="618"/>
      <c r="B652" s="526" t="s">
        <v>1022</v>
      </c>
      <c r="C652" s="597">
        <v>1240</v>
      </c>
      <c r="D652" s="663">
        <v>2480</v>
      </c>
      <c r="E652" s="663">
        <v>2480</v>
      </c>
      <c r="F652" s="663">
        <v>2480</v>
      </c>
      <c r="G652" s="663">
        <v>2480</v>
      </c>
      <c r="H652" s="671">
        <v>2432.8318823424</v>
      </c>
      <c r="I652" s="671">
        <v>2432.8318823424</v>
      </c>
      <c r="J652" s="671">
        <v>2432.8318823424</v>
      </c>
      <c r="K652" s="671">
        <v>2432.8318823424</v>
      </c>
      <c r="L652" s="671">
        <v>2432.8318823424</v>
      </c>
      <c r="M652" s="671">
        <v>2432.8318823424</v>
      </c>
      <c r="N652" s="674">
        <v>2432.8318823424</v>
      </c>
      <c r="O652" s="674">
        <v>2432.8318823424</v>
      </c>
    </row>
    <row r="653" s="597" customFormat="1" spans="1:15">
      <c r="A653" s="618"/>
      <c r="B653" s="526" t="s">
        <v>1023</v>
      </c>
      <c r="C653" s="597">
        <v>1083.71602031616</v>
      </c>
      <c r="D653" s="663">
        <v>1240</v>
      </c>
      <c r="E653" s="663">
        <v>1240</v>
      </c>
      <c r="F653" s="663">
        <v>1240</v>
      </c>
      <c r="G653" s="663">
        <v>1240</v>
      </c>
      <c r="H653" s="663">
        <v>1240</v>
      </c>
      <c r="I653" s="663">
        <v>1240</v>
      </c>
      <c r="J653" s="663">
        <v>1240</v>
      </c>
      <c r="K653" s="663">
        <v>1240</v>
      </c>
      <c r="L653" s="663">
        <v>1240</v>
      </c>
      <c r="M653" s="663">
        <v>1240</v>
      </c>
      <c r="N653" s="666">
        <v>1240</v>
      </c>
      <c r="O653" s="666">
        <v>1240</v>
      </c>
    </row>
    <row r="654" s="597" customFormat="1" spans="1:15">
      <c r="A654" s="618"/>
      <c r="B654" s="526" t="s">
        <v>1024</v>
      </c>
      <c r="C654" s="597">
        <v>1083.71602031616</v>
      </c>
      <c r="D654" s="663">
        <v>1240</v>
      </c>
      <c r="E654" s="663">
        <v>1240</v>
      </c>
      <c r="F654" s="663">
        <v>1240</v>
      </c>
      <c r="G654" s="663">
        <v>1240</v>
      </c>
      <c r="H654" s="663">
        <v>1240</v>
      </c>
      <c r="I654" s="663">
        <v>1240</v>
      </c>
      <c r="J654" s="663">
        <v>1240</v>
      </c>
      <c r="K654" s="663">
        <v>1240</v>
      </c>
      <c r="L654" s="663">
        <v>1240</v>
      </c>
      <c r="M654" s="663">
        <v>1240</v>
      </c>
      <c r="N654" s="666">
        <v>1240</v>
      </c>
      <c r="O654" s="666">
        <v>1240</v>
      </c>
    </row>
    <row r="655" s="597" customFormat="1" spans="1:15">
      <c r="A655" s="618"/>
      <c r="B655" s="526" t="s">
        <v>1025</v>
      </c>
      <c r="C655" s="597">
        <v>3447.87721746063</v>
      </c>
      <c r="D655" s="663">
        <v>2067.0782712607</v>
      </c>
      <c r="E655" s="663">
        <v>2067.0782712607</v>
      </c>
      <c r="F655" s="663">
        <v>2067.0782712607</v>
      </c>
      <c r="G655" s="663">
        <v>2067.0782712607</v>
      </c>
      <c r="H655" s="663">
        <v>2067.0782712607</v>
      </c>
      <c r="I655" s="663">
        <v>2067.0782712607</v>
      </c>
      <c r="J655" s="663">
        <v>2067.0782712607</v>
      </c>
      <c r="K655" s="663">
        <v>2067.0782712607</v>
      </c>
      <c r="L655" s="663">
        <v>2067.0782712607</v>
      </c>
      <c r="M655" s="663">
        <v>2067.0782712607</v>
      </c>
      <c r="N655" s="666">
        <v>2067.0782712607</v>
      </c>
      <c r="O655" s="666">
        <v>2067.0782712607</v>
      </c>
    </row>
    <row r="656" s="597" customFormat="1" spans="1:15">
      <c r="A656" s="618"/>
      <c r="B656" s="526" t="s">
        <v>1026</v>
      </c>
      <c r="C656" s="597">
        <v>3447.87721746063</v>
      </c>
      <c r="D656" s="663">
        <v>2067.0782712607</v>
      </c>
      <c r="E656" s="663">
        <v>2067.0782712607</v>
      </c>
      <c r="F656" s="663">
        <v>2067.0782712607</v>
      </c>
      <c r="G656" s="663">
        <v>2067.0782712607</v>
      </c>
      <c r="H656" s="663">
        <v>2067.0782712607</v>
      </c>
      <c r="I656" s="663">
        <v>2067.0782712607</v>
      </c>
      <c r="J656" s="663">
        <v>2067.0782712607</v>
      </c>
      <c r="K656" s="663">
        <v>2067.0782712607</v>
      </c>
      <c r="L656" s="663">
        <v>2067.0782712607</v>
      </c>
      <c r="M656" s="663">
        <v>2067.0782712607</v>
      </c>
      <c r="N656" s="666">
        <v>2067.0782712607</v>
      </c>
      <c r="O656" s="666">
        <v>2067.0782712607</v>
      </c>
    </row>
    <row r="657" s="597" customFormat="1" spans="1:15">
      <c r="A657" s="618"/>
      <c r="B657" s="526" t="s">
        <v>1027</v>
      </c>
      <c r="C657" s="597">
        <v>4427.9383313088</v>
      </c>
      <c r="D657" s="663">
        <v>2067.0782712607</v>
      </c>
      <c r="E657" s="663">
        <v>2067.0782712607</v>
      </c>
      <c r="F657" s="663">
        <v>2067.0782712607</v>
      </c>
      <c r="G657" s="663">
        <v>2067.0782712607</v>
      </c>
      <c r="H657" s="663">
        <v>2067.0782712607</v>
      </c>
      <c r="I657" s="663">
        <v>2067.0782712607</v>
      </c>
      <c r="J657" s="663">
        <v>2067.0782712607</v>
      </c>
      <c r="K657" s="663">
        <v>2067.0782712607</v>
      </c>
      <c r="L657" s="663">
        <v>2067.0782712607</v>
      </c>
      <c r="M657" s="663">
        <v>2067.0782712607</v>
      </c>
      <c r="N657" s="666">
        <v>2067.0782712607</v>
      </c>
      <c r="O657" s="666">
        <v>2067.0782712607</v>
      </c>
    </row>
    <row r="658" s="597" customFormat="1" spans="1:15">
      <c r="A658" s="618"/>
      <c r="B658" s="526" t="s">
        <v>1028</v>
      </c>
      <c r="C658" s="597">
        <v>4721.06986899563</v>
      </c>
      <c r="D658" s="663">
        <v>8117.8869407328</v>
      </c>
      <c r="E658" s="663">
        <v>8117.8869407328</v>
      </c>
      <c r="F658" s="663">
        <v>8117.8869407328</v>
      </c>
      <c r="G658" s="663">
        <v>8117.8869407328</v>
      </c>
      <c r="H658" s="663">
        <v>8117.8869407328</v>
      </c>
      <c r="I658" s="663">
        <v>8117.8869407328</v>
      </c>
      <c r="J658" s="663">
        <v>8117.8869407328</v>
      </c>
      <c r="K658" s="663">
        <v>8117.8869407328</v>
      </c>
      <c r="L658" s="663">
        <v>8117.8869407328</v>
      </c>
      <c r="M658" s="663">
        <v>8117.8869407328</v>
      </c>
      <c r="N658" s="666">
        <v>8117.8869407328</v>
      </c>
      <c r="O658" s="666">
        <v>8117.8869407328</v>
      </c>
    </row>
    <row r="659" s="597" customFormat="1" spans="1:15">
      <c r="A659" s="618"/>
      <c r="B659" s="526" t="s">
        <v>1029</v>
      </c>
      <c r="C659" s="597">
        <v>5665.28384279476</v>
      </c>
      <c r="D659" s="663">
        <v>7460.62846580407</v>
      </c>
      <c r="E659" s="663">
        <v>7460.62846580407</v>
      </c>
      <c r="F659" s="663">
        <v>7460.62846580407</v>
      </c>
      <c r="G659" s="663">
        <v>7460.62846580407</v>
      </c>
      <c r="H659" s="663">
        <v>7460.62846580407</v>
      </c>
      <c r="I659" s="663">
        <v>7460.62846580407</v>
      </c>
      <c r="J659" s="663">
        <v>7460.62846580407</v>
      </c>
      <c r="K659" s="663">
        <v>7460.62846580407</v>
      </c>
      <c r="L659" s="663">
        <v>7460.62846580407</v>
      </c>
      <c r="M659" s="663">
        <v>7460.62846580407</v>
      </c>
      <c r="N659" s="666">
        <v>7460.62846580407</v>
      </c>
      <c r="O659" s="666">
        <v>7460.62846580407</v>
      </c>
    </row>
    <row r="660" s="597" customFormat="1" spans="1:15">
      <c r="A660" s="618"/>
      <c r="B660" s="526" t="s">
        <v>1030</v>
      </c>
      <c r="C660" s="597">
        <v>7379.897218848</v>
      </c>
      <c r="D660" s="663">
        <v>9889.95371630819</v>
      </c>
      <c r="E660" s="663">
        <v>9889.95371630819</v>
      </c>
      <c r="F660" s="663">
        <v>9889.95371630819</v>
      </c>
      <c r="G660" s="663">
        <v>9889.95371630819</v>
      </c>
      <c r="H660" s="663">
        <v>9889.95371630819</v>
      </c>
      <c r="I660" s="663">
        <v>9889.95371630819</v>
      </c>
      <c r="J660" s="663">
        <v>9889.95371630819</v>
      </c>
      <c r="K660" s="663">
        <v>9889.95371630819</v>
      </c>
      <c r="L660" s="663">
        <v>9889.95371630819</v>
      </c>
      <c r="M660" s="663">
        <v>9889.95371630819</v>
      </c>
      <c r="N660" s="666">
        <v>9889.95371630819</v>
      </c>
      <c r="O660" s="666">
        <v>9889.95371630819</v>
      </c>
    </row>
    <row r="661" s="597" customFormat="1" spans="1:15">
      <c r="A661" s="618"/>
      <c r="B661" s="526" t="s">
        <v>1031</v>
      </c>
      <c r="C661" s="597">
        <v>7379.897218848</v>
      </c>
      <c r="D661" s="663">
        <v>9889.95371630819</v>
      </c>
      <c r="E661" s="663">
        <v>9889.95371630819</v>
      </c>
      <c r="F661" s="663">
        <v>9889.95371630819</v>
      </c>
      <c r="G661" s="663">
        <v>9889.95371630819</v>
      </c>
      <c r="H661" s="663">
        <v>9889.95371630819</v>
      </c>
      <c r="I661" s="663">
        <v>9889.95371630819</v>
      </c>
      <c r="J661" s="663">
        <v>9889.95371630819</v>
      </c>
      <c r="K661" s="663">
        <v>9889.95371630819</v>
      </c>
      <c r="L661" s="663">
        <v>9889.95371630819</v>
      </c>
      <c r="M661" s="663">
        <v>9889.95371630819</v>
      </c>
      <c r="N661" s="666">
        <v>9889.95371630819</v>
      </c>
      <c r="O661" s="666">
        <v>9889.95371630819</v>
      </c>
    </row>
    <row r="662" s="597" customFormat="1" spans="1:15">
      <c r="A662" s="618"/>
      <c r="B662" s="526" t="s">
        <v>1032</v>
      </c>
      <c r="C662" s="597">
        <v>8849.75840833728</v>
      </c>
      <c r="D662" s="663">
        <v>8627.43142144638</v>
      </c>
      <c r="E662" s="663">
        <v>8627.43142144638</v>
      </c>
      <c r="F662" s="663">
        <v>8627.43142144638</v>
      </c>
      <c r="G662" s="663">
        <v>8627.43142144638</v>
      </c>
      <c r="H662" s="663">
        <v>8627.43142144638</v>
      </c>
      <c r="I662" s="663">
        <v>8627.43142144638</v>
      </c>
      <c r="J662" s="663">
        <v>8627.43142144638</v>
      </c>
      <c r="K662" s="663">
        <v>8627.43142144638</v>
      </c>
      <c r="L662" s="663">
        <v>8627.43142144638</v>
      </c>
      <c r="M662" s="663">
        <v>8627.43142144638</v>
      </c>
      <c r="N662" s="666">
        <v>8627.43142144638</v>
      </c>
      <c r="O662" s="666">
        <v>8627.43142144638</v>
      </c>
    </row>
    <row r="663" s="597" customFormat="1" spans="1:15">
      <c r="A663" s="618"/>
      <c r="B663" s="526" t="s">
        <v>1033</v>
      </c>
      <c r="C663" s="597">
        <v>8849.75840833728</v>
      </c>
      <c r="D663" s="663">
        <v>8627.43142144638</v>
      </c>
      <c r="E663" s="663">
        <v>8627.43142144638</v>
      </c>
      <c r="F663" s="663">
        <v>8627.43142144638</v>
      </c>
      <c r="G663" s="663">
        <v>8627.43142144638</v>
      </c>
      <c r="H663" s="663">
        <v>8627.43142144638</v>
      </c>
      <c r="I663" s="663">
        <v>8627.43142144638</v>
      </c>
      <c r="J663" s="663">
        <v>8627.43142144638</v>
      </c>
      <c r="K663" s="663">
        <v>8627.43142144638</v>
      </c>
      <c r="L663" s="663">
        <v>8627.43142144638</v>
      </c>
      <c r="M663" s="663">
        <v>8627.43142144638</v>
      </c>
      <c r="N663" s="666">
        <v>8627.43142144638</v>
      </c>
      <c r="O663" s="666">
        <v>8627.43142144638</v>
      </c>
    </row>
    <row r="664" s="597" customFormat="1" spans="1:15">
      <c r="A664" s="618"/>
      <c r="B664" s="526" t="s">
        <v>1034</v>
      </c>
      <c r="C664" s="597">
        <v>7721.14633527771</v>
      </c>
      <c r="D664" s="663">
        <v>7639.4952681388</v>
      </c>
      <c r="E664" s="663">
        <v>7639.4952681388</v>
      </c>
      <c r="F664" s="663">
        <v>7639.4952681388</v>
      </c>
      <c r="G664" s="663">
        <v>7639.4952681388</v>
      </c>
      <c r="H664" s="663">
        <v>7639.4952681388</v>
      </c>
      <c r="I664" s="663">
        <v>7639.4952681388</v>
      </c>
      <c r="J664" s="663">
        <v>7639.4952681388</v>
      </c>
      <c r="K664" s="663">
        <v>7639.4952681388</v>
      </c>
      <c r="L664" s="663">
        <v>7639.4952681388</v>
      </c>
      <c r="M664" s="663">
        <v>7639.4952681388</v>
      </c>
      <c r="N664" s="666">
        <v>7639.4952681388</v>
      </c>
      <c r="O664" s="666">
        <v>7639.4952681388</v>
      </c>
    </row>
    <row r="665" s="597" customFormat="1" spans="1:15">
      <c r="A665" s="618"/>
      <c r="B665" s="526" t="s">
        <v>1035</v>
      </c>
      <c r="C665" s="597">
        <v>4721.06986899563</v>
      </c>
      <c r="D665" s="663">
        <v>1837.60623229462</v>
      </c>
      <c r="E665" s="663">
        <v>1837.60623229462</v>
      </c>
      <c r="F665" s="663">
        <v>1837.60623229462</v>
      </c>
      <c r="G665" s="663">
        <v>1837.60623229462</v>
      </c>
      <c r="H665" s="663">
        <v>1837.60623229462</v>
      </c>
      <c r="I665" s="663">
        <v>1837.60623229462</v>
      </c>
      <c r="J665" s="663">
        <v>1837.60623229462</v>
      </c>
      <c r="K665" s="663">
        <v>1837.60623229462</v>
      </c>
      <c r="L665" s="663">
        <v>1837.60623229462</v>
      </c>
      <c r="M665" s="663">
        <v>1837.60623229462</v>
      </c>
      <c r="N665" s="666">
        <v>1837.60623229462</v>
      </c>
      <c r="O665" s="666">
        <v>1837.60623229462</v>
      </c>
    </row>
    <row r="666" s="597" customFormat="1" spans="1:15">
      <c r="A666" s="618"/>
      <c r="B666" s="526" t="s">
        <v>1036</v>
      </c>
      <c r="C666" s="597">
        <v>4721.06986899563</v>
      </c>
      <c r="D666" s="663">
        <v>1837.60623229462</v>
      </c>
      <c r="E666" s="663">
        <v>1837.60623229462</v>
      </c>
      <c r="F666" s="663">
        <v>1837.60623229462</v>
      </c>
      <c r="G666" s="663">
        <v>1837.60623229462</v>
      </c>
      <c r="H666" s="663">
        <v>1837.60623229462</v>
      </c>
      <c r="I666" s="663">
        <v>1837.60623229462</v>
      </c>
      <c r="J666" s="663">
        <v>1837.60623229462</v>
      </c>
      <c r="K666" s="663">
        <v>1837.60623229462</v>
      </c>
      <c r="L666" s="663">
        <v>1837.60623229462</v>
      </c>
      <c r="M666" s="663">
        <v>1837.60623229462</v>
      </c>
      <c r="N666" s="666">
        <v>1837.60623229462</v>
      </c>
      <c r="O666" s="666">
        <v>1837.60623229462</v>
      </c>
    </row>
    <row r="667" s="597" customFormat="1" spans="1:15">
      <c r="A667" s="618"/>
      <c r="B667" s="526" t="s">
        <v>1037</v>
      </c>
      <c r="C667" s="597">
        <v>4189.8771307008</v>
      </c>
      <c r="D667" s="663">
        <v>2088.81509433962</v>
      </c>
      <c r="E667" s="663">
        <v>2088.81509433962</v>
      </c>
      <c r="F667" s="663">
        <v>2088.81509433962</v>
      </c>
      <c r="G667" s="663">
        <v>2088.81509433962</v>
      </c>
      <c r="H667" s="663">
        <v>2088.81509433962</v>
      </c>
      <c r="I667" s="663">
        <v>2088.81509433962</v>
      </c>
      <c r="J667" s="663">
        <v>2088.81509433962</v>
      </c>
      <c r="K667" s="663">
        <v>2088.81509433962</v>
      </c>
      <c r="L667" s="663">
        <v>2088.81509433962</v>
      </c>
      <c r="M667" s="663">
        <v>2088.81509433962</v>
      </c>
      <c r="N667" s="666">
        <v>2088.81509433962</v>
      </c>
      <c r="O667" s="666">
        <v>2088.81509433962</v>
      </c>
    </row>
    <row r="668" s="597" customFormat="1" spans="1:15">
      <c r="A668" s="618"/>
      <c r="B668" s="526" t="s">
        <v>1038</v>
      </c>
      <c r="C668" s="597">
        <v>4189.8771307008</v>
      </c>
      <c r="D668" s="663">
        <v>2088.81509433962</v>
      </c>
      <c r="E668" s="663">
        <v>2088.81509433962</v>
      </c>
      <c r="F668" s="663">
        <v>2088.81509433962</v>
      </c>
      <c r="G668" s="663">
        <v>2088.81509433962</v>
      </c>
      <c r="H668" s="663">
        <v>2088.81509433962</v>
      </c>
      <c r="I668" s="663">
        <v>2088.81509433962</v>
      </c>
      <c r="J668" s="663">
        <v>2088.81509433962</v>
      </c>
      <c r="K668" s="663">
        <v>2088.81509433962</v>
      </c>
      <c r="L668" s="663">
        <v>2088.81509433962</v>
      </c>
      <c r="M668" s="663">
        <v>2088.81509433962</v>
      </c>
      <c r="N668" s="666">
        <v>2088.81509433962</v>
      </c>
      <c r="O668" s="666">
        <v>2088.81509433962</v>
      </c>
    </row>
    <row r="669" s="597" customFormat="1" spans="1:15">
      <c r="A669" s="618"/>
      <c r="B669" s="526" t="s">
        <v>1039</v>
      </c>
      <c r="C669" s="597">
        <v>4567.12871287129</v>
      </c>
      <c r="D669" s="663">
        <v>2088.81509433962</v>
      </c>
      <c r="E669" s="663">
        <v>2088.81509433962</v>
      </c>
      <c r="F669" s="663">
        <v>2088.81509433962</v>
      </c>
      <c r="G669" s="663">
        <v>2088.81509433962</v>
      </c>
      <c r="H669" s="663">
        <v>2088.81509433962</v>
      </c>
      <c r="I669" s="663">
        <v>2088.81509433962</v>
      </c>
      <c r="J669" s="663">
        <v>2088.81509433962</v>
      </c>
      <c r="K669" s="663">
        <v>2088.81509433962</v>
      </c>
      <c r="L669" s="663">
        <v>2088.81509433962</v>
      </c>
      <c r="M669" s="663">
        <v>2088.81509433962</v>
      </c>
      <c r="N669" s="666">
        <v>2088.81509433962</v>
      </c>
      <c r="O669" s="666">
        <v>2088.81509433962</v>
      </c>
    </row>
    <row r="670" s="597" customFormat="1" spans="1:15">
      <c r="A670" s="618"/>
      <c r="B670" s="526" t="s">
        <v>1040</v>
      </c>
      <c r="C670" s="597">
        <v>5694.81481481481</v>
      </c>
      <c r="D670" s="663">
        <v>9217.72968754176</v>
      </c>
      <c r="E670" s="663">
        <v>9217.72968754176</v>
      </c>
      <c r="F670" s="663">
        <v>9217.72968754176</v>
      </c>
      <c r="G670" s="663">
        <v>9217.72968754176</v>
      </c>
      <c r="H670" s="663">
        <v>9217.72968754176</v>
      </c>
      <c r="I670" s="663">
        <v>9217.72968754176</v>
      </c>
      <c r="J670" s="663">
        <v>9217.72968754176</v>
      </c>
      <c r="K670" s="663">
        <v>9217.72968754176</v>
      </c>
      <c r="L670" s="663">
        <v>9217.72968754176</v>
      </c>
      <c r="M670" s="663">
        <v>9217.72968754176</v>
      </c>
      <c r="N670" s="666">
        <v>9217.72968754176</v>
      </c>
      <c r="O670" s="666">
        <v>9217.72968754176</v>
      </c>
    </row>
    <row r="671" s="597" customFormat="1" spans="1:15">
      <c r="A671" s="618"/>
      <c r="B671" s="526" t="s">
        <v>1041</v>
      </c>
      <c r="C671" s="597">
        <v>6643.95061728395</v>
      </c>
      <c r="D671" s="663">
        <v>8601.95804195804</v>
      </c>
      <c r="E671" s="663">
        <v>8601.95804195804</v>
      </c>
      <c r="F671" s="663">
        <v>8601.95804195804</v>
      </c>
      <c r="G671" s="663">
        <v>8601.95804195804</v>
      </c>
      <c r="H671" s="663">
        <v>8601.95804195804</v>
      </c>
      <c r="I671" s="663">
        <v>8601.95804195804</v>
      </c>
      <c r="J671" s="663">
        <v>8601.95804195804</v>
      </c>
      <c r="K671" s="663">
        <v>8601.95804195804</v>
      </c>
      <c r="L671" s="663">
        <v>8601.95804195804</v>
      </c>
      <c r="M671" s="663">
        <v>8601.95804195804</v>
      </c>
      <c r="N671" s="666">
        <v>8601.95804195804</v>
      </c>
      <c r="O671" s="666">
        <v>8601.95804195804</v>
      </c>
    </row>
    <row r="672" s="597" customFormat="1" spans="1:15">
      <c r="A672" s="618"/>
      <c r="B672" s="526" t="s">
        <v>1042</v>
      </c>
      <c r="C672" s="597">
        <v>8379.7542614016</v>
      </c>
      <c r="D672" s="663">
        <v>11067.557840617</v>
      </c>
      <c r="E672" s="663">
        <v>11067.557840617</v>
      </c>
      <c r="F672" s="663">
        <v>11067.557840617</v>
      </c>
      <c r="G672" s="663">
        <v>11067.557840617</v>
      </c>
      <c r="H672" s="663">
        <v>11067.557840617</v>
      </c>
      <c r="I672" s="663">
        <v>11067.557840617</v>
      </c>
      <c r="J672" s="663">
        <v>11067.557840617</v>
      </c>
      <c r="K672" s="663">
        <v>11067.557840617</v>
      </c>
      <c r="L672" s="663">
        <v>11067.557840617</v>
      </c>
      <c r="M672" s="663">
        <v>11067.557840617</v>
      </c>
      <c r="N672" s="666">
        <v>11067.557840617</v>
      </c>
      <c r="O672" s="666">
        <v>11067.557840617</v>
      </c>
    </row>
    <row r="673" s="597" customFormat="1" spans="1:15">
      <c r="A673" s="618"/>
      <c r="B673" s="526" t="s">
        <v>1043</v>
      </c>
      <c r="C673" s="597">
        <v>8379.7542614016</v>
      </c>
      <c r="D673" s="663">
        <v>11067.557840617</v>
      </c>
      <c r="E673" s="663">
        <v>11067.557840617</v>
      </c>
      <c r="F673" s="663">
        <v>11067.557840617</v>
      </c>
      <c r="G673" s="663">
        <v>11067.557840617</v>
      </c>
      <c r="H673" s="663">
        <v>11067.557840617</v>
      </c>
      <c r="I673" s="663">
        <v>11067.557840617</v>
      </c>
      <c r="J673" s="663">
        <v>11067.557840617</v>
      </c>
      <c r="K673" s="663">
        <v>11067.557840617</v>
      </c>
      <c r="L673" s="663">
        <v>11067.557840617</v>
      </c>
      <c r="M673" s="663">
        <v>11067.557840617</v>
      </c>
      <c r="N673" s="666">
        <v>11067.557840617</v>
      </c>
      <c r="O673" s="666">
        <v>11067.557840617</v>
      </c>
    </row>
    <row r="674" s="597" customFormat="1" spans="1:15">
      <c r="A674" s="618"/>
      <c r="B674" s="526" t="s">
        <v>1044</v>
      </c>
      <c r="C674" s="597">
        <v>9877.51605995717</v>
      </c>
      <c r="D674" s="663">
        <v>9785.55097230406</v>
      </c>
      <c r="E674" s="663">
        <v>9785.55097230406</v>
      </c>
      <c r="F674" s="663">
        <v>9785.55097230406</v>
      </c>
      <c r="G674" s="663">
        <v>9785.55097230406</v>
      </c>
      <c r="H674" s="663">
        <v>9785.55097230406</v>
      </c>
      <c r="I674" s="663">
        <v>9785.55097230406</v>
      </c>
      <c r="J674" s="663">
        <v>9785.55097230406</v>
      </c>
      <c r="K674" s="663">
        <v>9785.55097230406</v>
      </c>
      <c r="L674" s="663">
        <v>9785.55097230406</v>
      </c>
      <c r="M674" s="663">
        <v>9785.55097230406</v>
      </c>
      <c r="N674" s="666">
        <v>9785.55097230406</v>
      </c>
      <c r="O674" s="666">
        <v>9785.55097230406</v>
      </c>
    </row>
    <row r="675" s="597" customFormat="1" spans="1:15">
      <c r="A675" s="618"/>
      <c r="B675" s="526" t="s">
        <v>1045</v>
      </c>
      <c r="C675" s="597">
        <v>9877.51605995717</v>
      </c>
      <c r="D675" s="663">
        <v>9785.55097230406</v>
      </c>
      <c r="E675" s="663">
        <v>9785.55097230406</v>
      </c>
      <c r="F675" s="663">
        <v>9785.55097230406</v>
      </c>
      <c r="G675" s="663">
        <v>9785.55097230406</v>
      </c>
      <c r="H675" s="663">
        <v>9785.55097230406</v>
      </c>
      <c r="I675" s="663">
        <v>9785.55097230406</v>
      </c>
      <c r="J675" s="663">
        <v>9785.55097230406</v>
      </c>
      <c r="K675" s="663">
        <v>9785.55097230406</v>
      </c>
      <c r="L675" s="663">
        <v>9785.55097230406</v>
      </c>
      <c r="M675" s="663">
        <v>9785.55097230406</v>
      </c>
      <c r="N675" s="666">
        <v>9785.55097230406</v>
      </c>
      <c r="O675" s="666">
        <v>9785.55097230406</v>
      </c>
    </row>
    <row r="676" s="597" customFormat="1" spans="1:15">
      <c r="A676" s="618"/>
      <c r="B676" s="526" t="s">
        <v>1046</v>
      </c>
      <c r="C676" s="597">
        <v>8728.34862385321</v>
      </c>
      <c r="D676" s="663">
        <v>8796.75804529201</v>
      </c>
      <c r="E676" s="663">
        <v>8796.75804529201</v>
      </c>
      <c r="F676" s="663">
        <v>8796.75804529201</v>
      </c>
      <c r="G676" s="663">
        <v>8796.75804529201</v>
      </c>
      <c r="H676" s="663">
        <v>8796.75804529201</v>
      </c>
      <c r="I676" s="663">
        <v>8796.75804529201</v>
      </c>
      <c r="J676" s="663">
        <v>8796.75804529201</v>
      </c>
      <c r="K676" s="663">
        <v>8796.75804529201</v>
      </c>
      <c r="L676" s="663">
        <v>8796.75804529201</v>
      </c>
      <c r="M676" s="663">
        <v>8796.75804529201</v>
      </c>
      <c r="N676" s="666">
        <v>8796.75804529201</v>
      </c>
      <c r="O676" s="666">
        <v>8796.75804529201</v>
      </c>
    </row>
    <row r="677" s="597" customFormat="1" spans="1:15">
      <c r="A677" s="618"/>
      <c r="B677" s="526" t="s">
        <v>1047</v>
      </c>
      <c r="C677" s="597">
        <v>5694.81481481481</v>
      </c>
      <c r="D677" s="663">
        <v>1867.84545301164</v>
      </c>
      <c r="E677" s="663">
        <v>1867.84545301164</v>
      </c>
      <c r="F677" s="663">
        <v>1867.84545301164</v>
      </c>
      <c r="G677" s="663">
        <v>1867.84545301164</v>
      </c>
      <c r="H677" s="663">
        <v>1867.84545301164</v>
      </c>
      <c r="I677" s="663">
        <v>1867.84545301164</v>
      </c>
      <c r="J677" s="663">
        <v>1867.84545301164</v>
      </c>
      <c r="K677" s="663">
        <v>1867.84545301164</v>
      </c>
      <c r="L677" s="663">
        <v>1867.84545301164</v>
      </c>
      <c r="M677" s="663">
        <v>1867.84545301164</v>
      </c>
      <c r="N677" s="666">
        <v>1867.84545301164</v>
      </c>
      <c r="O677" s="666">
        <v>1867.84545301164</v>
      </c>
    </row>
    <row r="678" s="597" customFormat="1" spans="1:15">
      <c r="A678" s="618"/>
      <c r="B678" s="526" t="s">
        <v>1048</v>
      </c>
      <c r="C678" s="597">
        <v>5694.81481481481</v>
      </c>
      <c r="D678" s="663">
        <v>1867.84545301164</v>
      </c>
      <c r="E678" s="663">
        <v>1867.84545301164</v>
      </c>
      <c r="F678" s="663">
        <v>1867.84545301164</v>
      </c>
      <c r="G678" s="663">
        <v>1867.84545301164</v>
      </c>
      <c r="H678" s="663">
        <v>1867.84545301164</v>
      </c>
      <c r="I678" s="663">
        <v>1867.84545301164</v>
      </c>
      <c r="J678" s="663">
        <v>1867.84545301164</v>
      </c>
      <c r="K678" s="663">
        <v>1867.84545301164</v>
      </c>
      <c r="L678" s="663">
        <v>1867.84545301164</v>
      </c>
      <c r="M678" s="663">
        <v>1867.84545301164</v>
      </c>
      <c r="N678" s="666">
        <v>1867.84545301164</v>
      </c>
      <c r="O678" s="666">
        <v>1867.84545301164</v>
      </c>
    </row>
    <row r="679" s="597" customFormat="1" spans="1:15">
      <c r="A679" s="618"/>
      <c r="B679" s="526" t="s">
        <v>1049</v>
      </c>
      <c r="C679" s="597">
        <v>4551.29381537897</v>
      </c>
      <c r="D679" s="663">
        <v>2128.75536480687</v>
      </c>
      <c r="E679" s="663">
        <v>2128.75536480687</v>
      </c>
      <c r="F679" s="663">
        <v>2128.75536480687</v>
      </c>
      <c r="G679" s="663">
        <v>2128.75536480687</v>
      </c>
      <c r="H679" s="671">
        <v>2948.887130112</v>
      </c>
      <c r="I679" s="671">
        <v>2948.887130112</v>
      </c>
      <c r="J679" s="671">
        <v>2948.887130112</v>
      </c>
      <c r="K679" s="671">
        <v>2948.887130112</v>
      </c>
      <c r="L679" s="671">
        <v>2948.887130112</v>
      </c>
      <c r="M679" s="671">
        <v>2948.887130112</v>
      </c>
      <c r="N679" s="674">
        <v>2948.887130112</v>
      </c>
      <c r="O679" s="674">
        <v>2948.887130112</v>
      </c>
    </row>
    <row r="680" s="597" customFormat="1" spans="1:15">
      <c r="A680" s="618"/>
      <c r="B680" s="526" t="s">
        <v>1050</v>
      </c>
      <c r="C680" s="597">
        <v>4551.29381537897</v>
      </c>
      <c r="D680" s="663">
        <v>2128.75536480687</v>
      </c>
      <c r="E680" s="663">
        <v>2128.75536480687</v>
      </c>
      <c r="F680" s="663">
        <v>2128.75536480687</v>
      </c>
      <c r="G680" s="663">
        <v>2128.75536480687</v>
      </c>
      <c r="H680" s="671">
        <v>2948.887130112</v>
      </c>
      <c r="I680" s="671">
        <v>2948.887130112</v>
      </c>
      <c r="J680" s="671">
        <v>2948.887130112</v>
      </c>
      <c r="K680" s="671">
        <v>2948.887130112</v>
      </c>
      <c r="L680" s="671">
        <v>2948.887130112</v>
      </c>
      <c r="M680" s="671">
        <v>2948.887130112</v>
      </c>
      <c r="N680" s="674">
        <v>2948.887130112</v>
      </c>
      <c r="O680" s="674">
        <v>2948.887130112</v>
      </c>
    </row>
    <row r="681" s="597" customFormat="1" spans="1:15">
      <c r="A681" s="618"/>
      <c r="B681" s="526" t="s">
        <v>1051</v>
      </c>
      <c r="C681" s="597">
        <v>5714.83437349976</v>
      </c>
      <c r="D681" s="663">
        <v>2128.75536480687</v>
      </c>
      <c r="E681" s="663">
        <v>2128.75536480687</v>
      </c>
      <c r="F681" s="663">
        <v>2128.75536480687</v>
      </c>
      <c r="G681" s="663">
        <v>2128.75536480687</v>
      </c>
      <c r="H681" s="671">
        <v>2948.887130112</v>
      </c>
      <c r="I681" s="671">
        <v>2948.887130112</v>
      </c>
      <c r="J681" s="671">
        <v>2948.887130112</v>
      </c>
      <c r="K681" s="671">
        <v>2948.887130112</v>
      </c>
      <c r="L681" s="671">
        <v>2948.887130112</v>
      </c>
      <c r="M681" s="671">
        <v>2948.887130112</v>
      </c>
      <c r="N681" s="674">
        <v>2948.887130112</v>
      </c>
      <c r="O681" s="674">
        <v>2948.887130112</v>
      </c>
    </row>
    <row r="682" s="597" customFormat="1" spans="1:15">
      <c r="A682" s="618"/>
      <c r="B682" s="526" t="s">
        <v>1052</v>
      </c>
      <c r="C682" s="597">
        <v>6880.736636928</v>
      </c>
      <c r="D682" s="663">
        <v>10679.4258373206</v>
      </c>
      <c r="E682" s="663">
        <v>10679.4258373206</v>
      </c>
      <c r="F682" s="663">
        <v>10679.4258373206</v>
      </c>
      <c r="G682" s="663">
        <v>10679.4258373206</v>
      </c>
      <c r="H682" s="671">
        <v>10514.7751605996</v>
      </c>
      <c r="I682" s="671">
        <v>10514.7751605996</v>
      </c>
      <c r="J682" s="671">
        <v>10514.7751605996</v>
      </c>
      <c r="K682" s="671">
        <v>10514.7751605996</v>
      </c>
      <c r="L682" s="671">
        <v>10514.7751605996</v>
      </c>
      <c r="M682" s="671">
        <v>10514.7751605996</v>
      </c>
      <c r="N682" s="674">
        <v>10514.7751605996</v>
      </c>
      <c r="O682" s="674">
        <v>10514.7751605996</v>
      </c>
    </row>
    <row r="683" s="597" customFormat="1" spans="1:15">
      <c r="A683" s="618"/>
      <c r="B683" s="526" t="s">
        <v>1053</v>
      </c>
      <c r="C683" s="597">
        <v>7863.699013632</v>
      </c>
      <c r="D683" s="663">
        <v>10812.586143744</v>
      </c>
      <c r="E683" s="663">
        <v>10812.586143744</v>
      </c>
      <c r="F683" s="663">
        <v>10812.586143744</v>
      </c>
      <c r="G683" s="663">
        <v>10812.586143744</v>
      </c>
      <c r="H683" s="671">
        <v>10472.1689059501</v>
      </c>
      <c r="I683" s="671">
        <v>10472.1689059501</v>
      </c>
      <c r="J683" s="671">
        <v>10472.1689059501</v>
      </c>
      <c r="K683" s="671">
        <v>10472.1689059501</v>
      </c>
      <c r="L683" s="671">
        <v>10472.1689059501</v>
      </c>
      <c r="M683" s="671">
        <v>10472.1689059501</v>
      </c>
      <c r="N683" s="674">
        <v>10472.1689059501</v>
      </c>
      <c r="O683" s="674">
        <v>10472.1689059501</v>
      </c>
    </row>
    <row r="684" s="597" customFormat="1" spans="1:15">
      <c r="A684" s="618"/>
      <c r="B684" s="526" t="s">
        <v>1054</v>
      </c>
      <c r="C684" s="597">
        <v>9829.62376704</v>
      </c>
      <c r="D684" s="663">
        <v>13453.0190506942</v>
      </c>
      <c r="E684" s="663">
        <v>13453.0190506942</v>
      </c>
      <c r="F684" s="663">
        <v>13453.0190506942</v>
      </c>
      <c r="G684" s="663">
        <v>13453.0190506942</v>
      </c>
      <c r="H684" s="671">
        <v>12999.6879875195</v>
      </c>
      <c r="I684" s="671">
        <v>12999.6879875195</v>
      </c>
      <c r="J684" s="671">
        <v>12999.6879875195</v>
      </c>
      <c r="K684" s="671">
        <v>12999.6879875195</v>
      </c>
      <c r="L684" s="671">
        <v>12999.6879875195</v>
      </c>
      <c r="M684" s="671">
        <v>12999.6879875195</v>
      </c>
      <c r="N684" s="674">
        <v>12999.6879875195</v>
      </c>
      <c r="O684" s="674">
        <v>12999.6879875195</v>
      </c>
    </row>
    <row r="685" s="597" customFormat="1" spans="1:15">
      <c r="A685" s="618"/>
      <c r="B685" s="526" t="s">
        <v>1055</v>
      </c>
      <c r="C685" s="597">
        <v>9829.62376704</v>
      </c>
      <c r="D685" s="663">
        <v>13453.0190506942</v>
      </c>
      <c r="E685" s="663">
        <v>13453.0190506942</v>
      </c>
      <c r="F685" s="663">
        <v>13453.0190506942</v>
      </c>
      <c r="G685" s="663">
        <v>13453.0190506942</v>
      </c>
      <c r="H685" s="671">
        <v>12999.6879875195</v>
      </c>
      <c r="I685" s="671">
        <v>12999.6879875195</v>
      </c>
      <c r="J685" s="671">
        <v>12999.6879875195</v>
      </c>
      <c r="K685" s="671">
        <v>12999.6879875195</v>
      </c>
      <c r="L685" s="671">
        <v>12999.6879875195</v>
      </c>
      <c r="M685" s="671">
        <v>12999.6879875195</v>
      </c>
      <c r="N685" s="674">
        <v>12999.6879875195</v>
      </c>
      <c r="O685" s="674">
        <v>12999.6879875195</v>
      </c>
    </row>
    <row r="686" s="597" customFormat="1" spans="1:15">
      <c r="A686" s="618"/>
      <c r="B686" s="526" t="s">
        <v>1056</v>
      </c>
      <c r="C686" s="597">
        <v>11220.5655526992</v>
      </c>
      <c r="D686" s="663">
        <v>11034.4827586207</v>
      </c>
      <c r="E686" s="663">
        <v>11034.4827586207</v>
      </c>
      <c r="F686" s="663">
        <v>11034.4827586207</v>
      </c>
      <c r="G686" s="663">
        <v>11034.4827586207</v>
      </c>
      <c r="H686" s="671">
        <v>11670.5882352941</v>
      </c>
      <c r="I686" s="671">
        <v>11670.5882352941</v>
      </c>
      <c r="J686" s="671">
        <v>11670.5882352941</v>
      </c>
      <c r="K686" s="671">
        <v>11670.5882352941</v>
      </c>
      <c r="L686" s="671">
        <v>11670.5882352941</v>
      </c>
      <c r="M686" s="671">
        <v>11670.5882352941</v>
      </c>
      <c r="N686" s="674">
        <v>11670.5882352941</v>
      </c>
      <c r="O686" s="674">
        <v>11670.5882352941</v>
      </c>
    </row>
    <row r="687" s="597" customFormat="1" spans="1:15">
      <c r="A687" s="618"/>
      <c r="B687" s="526" t="s">
        <v>1057</v>
      </c>
      <c r="C687" s="597">
        <v>11220.5655526992</v>
      </c>
      <c r="D687" s="663">
        <v>11034.4827586207</v>
      </c>
      <c r="E687" s="663">
        <v>11034.4827586207</v>
      </c>
      <c r="F687" s="663">
        <v>11034.4827586207</v>
      </c>
      <c r="G687" s="663">
        <v>11034.4827586207</v>
      </c>
      <c r="H687" s="671">
        <v>11670.5882352941</v>
      </c>
      <c r="I687" s="671">
        <v>11670.5882352941</v>
      </c>
      <c r="J687" s="671">
        <v>11670.5882352941</v>
      </c>
      <c r="K687" s="671">
        <v>11670.5882352941</v>
      </c>
      <c r="L687" s="671">
        <v>11670.5882352941</v>
      </c>
      <c r="M687" s="671">
        <v>11670.5882352941</v>
      </c>
      <c r="N687" s="674">
        <v>11670.5882352941</v>
      </c>
      <c r="O687" s="674">
        <v>11670.5882352941</v>
      </c>
    </row>
    <row r="688" s="597" customFormat="1" spans="1:15">
      <c r="A688" s="618"/>
      <c r="B688" s="526" t="s">
        <v>1058</v>
      </c>
      <c r="C688" s="597">
        <v>10038.6384544618</v>
      </c>
      <c r="D688" s="663">
        <v>10031.4606741573</v>
      </c>
      <c r="E688" s="663">
        <v>10031.4606741573</v>
      </c>
      <c r="F688" s="663">
        <v>10031.4606741573</v>
      </c>
      <c r="G688" s="663">
        <v>10031.4606741573</v>
      </c>
      <c r="H688" s="671">
        <v>10750.7389162562</v>
      </c>
      <c r="I688" s="671">
        <v>10750.7389162562</v>
      </c>
      <c r="J688" s="671">
        <v>10750.7389162562</v>
      </c>
      <c r="K688" s="671">
        <v>10750.7389162562</v>
      </c>
      <c r="L688" s="671">
        <v>10750.7389162562</v>
      </c>
      <c r="M688" s="671">
        <v>10750.7389162562</v>
      </c>
      <c r="N688" s="674">
        <v>10750.7389162562</v>
      </c>
      <c r="O688" s="674">
        <v>10750.7389162562</v>
      </c>
    </row>
    <row r="689" s="597" customFormat="1" spans="1:15">
      <c r="A689" s="618"/>
      <c r="B689" s="526" t="s">
        <v>1059</v>
      </c>
      <c r="C689" s="597">
        <v>6880.736636928</v>
      </c>
      <c r="D689" s="663">
        <v>2886.51794374394</v>
      </c>
      <c r="E689" s="663">
        <v>2886.51794374394</v>
      </c>
      <c r="F689" s="663">
        <v>2886.51794374394</v>
      </c>
      <c r="G689" s="663">
        <v>2886.51794374394</v>
      </c>
      <c r="H689" s="671">
        <v>2669.05829596413</v>
      </c>
      <c r="I689" s="671">
        <v>2669.05829596413</v>
      </c>
      <c r="J689" s="671">
        <v>2669.05829596413</v>
      </c>
      <c r="K689" s="671">
        <v>2669.05829596413</v>
      </c>
      <c r="L689" s="671">
        <v>2669.05829596413</v>
      </c>
      <c r="M689" s="671">
        <v>2669.05829596413</v>
      </c>
      <c r="N689" s="674">
        <v>2669.05829596413</v>
      </c>
      <c r="O689" s="674">
        <v>2669.05829596413</v>
      </c>
    </row>
    <row r="690" s="597" customFormat="1" spans="1:15">
      <c r="A690" s="618"/>
      <c r="B690" s="526" t="s">
        <v>1060</v>
      </c>
      <c r="C690" s="597">
        <v>6880.736636928</v>
      </c>
      <c r="D690" s="663">
        <v>2886.51794374394</v>
      </c>
      <c r="E690" s="663">
        <v>2886.51794374394</v>
      </c>
      <c r="F690" s="663">
        <v>2886.51794374394</v>
      </c>
      <c r="G690" s="663">
        <v>2886.51794374394</v>
      </c>
      <c r="H690" s="671">
        <v>2669.05829596413</v>
      </c>
      <c r="I690" s="671">
        <v>2669.05829596413</v>
      </c>
      <c r="J690" s="671">
        <v>2669.05829596413</v>
      </c>
      <c r="K690" s="671">
        <v>2669.05829596413</v>
      </c>
      <c r="L690" s="671">
        <v>2669.05829596413</v>
      </c>
      <c r="M690" s="671">
        <v>2669.05829596413</v>
      </c>
      <c r="N690" s="674">
        <v>2669.05829596413</v>
      </c>
      <c r="O690" s="674">
        <v>2669.05829596413</v>
      </c>
    </row>
    <row r="691" s="597" customFormat="1" spans="1:15">
      <c r="A691" s="618"/>
      <c r="B691" s="526" t="s">
        <v>1061</v>
      </c>
      <c r="C691" s="597">
        <v>4509.937189296</v>
      </c>
      <c r="D691" s="663">
        <v>1991.70984455959</v>
      </c>
      <c r="E691" s="663">
        <v>1991.70984455959</v>
      </c>
      <c r="F691" s="663">
        <v>1991.70984455959</v>
      </c>
      <c r="G691" s="663">
        <v>1991.70984455959</v>
      </c>
      <c r="H691" s="663">
        <v>1991.70984455959</v>
      </c>
      <c r="I691" s="663">
        <v>1991.70984455959</v>
      </c>
      <c r="J691" s="663">
        <v>1991.70984455959</v>
      </c>
      <c r="K691" s="663">
        <v>1991.70984455959</v>
      </c>
      <c r="L691" s="663">
        <v>1991.70984455959</v>
      </c>
      <c r="M691" s="663">
        <v>1991.70984455959</v>
      </c>
      <c r="N691" s="666">
        <v>1991.70984455959</v>
      </c>
      <c r="O691" s="666">
        <v>1991.70984455959</v>
      </c>
    </row>
    <row r="692" s="597" customFormat="1" spans="1:15">
      <c r="A692" s="618"/>
      <c r="B692" s="526" t="s">
        <v>1062</v>
      </c>
      <c r="C692" s="597">
        <v>4509.937189296</v>
      </c>
      <c r="D692" s="663">
        <v>2059.28571428571</v>
      </c>
      <c r="E692" s="663">
        <v>2059.28571428571</v>
      </c>
      <c r="F692" s="663">
        <v>2059.28571428571</v>
      </c>
      <c r="G692" s="663">
        <v>2059.28571428571</v>
      </c>
      <c r="H692" s="663">
        <v>2059.28571428571</v>
      </c>
      <c r="I692" s="663">
        <v>2059.28571428571</v>
      </c>
      <c r="J692" s="663">
        <v>2059.28571428571</v>
      </c>
      <c r="K692" s="663">
        <v>2059.28571428571</v>
      </c>
      <c r="L692" s="663">
        <v>2059.28571428571</v>
      </c>
      <c r="M692" s="663">
        <v>2059.28571428571</v>
      </c>
      <c r="N692" s="666">
        <v>2059.28571428571</v>
      </c>
      <c r="O692" s="666">
        <v>2059.28571428571</v>
      </c>
    </row>
    <row r="693" s="597" customFormat="1" spans="1:15">
      <c r="A693" s="618"/>
      <c r="B693" s="526" t="s">
        <v>1063</v>
      </c>
      <c r="C693" s="597">
        <v>4849.08256880734</v>
      </c>
      <c r="D693" s="663">
        <v>1991.70984455959</v>
      </c>
      <c r="E693" s="663">
        <v>1991.70984455959</v>
      </c>
      <c r="F693" s="663">
        <v>1991.70984455959</v>
      </c>
      <c r="G693" s="663">
        <v>1991.70984455959</v>
      </c>
      <c r="H693" s="663">
        <v>1991.70984455959</v>
      </c>
      <c r="I693" s="663">
        <v>1991.70984455959</v>
      </c>
      <c r="J693" s="663">
        <v>1991.70984455959</v>
      </c>
      <c r="K693" s="663">
        <v>1991.70984455959</v>
      </c>
      <c r="L693" s="663">
        <v>1991.70984455959</v>
      </c>
      <c r="M693" s="663">
        <v>1991.70984455959</v>
      </c>
      <c r="N693" s="666">
        <v>1991.70984455959</v>
      </c>
      <c r="O693" s="666">
        <v>1991.70984455959</v>
      </c>
    </row>
    <row r="694" s="597" customFormat="1" spans="1:15">
      <c r="A694" s="618"/>
      <c r="B694" s="526" t="s">
        <v>1064</v>
      </c>
      <c r="C694" s="597">
        <v>5818.89908256881</v>
      </c>
      <c r="D694" s="663">
        <v>9298.29576690489</v>
      </c>
      <c r="E694" s="663">
        <v>9298.29576690489</v>
      </c>
      <c r="F694" s="663">
        <v>9298.29576690489</v>
      </c>
      <c r="G694" s="663">
        <v>9298.29576690489</v>
      </c>
      <c r="H694" s="663">
        <v>9298.29576690489</v>
      </c>
      <c r="I694" s="663">
        <v>9298.29576690489</v>
      </c>
      <c r="J694" s="663">
        <v>9298.29576690489</v>
      </c>
      <c r="K694" s="663">
        <v>9298.29576690489</v>
      </c>
      <c r="L694" s="663">
        <v>9298.29576690489</v>
      </c>
      <c r="M694" s="663">
        <v>9298.29576690489</v>
      </c>
      <c r="N694" s="666">
        <v>9298.29576690489</v>
      </c>
      <c r="O694" s="666">
        <v>9298.29576690489</v>
      </c>
    </row>
    <row r="695" s="597" customFormat="1" spans="1:15">
      <c r="A695" s="618"/>
      <c r="B695" s="526" t="s">
        <v>1065</v>
      </c>
      <c r="C695" s="597">
        <v>6788.71559633027</v>
      </c>
      <c r="D695" s="663">
        <v>9921.8618164512</v>
      </c>
      <c r="E695" s="663">
        <v>9921.8618164512</v>
      </c>
      <c r="F695" s="663">
        <v>9921.8618164512</v>
      </c>
      <c r="G695" s="663">
        <v>9921.8618164512</v>
      </c>
      <c r="H695" s="663">
        <v>9921.8618164512</v>
      </c>
      <c r="I695" s="663">
        <v>9921.8618164512</v>
      </c>
      <c r="J695" s="663">
        <v>9921.8618164512</v>
      </c>
      <c r="K695" s="663">
        <v>9921.8618164512</v>
      </c>
      <c r="L695" s="663">
        <v>9921.8618164512</v>
      </c>
      <c r="M695" s="663">
        <v>9921.8618164512</v>
      </c>
      <c r="N695" s="666">
        <v>9921.8618164512</v>
      </c>
      <c r="O695" s="666">
        <v>9921.8618164512</v>
      </c>
    </row>
    <row r="696" s="597" customFormat="1" spans="1:15">
      <c r="A696" s="618"/>
      <c r="B696" s="526" t="s">
        <v>1066</v>
      </c>
      <c r="C696" s="597">
        <v>8728.34862385321</v>
      </c>
      <c r="D696" s="663">
        <v>12441.6981925179</v>
      </c>
      <c r="E696" s="663">
        <v>12441.6981925179</v>
      </c>
      <c r="F696" s="663">
        <v>12441.6981925179</v>
      </c>
      <c r="G696" s="663">
        <v>12441.6981925179</v>
      </c>
      <c r="H696" s="663">
        <v>12441.6981925179</v>
      </c>
      <c r="I696" s="663">
        <v>12441.6981925179</v>
      </c>
      <c r="J696" s="663">
        <v>12441.6981925179</v>
      </c>
      <c r="K696" s="663">
        <v>12441.6981925179</v>
      </c>
      <c r="L696" s="663">
        <v>12441.6981925179</v>
      </c>
      <c r="M696" s="663">
        <v>12441.6981925179</v>
      </c>
      <c r="N696" s="666">
        <v>12441.6981925179</v>
      </c>
      <c r="O696" s="666">
        <v>12441.6981925179</v>
      </c>
    </row>
    <row r="697" s="597" customFormat="1" spans="1:15">
      <c r="A697" s="618"/>
      <c r="B697" s="526" t="s">
        <v>1067</v>
      </c>
      <c r="C697" s="597">
        <v>8728.34862385321</v>
      </c>
      <c r="D697" s="663">
        <v>12441.6981925179</v>
      </c>
      <c r="E697" s="663">
        <v>12441.6981925179</v>
      </c>
      <c r="F697" s="663">
        <v>12441.6981925179</v>
      </c>
      <c r="G697" s="663">
        <v>12441.6981925179</v>
      </c>
      <c r="H697" s="663">
        <v>12441.6981925179</v>
      </c>
      <c r="I697" s="663">
        <v>12441.6981925179</v>
      </c>
      <c r="J697" s="663">
        <v>12441.6981925179</v>
      </c>
      <c r="K697" s="663">
        <v>12441.6981925179</v>
      </c>
      <c r="L697" s="663">
        <v>12441.6981925179</v>
      </c>
      <c r="M697" s="663">
        <v>12441.6981925179</v>
      </c>
      <c r="N697" s="666">
        <v>12441.6981925179</v>
      </c>
      <c r="O697" s="666">
        <v>12441.6981925179</v>
      </c>
    </row>
    <row r="698" s="597" customFormat="1" spans="1:15">
      <c r="A698" s="618"/>
      <c r="B698" s="526" t="s">
        <v>1068</v>
      </c>
      <c r="C698" s="597">
        <v>10823.8492543104</v>
      </c>
      <c r="D698" s="663">
        <v>10032.6727887869</v>
      </c>
      <c r="E698" s="663">
        <v>10032.6727887869</v>
      </c>
      <c r="F698" s="663">
        <v>10032.6727887869</v>
      </c>
      <c r="G698" s="663">
        <v>10032.6727887869</v>
      </c>
      <c r="H698" s="663">
        <v>10032.6727887869</v>
      </c>
      <c r="I698" s="663">
        <v>10032.6727887869</v>
      </c>
      <c r="J698" s="663">
        <v>10032.6727887869</v>
      </c>
      <c r="K698" s="663">
        <v>10032.6727887869</v>
      </c>
      <c r="L698" s="663">
        <v>10032.6727887869</v>
      </c>
      <c r="M698" s="663">
        <v>10032.6727887869</v>
      </c>
      <c r="N698" s="666">
        <v>10032.6727887869</v>
      </c>
      <c r="O698" s="666">
        <v>10032.6727887869</v>
      </c>
    </row>
    <row r="699" s="597" customFormat="1" spans="1:15">
      <c r="A699" s="618"/>
      <c r="B699" s="526" t="s">
        <v>1069</v>
      </c>
      <c r="C699" s="597">
        <v>10823.8492543104</v>
      </c>
      <c r="D699" s="663">
        <v>10032.6727887869</v>
      </c>
      <c r="E699" s="663">
        <v>10032.6727887869</v>
      </c>
      <c r="F699" s="663">
        <v>10032.6727887869</v>
      </c>
      <c r="G699" s="663">
        <v>10032.6727887869</v>
      </c>
      <c r="H699" s="663">
        <v>10032.6727887869</v>
      </c>
      <c r="I699" s="663">
        <v>10032.6727887869</v>
      </c>
      <c r="J699" s="663">
        <v>10032.6727887869</v>
      </c>
      <c r="K699" s="663">
        <v>10032.6727887869</v>
      </c>
      <c r="L699" s="663">
        <v>10032.6727887869</v>
      </c>
      <c r="M699" s="663">
        <v>10032.6727887869</v>
      </c>
      <c r="N699" s="666">
        <v>10032.6727887869</v>
      </c>
      <c r="O699" s="666">
        <v>10032.6727887869</v>
      </c>
    </row>
    <row r="700" s="597" customFormat="1" spans="1:15">
      <c r="A700" s="618"/>
      <c r="B700" s="526" t="s">
        <v>1070</v>
      </c>
      <c r="C700" s="597">
        <v>9698.16513761468</v>
      </c>
      <c r="D700" s="663">
        <v>9921.8618164512</v>
      </c>
      <c r="E700" s="663">
        <v>9921.8618164512</v>
      </c>
      <c r="F700" s="663">
        <v>9921.8618164512</v>
      </c>
      <c r="G700" s="663">
        <v>9921.8618164512</v>
      </c>
      <c r="H700" s="663">
        <v>9921.8618164512</v>
      </c>
      <c r="I700" s="663">
        <v>9921.8618164512</v>
      </c>
      <c r="J700" s="663">
        <v>9921.8618164512</v>
      </c>
      <c r="K700" s="663">
        <v>9921.8618164512</v>
      </c>
      <c r="L700" s="663">
        <v>9921.8618164512</v>
      </c>
      <c r="M700" s="663">
        <v>9921.8618164512</v>
      </c>
      <c r="N700" s="666">
        <v>9921.8618164512</v>
      </c>
      <c r="O700" s="666">
        <v>9921.8618164512</v>
      </c>
    </row>
    <row r="701" s="597" customFormat="1" spans="1:15">
      <c r="A701" s="618"/>
      <c r="B701" s="526" t="s">
        <v>1071</v>
      </c>
      <c r="C701" s="597">
        <v>5818.89908256881</v>
      </c>
      <c r="D701" s="663">
        <v>1991.70984455959</v>
      </c>
      <c r="E701" s="663">
        <v>1991.70984455959</v>
      </c>
      <c r="F701" s="663">
        <v>1991.70984455959</v>
      </c>
      <c r="G701" s="663">
        <v>1991.70984455959</v>
      </c>
      <c r="H701" s="663">
        <v>1991.70984455959</v>
      </c>
      <c r="I701" s="663">
        <v>1991.70984455959</v>
      </c>
      <c r="J701" s="663">
        <v>1991.70984455959</v>
      </c>
      <c r="K701" s="663">
        <v>1991.70984455959</v>
      </c>
      <c r="L701" s="663">
        <v>1991.70984455959</v>
      </c>
      <c r="M701" s="663">
        <v>1991.70984455959</v>
      </c>
      <c r="N701" s="666">
        <v>1991.70984455959</v>
      </c>
      <c r="O701" s="666">
        <v>1991.70984455959</v>
      </c>
    </row>
    <row r="702" s="597" customFormat="1" spans="1:15">
      <c r="A702" s="618"/>
      <c r="B702" s="526" t="s">
        <v>1072</v>
      </c>
      <c r="C702" s="597">
        <v>4679.15898192549</v>
      </c>
      <c r="D702" s="663">
        <v>2059.28571428571</v>
      </c>
      <c r="E702" s="663">
        <v>2059.28571428571</v>
      </c>
      <c r="F702" s="663">
        <v>2059.28571428571</v>
      </c>
      <c r="G702" s="663">
        <v>2059.28571428571</v>
      </c>
      <c r="H702" s="663">
        <v>2059.28571428571</v>
      </c>
      <c r="I702" s="663">
        <v>2059.28571428571</v>
      </c>
      <c r="J702" s="663">
        <v>2059.28571428571</v>
      </c>
      <c r="K702" s="663">
        <v>2059.28571428571</v>
      </c>
      <c r="L702" s="663">
        <v>2059.28571428571</v>
      </c>
      <c r="M702" s="663">
        <v>2059.28571428571</v>
      </c>
      <c r="N702" s="666">
        <v>2059.28571428571</v>
      </c>
      <c r="O702" s="666">
        <v>2059.28571428571</v>
      </c>
    </row>
    <row r="703" s="597" customFormat="1" spans="1:15">
      <c r="A703" s="618"/>
      <c r="B703" s="526" t="s">
        <v>1073</v>
      </c>
      <c r="C703" s="597">
        <v>4539.0335582592</v>
      </c>
      <c r="D703" s="663">
        <v>1969.33990147783</v>
      </c>
      <c r="E703" s="663">
        <v>1969.33990147783</v>
      </c>
      <c r="F703" s="663">
        <v>1969.33990147783</v>
      </c>
      <c r="G703" s="663">
        <v>1969.33990147783</v>
      </c>
      <c r="H703" s="663">
        <v>1969.33990147783</v>
      </c>
      <c r="I703" s="663">
        <v>1969.33990147783</v>
      </c>
      <c r="J703" s="663">
        <v>1969.33990147783</v>
      </c>
      <c r="K703" s="663">
        <v>1969.33990147783</v>
      </c>
      <c r="L703" s="663">
        <v>1969.33990147783</v>
      </c>
      <c r="M703" s="663">
        <v>1969.33990147783</v>
      </c>
      <c r="N703" s="666">
        <v>1969.33990147783</v>
      </c>
      <c r="O703" s="666">
        <v>1969.33990147783</v>
      </c>
    </row>
    <row r="704" s="597" customFormat="1" spans="1:15">
      <c r="A704" s="618"/>
      <c r="B704" s="526" t="s">
        <v>1074</v>
      </c>
      <c r="C704" s="597">
        <v>4539.0335582592</v>
      </c>
      <c r="D704" s="663">
        <v>2039.32664512838</v>
      </c>
      <c r="E704" s="663">
        <v>2039.32664512838</v>
      </c>
      <c r="F704" s="663">
        <v>2039.32664512838</v>
      </c>
      <c r="G704" s="663">
        <v>2039.32664512838</v>
      </c>
      <c r="H704" s="663">
        <v>2039.32664512838</v>
      </c>
      <c r="I704" s="663">
        <v>2039.32664512838</v>
      </c>
      <c r="J704" s="663">
        <v>2039.32664512838</v>
      </c>
      <c r="K704" s="663">
        <v>2039.32664512838</v>
      </c>
      <c r="L704" s="663">
        <v>2039.32664512838</v>
      </c>
      <c r="M704" s="663">
        <v>2039.32664512838</v>
      </c>
      <c r="N704" s="666">
        <v>2039.32664512838</v>
      </c>
      <c r="O704" s="666">
        <v>2039.32664512838</v>
      </c>
    </row>
    <row r="705" s="597" customFormat="1" spans="1:15">
      <c r="A705" s="618"/>
      <c r="B705" s="526" t="s">
        <v>1075</v>
      </c>
      <c r="C705" s="597">
        <v>4877.69643728648</v>
      </c>
      <c r="D705" s="663">
        <v>1969.33990147783</v>
      </c>
      <c r="E705" s="663">
        <v>1969.33990147783</v>
      </c>
      <c r="F705" s="663">
        <v>1969.33990147783</v>
      </c>
      <c r="G705" s="663">
        <v>1969.33990147783</v>
      </c>
      <c r="H705" s="663">
        <v>1969.33990147783</v>
      </c>
      <c r="I705" s="663">
        <v>1969.33990147783</v>
      </c>
      <c r="J705" s="663">
        <v>1969.33990147783</v>
      </c>
      <c r="K705" s="663">
        <v>1969.33990147783</v>
      </c>
      <c r="L705" s="663">
        <v>1969.33990147783</v>
      </c>
      <c r="M705" s="663">
        <v>1969.33990147783</v>
      </c>
      <c r="N705" s="666">
        <v>1969.33990147783</v>
      </c>
      <c r="O705" s="666">
        <v>1969.33990147783</v>
      </c>
    </row>
    <row r="706" s="597" customFormat="1" spans="1:15">
      <c r="A706" s="618"/>
      <c r="B706" s="526" t="s">
        <v>1076</v>
      </c>
      <c r="C706" s="597">
        <v>5853.23572474378</v>
      </c>
      <c r="D706" s="663">
        <v>9264.79721900348</v>
      </c>
      <c r="E706" s="663">
        <v>9264.79721900348</v>
      </c>
      <c r="F706" s="663">
        <v>9264.79721900348</v>
      </c>
      <c r="G706" s="663">
        <v>9264.79721900348</v>
      </c>
      <c r="H706" s="663">
        <v>9264.79721900348</v>
      </c>
      <c r="I706" s="663">
        <v>9264.79721900348</v>
      </c>
      <c r="J706" s="663">
        <v>9264.79721900348</v>
      </c>
      <c r="K706" s="663">
        <v>9264.79721900348</v>
      </c>
      <c r="L706" s="663">
        <v>9264.79721900348</v>
      </c>
      <c r="M706" s="663">
        <v>9264.79721900348</v>
      </c>
      <c r="N706" s="666">
        <v>9264.79721900348</v>
      </c>
      <c r="O706" s="666">
        <v>9264.79721900348</v>
      </c>
    </row>
    <row r="707" s="597" customFormat="1" spans="1:15">
      <c r="A707" s="618"/>
      <c r="B707" s="526" t="s">
        <v>1077</v>
      </c>
      <c r="C707" s="597">
        <v>6828.77501220107</v>
      </c>
      <c r="D707" s="663">
        <v>9879.14332784184</v>
      </c>
      <c r="E707" s="663">
        <v>9879.14332784184</v>
      </c>
      <c r="F707" s="663">
        <v>9879.14332784184</v>
      </c>
      <c r="G707" s="663">
        <v>9879.14332784184</v>
      </c>
      <c r="H707" s="663">
        <v>9879.14332784184</v>
      </c>
      <c r="I707" s="663">
        <v>9879.14332784184</v>
      </c>
      <c r="J707" s="663">
        <v>9879.14332784184</v>
      </c>
      <c r="K707" s="663">
        <v>9879.14332784184</v>
      </c>
      <c r="L707" s="663">
        <v>9879.14332784184</v>
      </c>
      <c r="M707" s="663">
        <v>9879.14332784184</v>
      </c>
      <c r="N707" s="666">
        <v>9879.14332784184</v>
      </c>
      <c r="O707" s="666">
        <v>9879.14332784184</v>
      </c>
    </row>
    <row r="708" s="597" customFormat="1" spans="1:15">
      <c r="A708" s="618"/>
      <c r="B708" s="526" t="s">
        <v>1078</v>
      </c>
      <c r="C708" s="597">
        <v>8779.85358711567</v>
      </c>
      <c r="D708" s="663">
        <v>12378.9568504444</v>
      </c>
      <c r="E708" s="663">
        <v>12378.9568504444</v>
      </c>
      <c r="F708" s="663">
        <v>12378.9568504444</v>
      </c>
      <c r="G708" s="663">
        <v>12378.9568504444</v>
      </c>
      <c r="H708" s="663">
        <v>12378.9568504444</v>
      </c>
      <c r="I708" s="663">
        <v>12378.9568504444</v>
      </c>
      <c r="J708" s="663">
        <v>12378.9568504444</v>
      </c>
      <c r="K708" s="663">
        <v>12378.9568504444</v>
      </c>
      <c r="L708" s="663">
        <v>12378.9568504444</v>
      </c>
      <c r="M708" s="663">
        <v>12378.9568504444</v>
      </c>
      <c r="N708" s="666">
        <v>12378.9568504444</v>
      </c>
      <c r="O708" s="666">
        <v>12378.9568504444</v>
      </c>
    </row>
    <row r="709" s="597" customFormat="1" spans="1:15">
      <c r="A709" s="618"/>
      <c r="B709" s="526" t="s">
        <v>1079</v>
      </c>
      <c r="C709" s="597">
        <v>8779.85358711567</v>
      </c>
      <c r="D709" s="663">
        <v>12378.9568504444</v>
      </c>
      <c r="E709" s="663">
        <v>12378.9568504444</v>
      </c>
      <c r="F709" s="663">
        <v>12378.9568504444</v>
      </c>
      <c r="G709" s="663">
        <v>12378.9568504444</v>
      </c>
      <c r="H709" s="663">
        <v>12378.9568504444</v>
      </c>
      <c r="I709" s="663">
        <v>12378.9568504444</v>
      </c>
      <c r="J709" s="663">
        <v>12378.9568504444</v>
      </c>
      <c r="K709" s="663">
        <v>12378.9568504444</v>
      </c>
      <c r="L709" s="663">
        <v>12378.9568504444</v>
      </c>
      <c r="M709" s="663">
        <v>12378.9568504444</v>
      </c>
      <c r="N709" s="666">
        <v>12378.9568504444</v>
      </c>
      <c r="O709" s="666">
        <v>12378.9568504444</v>
      </c>
    </row>
    <row r="710" s="597" customFormat="1" spans="1:15">
      <c r="A710" s="618"/>
      <c r="B710" s="526" t="s">
        <v>1080</v>
      </c>
      <c r="C710" s="597">
        <v>10893.6805398221</v>
      </c>
      <c r="D710" s="635">
        <v>10893.6805398221</v>
      </c>
      <c r="E710" s="635">
        <v>10893.6805398221</v>
      </c>
      <c r="F710" s="635">
        <v>10893.6805398221</v>
      </c>
      <c r="G710" s="635">
        <v>10893.6805398221</v>
      </c>
      <c r="H710" s="635">
        <v>10893.6805398221</v>
      </c>
      <c r="I710" s="635">
        <v>10893.6805398221</v>
      </c>
      <c r="J710" s="635">
        <v>10893.6805398221</v>
      </c>
      <c r="K710" s="635">
        <v>10893.6805398221</v>
      </c>
      <c r="L710" s="635">
        <v>10893.6805398221</v>
      </c>
      <c r="M710" s="635">
        <v>10893.6805398221</v>
      </c>
      <c r="N710" s="640">
        <v>10893.6805398221</v>
      </c>
      <c r="O710" s="640">
        <v>10893.6805398221</v>
      </c>
    </row>
    <row r="711" s="597" customFormat="1" spans="1:15">
      <c r="A711" s="618"/>
      <c r="B711" s="526" t="s">
        <v>1081</v>
      </c>
      <c r="C711" s="597">
        <v>10893.6805398221</v>
      </c>
      <c r="D711" s="635">
        <v>10893.6805398221</v>
      </c>
      <c r="E711" s="635">
        <v>10893.6805398221</v>
      </c>
      <c r="F711" s="635">
        <v>10893.6805398221</v>
      </c>
      <c r="G711" s="635">
        <v>10893.6805398221</v>
      </c>
      <c r="H711" s="635">
        <v>10893.6805398221</v>
      </c>
      <c r="I711" s="635">
        <v>10893.6805398221</v>
      </c>
      <c r="J711" s="635">
        <v>10893.6805398221</v>
      </c>
      <c r="K711" s="635">
        <v>10893.6805398221</v>
      </c>
      <c r="L711" s="635">
        <v>10893.6805398221</v>
      </c>
      <c r="M711" s="635">
        <v>10893.6805398221</v>
      </c>
      <c r="N711" s="640">
        <v>10893.6805398221</v>
      </c>
      <c r="O711" s="640">
        <v>10893.6805398221</v>
      </c>
    </row>
    <row r="712" s="597" customFormat="1" spans="1:15">
      <c r="A712" s="618"/>
      <c r="B712" s="526" t="s">
        <v>1082</v>
      </c>
      <c r="C712" s="597">
        <v>9755.39287457296</v>
      </c>
      <c r="D712" s="663">
        <v>9879.14332784184</v>
      </c>
      <c r="E712" s="663">
        <v>9879.14332784184</v>
      </c>
      <c r="F712" s="663">
        <v>9879.14332784184</v>
      </c>
      <c r="G712" s="663">
        <v>9879.14332784184</v>
      </c>
      <c r="H712" s="663">
        <v>9879.14332784184</v>
      </c>
      <c r="I712" s="663">
        <v>9879.14332784184</v>
      </c>
      <c r="J712" s="663">
        <v>9879.14332784184</v>
      </c>
      <c r="K712" s="663">
        <v>9879.14332784184</v>
      </c>
      <c r="L712" s="663">
        <v>9879.14332784184</v>
      </c>
      <c r="M712" s="663">
        <v>9879.14332784184</v>
      </c>
      <c r="N712" s="666">
        <v>9879.14332784184</v>
      </c>
      <c r="O712" s="666">
        <v>9879.14332784184</v>
      </c>
    </row>
    <row r="713" s="597" customFormat="1" spans="1:15">
      <c r="A713" s="618"/>
      <c r="B713" s="526" t="s">
        <v>1083</v>
      </c>
      <c r="C713" s="597">
        <v>5853.23572474378</v>
      </c>
      <c r="D713" s="663">
        <v>1969.33990147783</v>
      </c>
      <c r="E713" s="663">
        <v>1969.33990147783</v>
      </c>
      <c r="F713" s="663">
        <v>1969.33990147783</v>
      </c>
      <c r="G713" s="663">
        <v>1969.33990147783</v>
      </c>
      <c r="H713" s="663">
        <v>1969.33990147783</v>
      </c>
      <c r="I713" s="663">
        <v>1969.33990147783</v>
      </c>
      <c r="J713" s="663">
        <v>1969.33990147783</v>
      </c>
      <c r="K713" s="663">
        <v>1969.33990147783</v>
      </c>
      <c r="L713" s="663">
        <v>1969.33990147783</v>
      </c>
      <c r="M713" s="663">
        <v>1969.33990147783</v>
      </c>
      <c r="N713" s="666">
        <v>1969.33990147783</v>
      </c>
      <c r="O713" s="666">
        <v>1969.33990147783</v>
      </c>
    </row>
    <row r="714" s="597" customFormat="1" spans="1:15">
      <c r="A714" s="618"/>
      <c r="B714" s="526" t="s">
        <v>1084</v>
      </c>
      <c r="C714" s="597">
        <v>5853.23572474378</v>
      </c>
      <c r="D714" s="663">
        <v>2039.32664512838</v>
      </c>
      <c r="E714" s="663">
        <v>2039.32664512838</v>
      </c>
      <c r="F714" s="663">
        <v>2039.32664512838</v>
      </c>
      <c r="G714" s="663">
        <v>2039.32664512838</v>
      </c>
      <c r="H714" s="663">
        <v>2039.32664512838</v>
      </c>
      <c r="I714" s="663">
        <v>2039.32664512838</v>
      </c>
      <c r="J714" s="663">
        <v>2039.32664512838</v>
      </c>
      <c r="K714" s="663">
        <v>2039.32664512838</v>
      </c>
      <c r="L714" s="663">
        <v>2039.32664512838</v>
      </c>
      <c r="M714" s="663">
        <v>2039.32664512838</v>
      </c>
      <c r="N714" s="666">
        <v>2039.32664512838</v>
      </c>
      <c r="O714" s="666">
        <v>2039.32664512838</v>
      </c>
    </row>
    <row r="715" s="597" customFormat="1" spans="1:15">
      <c r="A715" s="618"/>
      <c r="B715" s="526" t="s">
        <v>1085</v>
      </c>
      <c r="C715" s="597">
        <v>4780.26214340786</v>
      </c>
      <c r="D715" s="663">
        <v>2948.887130112</v>
      </c>
      <c r="E715" s="663">
        <v>2948.887130112</v>
      </c>
      <c r="F715" s="663">
        <v>2948.887130112</v>
      </c>
      <c r="G715" s="663">
        <v>2948.887130112</v>
      </c>
      <c r="H715" s="671">
        <v>2735.29411764706</v>
      </c>
      <c r="I715" s="671">
        <v>2735.29411764706</v>
      </c>
      <c r="J715" s="671">
        <v>2735.29411764706</v>
      </c>
      <c r="K715" s="671">
        <v>2735.29411764706</v>
      </c>
      <c r="L715" s="671">
        <v>2735.29411764706</v>
      </c>
      <c r="M715" s="671">
        <v>2735.29411764706</v>
      </c>
      <c r="N715" s="674">
        <v>2735.29411764706</v>
      </c>
      <c r="O715" s="674">
        <v>2735.29411764706</v>
      </c>
    </row>
    <row r="716" s="597" customFormat="1" spans="1:15">
      <c r="A716" s="618"/>
      <c r="B716" s="526" t="s">
        <v>1086</v>
      </c>
      <c r="C716" s="597">
        <v>4780.26214340786</v>
      </c>
      <c r="D716" s="663">
        <v>2948.887130112</v>
      </c>
      <c r="E716" s="663">
        <v>2948.887130112</v>
      </c>
      <c r="F716" s="663">
        <v>2948.887130112</v>
      </c>
      <c r="G716" s="663">
        <v>2948.887130112</v>
      </c>
      <c r="H716" s="671">
        <v>2861.53846153846</v>
      </c>
      <c r="I716" s="671">
        <v>2861.53846153846</v>
      </c>
      <c r="J716" s="671">
        <v>2861.53846153846</v>
      </c>
      <c r="K716" s="671">
        <v>2861.53846153846</v>
      </c>
      <c r="L716" s="671">
        <v>2861.53846153846</v>
      </c>
      <c r="M716" s="671">
        <v>2861.53846153846</v>
      </c>
      <c r="N716" s="674">
        <v>2861.53846153846</v>
      </c>
      <c r="O716" s="674">
        <v>2861.53846153846</v>
      </c>
    </row>
    <row r="717" s="597" customFormat="1" spans="1:15">
      <c r="A717" s="618"/>
      <c r="B717" s="526" t="s">
        <v>1087</v>
      </c>
      <c r="C717" s="597">
        <v>5897.774260224</v>
      </c>
      <c r="D717" s="663">
        <v>2948.887130112</v>
      </c>
      <c r="E717" s="663">
        <v>2948.887130112</v>
      </c>
      <c r="F717" s="663">
        <v>2948.887130112</v>
      </c>
      <c r="G717" s="663">
        <v>2948.887130112</v>
      </c>
      <c r="H717" s="671">
        <v>2735.29411764706</v>
      </c>
      <c r="I717" s="671">
        <v>2735.29411764706</v>
      </c>
      <c r="J717" s="671">
        <v>2735.29411764706</v>
      </c>
      <c r="K717" s="671">
        <v>2735.29411764706</v>
      </c>
      <c r="L717" s="671">
        <v>2735.29411764706</v>
      </c>
      <c r="M717" s="671">
        <v>2735.29411764706</v>
      </c>
      <c r="N717" s="674">
        <v>2735.29411764706</v>
      </c>
      <c r="O717" s="674">
        <v>2735.29411764706</v>
      </c>
    </row>
    <row r="718" s="597" customFormat="1" spans="1:15">
      <c r="A718" s="618"/>
      <c r="B718" s="526" t="s">
        <v>1088</v>
      </c>
      <c r="C718" s="597">
        <v>6880.736636928</v>
      </c>
      <c r="D718" s="663">
        <v>10454.3325526932</v>
      </c>
      <c r="E718" s="663">
        <v>10454.3325526932</v>
      </c>
      <c r="F718" s="663">
        <v>10454.3325526932</v>
      </c>
      <c r="G718" s="663">
        <v>10454.3325526932</v>
      </c>
      <c r="H718" s="671">
        <v>10162.2516556291</v>
      </c>
      <c r="I718" s="671">
        <v>10162.2516556291</v>
      </c>
      <c r="J718" s="671">
        <v>10162.2516556291</v>
      </c>
      <c r="K718" s="671">
        <v>10162.2516556291</v>
      </c>
      <c r="L718" s="671">
        <v>10162.2516556291</v>
      </c>
      <c r="M718" s="671">
        <v>10162.2516556291</v>
      </c>
      <c r="N718" s="674">
        <v>10162.2516556291</v>
      </c>
      <c r="O718" s="674">
        <v>10162.2516556291</v>
      </c>
    </row>
    <row r="719" s="597" customFormat="1" spans="1:15">
      <c r="A719" s="618"/>
      <c r="B719" s="526" t="s">
        <v>1089</v>
      </c>
      <c r="C719" s="597">
        <v>7863.699013632</v>
      </c>
      <c r="D719" s="663">
        <v>9931.03448275862</v>
      </c>
      <c r="E719" s="663">
        <v>9931.03448275862</v>
      </c>
      <c r="F719" s="663">
        <v>9931.03448275862</v>
      </c>
      <c r="G719" s="663">
        <v>9931.03448275862</v>
      </c>
      <c r="H719" s="671">
        <v>10508.4745762712</v>
      </c>
      <c r="I719" s="671">
        <v>10508.4745762712</v>
      </c>
      <c r="J719" s="671">
        <v>10508.4745762712</v>
      </c>
      <c r="K719" s="671">
        <v>10508.4745762712</v>
      </c>
      <c r="L719" s="671">
        <v>10508.4745762712</v>
      </c>
      <c r="M719" s="671">
        <v>10508.4745762712</v>
      </c>
      <c r="N719" s="674">
        <v>10508.4745762712</v>
      </c>
      <c r="O719" s="674">
        <v>10508.4745762712</v>
      </c>
    </row>
    <row r="720" s="597" customFormat="1" spans="1:15">
      <c r="A720" s="618"/>
      <c r="B720" s="526" t="s">
        <v>1090</v>
      </c>
      <c r="C720" s="597">
        <v>9829.62376704</v>
      </c>
      <c r="D720" s="663">
        <v>13561.3963707381</v>
      </c>
      <c r="E720" s="663">
        <v>13561.3963707381</v>
      </c>
      <c r="F720" s="663">
        <v>13561.3963707381</v>
      </c>
      <c r="G720" s="663">
        <v>13561.3963707381</v>
      </c>
      <c r="H720" s="671">
        <v>13036.2953692115</v>
      </c>
      <c r="I720" s="671">
        <v>13036.2953692115</v>
      </c>
      <c r="J720" s="671">
        <v>13036.2953692115</v>
      </c>
      <c r="K720" s="671">
        <v>13036.2953692115</v>
      </c>
      <c r="L720" s="671">
        <v>13036.2953692115</v>
      </c>
      <c r="M720" s="671">
        <v>13036.2953692115</v>
      </c>
      <c r="N720" s="674">
        <v>13036.2953692115</v>
      </c>
      <c r="O720" s="674">
        <v>13036.2953692115</v>
      </c>
    </row>
    <row r="721" s="597" customFormat="1" spans="1:15">
      <c r="A721" s="618"/>
      <c r="B721" s="526" t="s">
        <v>1091</v>
      </c>
      <c r="C721" s="597">
        <v>9829.62376704</v>
      </c>
      <c r="D721" s="663">
        <v>13561.3963707381</v>
      </c>
      <c r="E721" s="663">
        <v>13561.3963707381</v>
      </c>
      <c r="F721" s="663">
        <v>13561.3963707381</v>
      </c>
      <c r="G721" s="663">
        <v>13561.3963707381</v>
      </c>
      <c r="H721" s="671">
        <v>13036.2953692115</v>
      </c>
      <c r="I721" s="671">
        <v>13036.2953692115</v>
      </c>
      <c r="J721" s="671">
        <v>13036.2953692115</v>
      </c>
      <c r="K721" s="671">
        <v>13036.2953692115</v>
      </c>
      <c r="L721" s="671">
        <v>13036.2953692115</v>
      </c>
      <c r="M721" s="671">
        <v>13036.2953692115</v>
      </c>
      <c r="N721" s="674">
        <v>13036.2953692115</v>
      </c>
      <c r="O721" s="674">
        <v>13036.2953692115</v>
      </c>
    </row>
    <row r="722" s="597" customFormat="1" spans="1:15">
      <c r="A722" s="618"/>
      <c r="B722" s="526" t="s">
        <v>1092</v>
      </c>
      <c r="C722" s="597">
        <v>11117.6770249618</v>
      </c>
      <c r="D722" s="663">
        <v>11136.6825708672</v>
      </c>
      <c r="E722" s="663">
        <v>11136.6825708672</v>
      </c>
      <c r="F722" s="663">
        <v>11136.6825708672</v>
      </c>
      <c r="G722" s="663">
        <v>11136.6825708672</v>
      </c>
      <c r="H722" s="671">
        <v>11708.1545064378</v>
      </c>
      <c r="I722" s="671">
        <v>11708.1545064378</v>
      </c>
      <c r="J722" s="671">
        <v>11708.1545064378</v>
      </c>
      <c r="K722" s="671">
        <v>11708.1545064378</v>
      </c>
      <c r="L722" s="671">
        <v>11708.1545064378</v>
      </c>
      <c r="M722" s="671">
        <v>11708.1545064378</v>
      </c>
      <c r="N722" s="674">
        <v>11708.1545064378</v>
      </c>
      <c r="O722" s="674">
        <v>11708.1545064378</v>
      </c>
    </row>
    <row r="723" s="597" customFormat="1" spans="1:15">
      <c r="A723" s="618"/>
      <c r="B723" s="526" t="s">
        <v>1093</v>
      </c>
      <c r="C723" s="597">
        <v>11117.6770249618</v>
      </c>
      <c r="D723" s="663">
        <v>11136.6825708672</v>
      </c>
      <c r="E723" s="663">
        <v>11136.6825708672</v>
      </c>
      <c r="F723" s="663">
        <v>11136.6825708672</v>
      </c>
      <c r="G723" s="663">
        <v>11136.6825708672</v>
      </c>
      <c r="H723" s="671">
        <v>11708.1545064378</v>
      </c>
      <c r="I723" s="671">
        <v>11708.1545064378</v>
      </c>
      <c r="J723" s="671">
        <v>11708.1545064378</v>
      </c>
      <c r="K723" s="671">
        <v>11708.1545064378</v>
      </c>
      <c r="L723" s="671">
        <v>11708.1545064378</v>
      </c>
      <c r="M723" s="671">
        <v>11708.1545064378</v>
      </c>
      <c r="N723" s="674">
        <v>11708.1545064378</v>
      </c>
      <c r="O723" s="674">
        <v>11708.1545064378</v>
      </c>
    </row>
    <row r="724" s="597" customFormat="1" spans="1:15">
      <c r="A724" s="618"/>
      <c r="B724" s="526" t="s">
        <v>1094</v>
      </c>
      <c r="C724" s="597">
        <v>10812.586143744</v>
      </c>
      <c r="D724" s="663">
        <v>9931.03448275862</v>
      </c>
      <c r="E724" s="663">
        <v>9931.03448275862</v>
      </c>
      <c r="F724" s="663">
        <v>9931.03448275862</v>
      </c>
      <c r="G724" s="663">
        <v>9931.03448275862</v>
      </c>
      <c r="H724" s="671">
        <v>10508.4745762712</v>
      </c>
      <c r="I724" s="671">
        <v>10508.4745762712</v>
      </c>
      <c r="J724" s="671">
        <v>10508.4745762712</v>
      </c>
      <c r="K724" s="671">
        <v>10508.4745762712</v>
      </c>
      <c r="L724" s="671">
        <v>10508.4745762712</v>
      </c>
      <c r="M724" s="671">
        <v>10508.4745762712</v>
      </c>
      <c r="N724" s="674">
        <v>10508.4745762712</v>
      </c>
      <c r="O724" s="674">
        <v>10508.4745762712</v>
      </c>
    </row>
    <row r="725" s="597" customFormat="1" spans="1:15">
      <c r="A725" s="618"/>
      <c r="B725" s="526" t="s">
        <v>1095</v>
      </c>
      <c r="C725" s="597">
        <v>6880.736636928</v>
      </c>
      <c r="D725" s="663">
        <v>2948.887130112</v>
      </c>
      <c r="E725" s="663">
        <v>2948.887130112</v>
      </c>
      <c r="F725" s="663">
        <v>2948.887130112</v>
      </c>
      <c r="G725" s="663">
        <v>2948.887130112</v>
      </c>
      <c r="H725" s="671">
        <v>2735.29411764706</v>
      </c>
      <c r="I725" s="671">
        <v>2735.29411764706</v>
      </c>
      <c r="J725" s="671">
        <v>2735.29411764706</v>
      </c>
      <c r="K725" s="671">
        <v>2735.29411764706</v>
      </c>
      <c r="L725" s="671">
        <v>2735.29411764706</v>
      </c>
      <c r="M725" s="671">
        <v>2735.29411764706</v>
      </c>
      <c r="N725" s="674">
        <v>2735.29411764706</v>
      </c>
      <c r="O725" s="674">
        <v>2735.29411764706</v>
      </c>
    </row>
    <row r="726" s="597" customFormat="1" spans="1:15">
      <c r="A726" s="618"/>
      <c r="B726" s="526" t="s">
        <v>1096</v>
      </c>
      <c r="C726" s="597">
        <v>6880.736636928</v>
      </c>
      <c r="D726" s="663">
        <v>2948.887130112</v>
      </c>
      <c r="E726" s="663">
        <v>2948.887130112</v>
      </c>
      <c r="F726" s="663">
        <v>2948.887130112</v>
      </c>
      <c r="G726" s="663">
        <v>2948.887130112</v>
      </c>
      <c r="H726" s="671">
        <v>2861.53846153846</v>
      </c>
      <c r="I726" s="671">
        <v>2861.53846153846</v>
      </c>
      <c r="J726" s="671">
        <v>2861.53846153846</v>
      </c>
      <c r="K726" s="671">
        <v>2861.53846153846</v>
      </c>
      <c r="L726" s="671">
        <v>2861.53846153846</v>
      </c>
      <c r="M726" s="671">
        <v>2861.53846153846</v>
      </c>
      <c r="N726" s="674">
        <v>2861.53846153846</v>
      </c>
      <c r="O726" s="674">
        <v>2861.53846153846</v>
      </c>
    </row>
    <row r="727" s="597" customFormat="1" spans="1:15">
      <c r="A727" s="618"/>
      <c r="B727" s="526" t="s">
        <v>1097</v>
      </c>
      <c r="C727" s="597">
        <v>182.341873519999</v>
      </c>
      <c r="D727" s="663">
        <v>252.241844476799</v>
      </c>
      <c r="E727" s="663">
        <v>252.241844476799</v>
      </c>
      <c r="F727" s="663">
        <v>252.241844476799</v>
      </c>
      <c r="G727" s="663">
        <v>252.241844476799</v>
      </c>
      <c r="H727" s="663">
        <v>252.241844476799</v>
      </c>
      <c r="I727" s="663">
        <v>252.241844476799</v>
      </c>
      <c r="J727" s="663">
        <v>252.241844476799</v>
      </c>
      <c r="K727" s="663">
        <v>252.241844476799</v>
      </c>
      <c r="L727" s="663">
        <v>252.241844476799</v>
      </c>
      <c r="M727" s="663">
        <v>252.241844476799</v>
      </c>
      <c r="N727" s="666">
        <v>252.241844476799</v>
      </c>
      <c r="O727" s="666">
        <v>252.241844476799</v>
      </c>
    </row>
    <row r="728" s="597" customFormat="1" spans="1:15">
      <c r="A728" s="618"/>
      <c r="B728" s="526" t="s">
        <v>1098</v>
      </c>
      <c r="C728" s="597">
        <v>295.910511308797</v>
      </c>
      <c r="D728" s="663">
        <v>658.924614181116</v>
      </c>
      <c r="E728" s="663">
        <v>658.924614181116</v>
      </c>
      <c r="F728" s="663">
        <v>658.924614181116</v>
      </c>
      <c r="G728" s="663">
        <v>658.924614181116</v>
      </c>
      <c r="H728" s="663">
        <v>658.924614181116</v>
      </c>
      <c r="I728" s="663">
        <v>658.924614181116</v>
      </c>
      <c r="J728" s="663">
        <v>658.924614181116</v>
      </c>
      <c r="K728" s="663">
        <v>658.924614181116</v>
      </c>
      <c r="L728" s="663">
        <v>658.924614181116</v>
      </c>
      <c r="M728" s="663">
        <v>658.924614181116</v>
      </c>
      <c r="N728" s="666">
        <v>658.924614181116</v>
      </c>
      <c r="O728" s="666">
        <v>658.924614181116</v>
      </c>
    </row>
    <row r="729" s="597" customFormat="1" spans="1:15">
      <c r="A729" s="618"/>
      <c r="B729" s="526" t="s">
        <v>1099</v>
      </c>
      <c r="C729" s="597">
        <v>153.774529447041</v>
      </c>
      <c r="D729" s="663">
        <v>0</v>
      </c>
      <c r="E729" s="663">
        <v>0</v>
      </c>
      <c r="F729" s="663">
        <v>0</v>
      </c>
      <c r="G729" s="663">
        <v>0</v>
      </c>
      <c r="H729" s="663">
        <v>0</v>
      </c>
      <c r="I729" s="663">
        <v>0</v>
      </c>
      <c r="J729" s="663">
        <v>0</v>
      </c>
      <c r="K729" s="663">
        <v>0</v>
      </c>
      <c r="L729" s="663">
        <v>0</v>
      </c>
      <c r="M729" s="663">
        <v>0</v>
      </c>
      <c r="N729" s="666">
        <v>0</v>
      </c>
      <c r="O729" s="666">
        <v>0</v>
      </c>
    </row>
    <row r="730" s="597" customFormat="1" spans="1:15">
      <c r="A730" s="618"/>
      <c r="B730" s="526" t="s">
        <v>1100</v>
      </c>
      <c r="C730" s="597">
        <v>0</v>
      </c>
      <c r="D730" s="663">
        <v>119.84825102656</v>
      </c>
      <c r="E730" s="663">
        <v>119.84825102656</v>
      </c>
      <c r="F730" s="663">
        <v>119.84825102656</v>
      </c>
      <c r="G730" s="663">
        <v>119.84825102656</v>
      </c>
      <c r="H730" s="663">
        <v>119.84825102656</v>
      </c>
      <c r="I730" s="663">
        <v>119.84825102656</v>
      </c>
      <c r="J730" s="663">
        <v>119.84825102656</v>
      </c>
      <c r="K730" s="663">
        <v>119.84825102656</v>
      </c>
      <c r="L730" s="663">
        <v>119.84825102656</v>
      </c>
      <c r="M730" s="663">
        <v>119.84825102656</v>
      </c>
      <c r="N730" s="666">
        <v>119.84825102656</v>
      </c>
      <c r="O730" s="666">
        <v>119.84825102656</v>
      </c>
    </row>
    <row r="731" s="597" customFormat="1" spans="1:15">
      <c r="A731" s="618"/>
      <c r="B731" s="526" t="s">
        <v>1101</v>
      </c>
      <c r="C731" s="597">
        <v>228.470067138558</v>
      </c>
      <c r="D731" s="663">
        <v>266.8141423456</v>
      </c>
      <c r="E731" s="663">
        <v>266.8141423456</v>
      </c>
      <c r="F731" s="663">
        <v>266.8141423456</v>
      </c>
      <c r="G731" s="663">
        <v>266.8141423456</v>
      </c>
      <c r="H731" s="663">
        <v>266.8141423456</v>
      </c>
      <c r="I731" s="663">
        <v>266.8141423456</v>
      </c>
      <c r="J731" s="663">
        <v>266.8141423456</v>
      </c>
      <c r="K731" s="663">
        <v>266.8141423456</v>
      </c>
      <c r="L731" s="663">
        <v>266.8141423456</v>
      </c>
      <c r="M731" s="663">
        <v>266.8141423456</v>
      </c>
      <c r="N731" s="666">
        <v>266.8141423456</v>
      </c>
      <c r="O731" s="666">
        <v>266.8141423456</v>
      </c>
    </row>
    <row r="732" s="597" customFormat="1" spans="1:15">
      <c r="A732" s="618"/>
      <c r="B732" s="526" t="s">
        <v>1102</v>
      </c>
      <c r="C732" s="597">
        <v>295.910511308797</v>
      </c>
      <c r="D732" s="663">
        <v>658.924614181116</v>
      </c>
      <c r="E732" s="663">
        <v>658.924614181116</v>
      </c>
      <c r="F732" s="663">
        <v>658.924614181116</v>
      </c>
      <c r="G732" s="663">
        <v>658.924614181116</v>
      </c>
      <c r="H732" s="663">
        <v>658.924614181116</v>
      </c>
      <c r="I732" s="663">
        <v>658.924614181116</v>
      </c>
      <c r="J732" s="663">
        <v>658.924614181116</v>
      </c>
      <c r="K732" s="663">
        <v>658.924614181116</v>
      </c>
      <c r="L732" s="663">
        <v>658.924614181116</v>
      </c>
      <c r="M732" s="663">
        <v>658.924614181116</v>
      </c>
      <c r="N732" s="666">
        <v>658.924614181116</v>
      </c>
      <c r="O732" s="666">
        <v>658.924614181116</v>
      </c>
    </row>
    <row r="733" s="597" customFormat="1" spans="1:15">
      <c r="A733" s="618"/>
      <c r="B733" s="526" t="s">
        <v>1103</v>
      </c>
      <c r="C733" s="597">
        <v>295.910511308797</v>
      </c>
      <c r="D733" s="663">
        <v>658.924614181116</v>
      </c>
      <c r="E733" s="663">
        <v>658.924614181116</v>
      </c>
      <c r="F733" s="663">
        <v>658.924614181116</v>
      </c>
      <c r="G733" s="663">
        <v>658.924614181116</v>
      </c>
      <c r="H733" s="663">
        <v>658.924614181116</v>
      </c>
      <c r="I733" s="663">
        <v>658.924614181116</v>
      </c>
      <c r="J733" s="663">
        <v>658.924614181116</v>
      </c>
      <c r="K733" s="663">
        <v>658.924614181116</v>
      </c>
      <c r="L733" s="663">
        <v>658.924614181116</v>
      </c>
      <c r="M733" s="663">
        <v>658.924614181116</v>
      </c>
      <c r="N733" s="666">
        <v>658.924614181116</v>
      </c>
      <c r="O733" s="666">
        <v>658.924614181116</v>
      </c>
    </row>
    <row r="734" s="597" customFormat="1" spans="1:15">
      <c r="A734" s="618"/>
      <c r="B734" s="526" t="s">
        <v>1104</v>
      </c>
      <c r="C734" s="597">
        <v>51.9956941855926</v>
      </c>
      <c r="D734" s="663">
        <v>154.440925227522</v>
      </c>
      <c r="E734" s="663">
        <v>154.440925227522</v>
      </c>
      <c r="F734" s="663">
        <v>154.440925227522</v>
      </c>
      <c r="G734" s="663">
        <v>154.440925227522</v>
      </c>
      <c r="H734" s="663">
        <v>154.440925227522</v>
      </c>
      <c r="I734" s="663">
        <v>154.440925227522</v>
      </c>
      <c r="J734" s="663">
        <v>154.440925227522</v>
      </c>
      <c r="K734" s="663">
        <v>154.440925227522</v>
      </c>
      <c r="L734" s="663">
        <v>154.440925227522</v>
      </c>
      <c r="M734" s="663">
        <v>154.440925227522</v>
      </c>
      <c r="N734" s="666">
        <v>154.440925227522</v>
      </c>
      <c r="O734" s="666">
        <v>154.440925227522</v>
      </c>
    </row>
    <row r="735" s="597" customFormat="1" spans="1:15">
      <c r="A735" s="618"/>
      <c r="B735" s="526" t="s">
        <v>1105</v>
      </c>
      <c r="C735" s="597">
        <v>51.9956941855926</v>
      </c>
      <c r="D735" s="663">
        <v>154.440925227522</v>
      </c>
      <c r="E735" s="663">
        <v>154.440925227522</v>
      </c>
      <c r="F735" s="663">
        <v>154.440925227522</v>
      </c>
      <c r="G735" s="663">
        <v>154.440925227522</v>
      </c>
      <c r="H735" s="663">
        <v>154.440925227522</v>
      </c>
      <c r="I735" s="663">
        <v>154.440925227522</v>
      </c>
      <c r="J735" s="663">
        <v>154.440925227522</v>
      </c>
      <c r="K735" s="663">
        <v>154.440925227522</v>
      </c>
      <c r="L735" s="663">
        <v>154.440925227522</v>
      </c>
      <c r="M735" s="663">
        <v>154.440925227522</v>
      </c>
      <c r="N735" s="666">
        <v>154.440925227522</v>
      </c>
      <c r="O735" s="666">
        <v>154.440925227522</v>
      </c>
    </row>
    <row r="736" s="597" customFormat="1" spans="1:15">
      <c r="A736" s="618"/>
      <c r="B736" s="526" t="s">
        <v>1106</v>
      </c>
      <c r="C736" s="597">
        <v>0</v>
      </c>
      <c r="D736" s="663">
        <v>266.8141423456</v>
      </c>
      <c r="E736" s="663">
        <v>266.8141423456</v>
      </c>
      <c r="F736" s="663">
        <v>266.8141423456</v>
      </c>
      <c r="G736" s="663">
        <v>266.8141423456</v>
      </c>
      <c r="H736" s="663">
        <v>266.8141423456</v>
      </c>
      <c r="I736" s="663">
        <v>266.8141423456</v>
      </c>
      <c r="J736" s="663">
        <v>266.8141423456</v>
      </c>
      <c r="K736" s="663">
        <v>266.8141423456</v>
      </c>
      <c r="L736" s="663">
        <v>266.8141423456</v>
      </c>
      <c r="M736" s="663">
        <v>266.8141423456</v>
      </c>
      <c r="N736" s="666">
        <v>266.8141423456</v>
      </c>
      <c r="O736" s="666">
        <v>266.8141423456</v>
      </c>
    </row>
    <row r="737" s="597" customFormat="1" spans="1:15">
      <c r="A737" s="618"/>
      <c r="B737" s="526" t="s">
        <v>1107</v>
      </c>
      <c r="C737" s="597">
        <v>0</v>
      </c>
      <c r="D737" s="635">
        <v>0</v>
      </c>
      <c r="E737" s="635">
        <v>0</v>
      </c>
      <c r="F737" s="635">
        <v>0</v>
      </c>
      <c r="G737" s="635">
        <v>0</v>
      </c>
      <c r="H737" s="635">
        <v>0</v>
      </c>
      <c r="I737" s="635">
        <v>0</v>
      </c>
      <c r="J737" s="635">
        <v>0</v>
      </c>
      <c r="K737" s="635">
        <v>0</v>
      </c>
      <c r="L737" s="635">
        <v>0</v>
      </c>
      <c r="M737" s="635">
        <v>0</v>
      </c>
      <c r="N737" s="640">
        <v>0</v>
      </c>
      <c r="O737" s="640">
        <v>0</v>
      </c>
    </row>
    <row r="738" s="597" customFormat="1" spans="1:15">
      <c r="A738" s="618"/>
      <c r="B738" s="526" t="s">
        <v>1108</v>
      </c>
      <c r="C738" s="597">
        <v>0</v>
      </c>
      <c r="D738" s="635">
        <v>0</v>
      </c>
      <c r="E738" s="635">
        <v>0</v>
      </c>
      <c r="F738" s="635">
        <v>0</v>
      </c>
      <c r="G738" s="635">
        <v>0</v>
      </c>
      <c r="H738" s="635">
        <v>0</v>
      </c>
      <c r="I738" s="635">
        <v>0</v>
      </c>
      <c r="J738" s="635">
        <v>0</v>
      </c>
      <c r="K738" s="635">
        <v>0</v>
      </c>
      <c r="L738" s="635">
        <v>0</v>
      </c>
      <c r="M738" s="635">
        <v>0</v>
      </c>
      <c r="N738" s="640">
        <v>0</v>
      </c>
      <c r="O738" s="640">
        <v>0</v>
      </c>
    </row>
    <row r="739" s="597" customFormat="1" spans="1:15">
      <c r="A739" s="618"/>
      <c r="B739" s="526" t="s">
        <v>1109</v>
      </c>
      <c r="C739" s="597">
        <v>396.903069387517</v>
      </c>
      <c r="D739" s="663">
        <v>28.5155118623989</v>
      </c>
      <c r="E739" s="663">
        <v>28.5155118623989</v>
      </c>
      <c r="F739" s="663">
        <v>28.5155118623989</v>
      </c>
      <c r="G739" s="663">
        <v>28.5155118623989</v>
      </c>
      <c r="H739" s="663">
        <v>28.5155118623989</v>
      </c>
      <c r="I739" s="663">
        <v>28.5155118623989</v>
      </c>
      <c r="J739" s="663">
        <v>28.5155118623989</v>
      </c>
      <c r="K739" s="663">
        <v>28.5155118623989</v>
      </c>
      <c r="L739" s="663">
        <v>28.5155118623989</v>
      </c>
      <c r="M739" s="663">
        <v>28.5155118623989</v>
      </c>
      <c r="N739" s="666">
        <v>28.5155118623989</v>
      </c>
      <c r="O739" s="666">
        <v>28.5155118623989</v>
      </c>
    </row>
    <row r="740" s="597" customFormat="1" spans="1:15">
      <c r="A740" s="618"/>
      <c r="B740" s="526" t="s">
        <v>1110</v>
      </c>
      <c r="C740" s="597">
        <v>396.903069387517</v>
      </c>
      <c r="D740" s="663">
        <v>28.5155118623989</v>
      </c>
      <c r="E740" s="663">
        <v>28.5155118623989</v>
      </c>
      <c r="F740" s="663">
        <v>28.5155118623989</v>
      </c>
      <c r="G740" s="663">
        <v>28.5155118623989</v>
      </c>
      <c r="H740" s="663">
        <v>28.5155118623989</v>
      </c>
      <c r="I740" s="663">
        <v>28.5155118623989</v>
      </c>
      <c r="J740" s="663">
        <v>28.5155118623989</v>
      </c>
      <c r="K740" s="663">
        <v>28.5155118623989</v>
      </c>
      <c r="L740" s="663">
        <v>28.5155118623989</v>
      </c>
      <c r="M740" s="663">
        <v>28.5155118623989</v>
      </c>
      <c r="N740" s="666">
        <v>28.5155118623989</v>
      </c>
      <c r="O740" s="666">
        <v>28.5155118623989</v>
      </c>
    </row>
    <row r="741" s="597" customFormat="1" spans="1:15">
      <c r="A741" s="618"/>
      <c r="B741" s="526" t="s">
        <v>1111</v>
      </c>
      <c r="C741" s="597">
        <v>0</v>
      </c>
      <c r="D741" s="635">
        <v>0</v>
      </c>
      <c r="E741" s="635">
        <v>0</v>
      </c>
      <c r="F741" s="635">
        <v>0</v>
      </c>
      <c r="G741" s="635">
        <v>0</v>
      </c>
      <c r="H741" s="635">
        <v>0</v>
      </c>
      <c r="I741" s="635">
        <v>0</v>
      </c>
      <c r="J741" s="635">
        <v>0</v>
      </c>
      <c r="K741" s="635">
        <v>0</v>
      </c>
      <c r="L741" s="635">
        <v>0</v>
      </c>
      <c r="M741" s="635">
        <v>0</v>
      </c>
      <c r="N741" s="640">
        <v>0</v>
      </c>
      <c r="O741" s="640">
        <v>0</v>
      </c>
    </row>
    <row r="742" s="597" customFormat="1" spans="1:15">
      <c r="A742" s="618"/>
      <c r="B742" s="526" t="s">
        <v>1112</v>
      </c>
      <c r="C742" s="597">
        <v>191.404406268157</v>
      </c>
      <c r="D742" s="663">
        <v>231.472290782716</v>
      </c>
      <c r="E742" s="663">
        <v>231.472290782716</v>
      </c>
      <c r="F742" s="663">
        <v>231.472290782716</v>
      </c>
      <c r="G742" s="663">
        <v>231.472290782716</v>
      </c>
      <c r="H742" s="663">
        <v>231.472290782716</v>
      </c>
      <c r="I742" s="663">
        <v>231.472290782716</v>
      </c>
      <c r="J742" s="663">
        <v>231.472290782716</v>
      </c>
      <c r="K742" s="663">
        <v>231.472290782716</v>
      </c>
      <c r="L742" s="663">
        <v>231.472290782716</v>
      </c>
      <c r="M742" s="663">
        <v>231.472290782716</v>
      </c>
      <c r="N742" s="666">
        <v>231.472290782716</v>
      </c>
      <c r="O742" s="666">
        <v>231.472290782716</v>
      </c>
    </row>
    <row r="743" s="597" customFormat="1" spans="1:15">
      <c r="A743" s="618"/>
      <c r="B743" s="526" t="s">
        <v>1113</v>
      </c>
      <c r="C743" s="597">
        <v>423.219063854078</v>
      </c>
      <c r="D743" s="663">
        <v>180.704451230078</v>
      </c>
      <c r="E743" s="663">
        <v>180.704451230078</v>
      </c>
      <c r="F743" s="663">
        <v>180.704451230078</v>
      </c>
      <c r="G743" s="665">
        <v>1714.32927020992</v>
      </c>
      <c r="H743" s="665">
        <v>1714.32927020992</v>
      </c>
      <c r="I743" s="665">
        <v>1714.32927020992</v>
      </c>
      <c r="J743" s="665">
        <v>1714.32927020992</v>
      </c>
      <c r="K743" s="665">
        <v>1714.32927020992</v>
      </c>
      <c r="L743" s="665">
        <v>1714.32927020992</v>
      </c>
      <c r="M743" s="665">
        <v>1714.32927020992</v>
      </c>
      <c r="N743" s="668">
        <v>1714.32927020992</v>
      </c>
      <c r="O743" s="668">
        <v>1714.32927020992</v>
      </c>
    </row>
    <row r="744" s="597" customFormat="1" spans="1:15">
      <c r="A744" s="618"/>
      <c r="B744" s="526" t="s">
        <v>1114</v>
      </c>
      <c r="C744" s="597">
        <v>212.256529459199</v>
      </c>
      <c r="D744" s="663">
        <v>141.43587961216</v>
      </c>
      <c r="E744" s="663">
        <v>141.43587961216</v>
      </c>
      <c r="F744" s="663">
        <v>141.43587961216</v>
      </c>
      <c r="G744" s="663">
        <v>141.43587961216</v>
      </c>
      <c r="H744" s="663">
        <v>141.43587961216</v>
      </c>
      <c r="I744" s="663">
        <v>141.43587961216</v>
      </c>
      <c r="J744" s="663">
        <v>141.43587961216</v>
      </c>
      <c r="K744" s="663">
        <v>141.43587961216</v>
      </c>
      <c r="L744" s="663">
        <v>141.43587961216</v>
      </c>
      <c r="M744" s="663">
        <v>141.43587961216</v>
      </c>
      <c r="N744" s="666">
        <v>141.43587961216</v>
      </c>
      <c r="O744" s="666">
        <v>141.43587961216</v>
      </c>
    </row>
    <row r="745" s="597" customFormat="1" spans="1:15">
      <c r="A745" s="618"/>
      <c r="B745" s="526" t="s">
        <v>1115</v>
      </c>
      <c r="C745" s="597">
        <v>212.256529459199</v>
      </c>
      <c r="D745" s="663">
        <v>141.43587961216</v>
      </c>
      <c r="E745" s="663">
        <v>141.43587961216</v>
      </c>
      <c r="F745" s="663">
        <v>141.43587961216</v>
      </c>
      <c r="G745" s="663">
        <v>141.43587961216</v>
      </c>
      <c r="H745" s="663">
        <v>141.43587961216</v>
      </c>
      <c r="I745" s="663">
        <v>141.43587961216</v>
      </c>
      <c r="J745" s="663">
        <v>141.43587961216</v>
      </c>
      <c r="K745" s="663">
        <v>141.43587961216</v>
      </c>
      <c r="L745" s="663">
        <v>141.43587961216</v>
      </c>
      <c r="M745" s="663">
        <v>141.43587961216</v>
      </c>
      <c r="N745" s="666">
        <v>141.43587961216</v>
      </c>
      <c r="O745" s="666">
        <v>141.43587961216</v>
      </c>
    </row>
    <row r="746" s="597" customFormat="1" spans="1:15">
      <c r="A746" s="618"/>
      <c r="B746" s="526" t="s">
        <v>1116</v>
      </c>
      <c r="C746" s="597">
        <v>39.2308355436799</v>
      </c>
      <c r="D746" s="663">
        <v>296.029756457596</v>
      </c>
      <c r="E746" s="663">
        <v>296.029756457596</v>
      </c>
      <c r="F746" s="663">
        <v>296.029756457596</v>
      </c>
      <c r="G746" s="663">
        <v>296.029756457596</v>
      </c>
      <c r="H746" s="663">
        <v>296.029756457596</v>
      </c>
      <c r="I746" s="663">
        <v>296.029756457596</v>
      </c>
      <c r="J746" s="663">
        <v>296.029756457596</v>
      </c>
      <c r="K746" s="663">
        <v>296.029756457596</v>
      </c>
      <c r="L746" s="663">
        <v>296.029756457596</v>
      </c>
      <c r="M746" s="663">
        <v>296.029756457596</v>
      </c>
      <c r="N746" s="666">
        <v>296.029756457596</v>
      </c>
      <c r="O746" s="666">
        <v>296.029756457596</v>
      </c>
    </row>
    <row r="747" s="597" customFormat="1" spans="1:15">
      <c r="A747" s="618"/>
      <c r="B747" s="526" t="s">
        <v>1117</v>
      </c>
      <c r="C747" s="597">
        <v>39.2308355436799</v>
      </c>
      <c r="D747" s="663">
        <v>296.029756457596</v>
      </c>
      <c r="E747" s="663">
        <v>296.029756457596</v>
      </c>
      <c r="F747" s="663">
        <v>296.029756457596</v>
      </c>
      <c r="G747" s="663">
        <v>296.029756457596</v>
      </c>
      <c r="H747" s="663">
        <v>296.029756457596</v>
      </c>
      <c r="I747" s="663">
        <v>296.029756457596</v>
      </c>
      <c r="J747" s="663">
        <v>296.029756457596</v>
      </c>
      <c r="K747" s="663">
        <v>296.029756457596</v>
      </c>
      <c r="L747" s="663">
        <v>296.029756457596</v>
      </c>
      <c r="M747" s="663">
        <v>296.029756457596</v>
      </c>
      <c r="N747" s="666">
        <v>296.029756457596</v>
      </c>
      <c r="O747" s="666">
        <v>296.029756457596</v>
      </c>
    </row>
    <row r="748" s="597" customFormat="1" spans="1:15">
      <c r="A748" s="618"/>
      <c r="B748" s="526" t="s">
        <v>1118</v>
      </c>
      <c r="C748" s="597">
        <v>0</v>
      </c>
      <c r="D748" s="663">
        <v>180.704451230078</v>
      </c>
      <c r="E748" s="663">
        <v>180.704451230078</v>
      </c>
      <c r="F748" s="663">
        <v>180.704451230078</v>
      </c>
      <c r="G748" s="663">
        <v>180.704451230078</v>
      </c>
      <c r="H748" s="663">
        <v>180.704451230078</v>
      </c>
      <c r="I748" s="663">
        <v>180.704451230078</v>
      </c>
      <c r="J748" s="663">
        <v>180.704451230078</v>
      </c>
      <c r="K748" s="663">
        <v>180.704451230078</v>
      </c>
      <c r="L748" s="663">
        <v>180.704451230078</v>
      </c>
      <c r="M748" s="663">
        <v>180.704451230078</v>
      </c>
      <c r="N748" s="666">
        <v>180.704451230078</v>
      </c>
      <c r="O748" s="666">
        <v>180.704451230078</v>
      </c>
    </row>
    <row r="749" s="597" customFormat="1" spans="1:15">
      <c r="A749" s="618"/>
      <c r="B749" s="526" t="s">
        <v>1119</v>
      </c>
      <c r="C749" s="597">
        <v>191.404406268157</v>
      </c>
      <c r="D749" s="663">
        <v>0</v>
      </c>
      <c r="E749" s="663">
        <v>0</v>
      </c>
      <c r="F749" s="663">
        <v>0</v>
      </c>
      <c r="G749" s="663">
        <v>0</v>
      </c>
      <c r="H749" s="663">
        <v>0</v>
      </c>
      <c r="I749" s="663">
        <v>0</v>
      </c>
      <c r="J749" s="663">
        <v>0</v>
      </c>
      <c r="K749" s="663">
        <v>0</v>
      </c>
      <c r="L749" s="663">
        <v>0</v>
      </c>
      <c r="M749" s="663">
        <v>0</v>
      </c>
      <c r="N749" s="666">
        <v>0</v>
      </c>
      <c r="O749" s="666">
        <v>0</v>
      </c>
    </row>
    <row r="750" s="597" customFormat="1" spans="1:15">
      <c r="A750" s="618"/>
      <c r="B750" s="526" t="s">
        <v>1120</v>
      </c>
      <c r="C750" s="597">
        <v>191.404406268157</v>
      </c>
      <c r="D750" s="663">
        <v>0</v>
      </c>
      <c r="E750" s="663">
        <v>0</v>
      </c>
      <c r="F750" s="663">
        <v>0</v>
      </c>
      <c r="G750" s="663">
        <v>0</v>
      </c>
      <c r="H750" s="663">
        <v>0</v>
      </c>
      <c r="I750" s="663">
        <v>0</v>
      </c>
      <c r="J750" s="663">
        <v>0</v>
      </c>
      <c r="K750" s="663">
        <v>0</v>
      </c>
      <c r="L750" s="663">
        <v>0</v>
      </c>
      <c r="M750" s="663">
        <v>0</v>
      </c>
      <c r="N750" s="666">
        <v>0</v>
      </c>
      <c r="O750" s="666">
        <v>0</v>
      </c>
    </row>
    <row r="751" s="597" customFormat="1" spans="1:15">
      <c r="A751" s="618"/>
      <c r="B751" s="526" t="s">
        <v>1121</v>
      </c>
      <c r="C751" s="597">
        <v>0</v>
      </c>
      <c r="D751" s="663">
        <v>41.263305185279</v>
      </c>
      <c r="E751" s="663">
        <v>41.263305185279</v>
      </c>
      <c r="F751" s="663">
        <v>41.263305185279</v>
      </c>
      <c r="G751" s="663">
        <v>41.263305185279</v>
      </c>
      <c r="H751" s="671">
        <v>510.1152442368</v>
      </c>
      <c r="I751" s="671">
        <v>510.1152442368</v>
      </c>
      <c r="J751" s="671">
        <v>510.1152442368</v>
      </c>
      <c r="K751" s="671">
        <v>510.1152442368</v>
      </c>
      <c r="L751" s="671">
        <v>510.1152442368</v>
      </c>
      <c r="M751" s="671">
        <v>510.1152442368</v>
      </c>
      <c r="N751" s="674">
        <v>510.1152442368</v>
      </c>
      <c r="O751" s="674">
        <v>510.1152442368</v>
      </c>
    </row>
    <row r="752" s="597" customFormat="1" spans="1:15">
      <c r="A752" s="618"/>
      <c r="B752" s="526" t="s">
        <v>1122</v>
      </c>
      <c r="C752" s="597">
        <v>0</v>
      </c>
      <c r="D752" s="663">
        <v>162.904899302399</v>
      </c>
      <c r="E752" s="663">
        <v>162.904899302399</v>
      </c>
      <c r="F752" s="663">
        <v>162.904899302399</v>
      </c>
      <c r="G752" s="663">
        <v>162.904899302399</v>
      </c>
      <c r="H752" s="671">
        <v>510.115244236798</v>
      </c>
      <c r="I752" s="671">
        <v>510.115244236798</v>
      </c>
      <c r="J752" s="671">
        <v>510.115244236798</v>
      </c>
      <c r="K752" s="671">
        <v>510.115244236798</v>
      </c>
      <c r="L752" s="671">
        <v>510.115244236798</v>
      </c>
      <c r="M752" s="671">
        <v>510.115244236798</v>
      </c>
      <c r="N752" s="674">
        <v>510.115244236798</v>
      </c>
      <c r="O752" s="674">
        <v>510.115244236798</v>
      </c>
    </row>
    <row r="753" s="597" customFormat="1" spans="1:15">
      <c r="A753" s="618"/>
      <c r="B753" s="526" t="s">
        <v>1123</v>
      </c>
      <c r="C753" s="597">
        <v>327.277203957759</v>
      </c>
      <c r="D753" s="663">
        <v>41.263305185279</v>
      </c>
      <c r="E753" s="663">
        <v>41.263305185279</v>
      </c>
      <c r="F753" s="663">
        <v>41.263305185279</v>
      </c>
      <c r="G753" s="663">
        <v>41.263305185279</v>
      </c>
      <c r="H753" s="671">
        <v>107.613265612801</v>
      </c>
      <c r="I753" s="671">
        <v>107.613265612801</v>
      </c>
      <c r="J753" s="671">
        <v>107.613265612801</v>
      </c>
      <c r="K753" s="671">
        <v>107.613265612801</v>
      </c>
      <c r="L753" s="671">
        <v>107.613265612801</v>
      </c>
      <c r="M753" s="671">
        <v>107.613265612801</v>
      </c>
      <c r="N753" s="674">
        <v>107.613265612801</v>
      </c>
      <c r="O753" s="674">
        <v>107.613265612801</v>
      </c>
    </row>
    <row r="754" s="597" customFormat="1" spans="1:15">
      <c r="A754" s="618"/>
      <c r="B754" s="526" t="s">
        <v>1124</v>
      </c>
      <c r="C754" s="597">
        <v>817.698009599993</v>
      </c>
      <c r="D754" s="663">
        <v>0</v>
      </c>
      <c r="E754" s="663">
        <v>0</v>
      </c>
      <c r="F754" s="663">
        <v>0</v>
      </c>
      <c r="G754" s="663">
        <v>0</v>
      </c>
      <c r="H754" s="663">
        <v>0</v>
      </c>
      <c r="I754" s="663">
        <v>0</v>
      </c>
      <c r="J754" s="663">
        <v>0</v>
      </c>
      <c r="K754" s="663">
        <v>0</v>
      </c>
      <c r="L754" s="663">
        <v>0</v>
      </c>
      <c r="M754" s="663">
        <v>0</v>
      </c>
      <c r="N754" s="666">
        <v>0</v>
      </c>
      <c r="O754" s="666">
        <v>0</v>
      </c>
    </row>
    <row r="755" s="597" customFormat="1" spans="1:15">
      <c r="A755" s="618"/>
      <c r="B755" s="526" t="s">
        <v>1125</v>
      </c>
      <c r="C755" s="597">
        <v>312.939790950397</v>
      </c>
      <c r="D755" s="663">
        <v>272.940379796477</v>
      </c>
      <c r="E755" s="663">
        <v>272.940379796477</v>
      </c>
      <c r="F755" s="663">
        <v>272.940379796477</v>
      </c>
      <c r="G755" s="665">
        <v>1608.74402046463</v>
      </c>
      <c r="H755" s="671">
        <v>145.225652945919</v>
      </c>
      <c r="I755" s="671">
        <v>145.225652945919</v>
      </c>
      <c r="J755" s="671">
        <v>145.225652945919</v>
      </c>
      <c r="K755" s="671">
        <v>145.225652945919</v>
      </c>
      <c r="L755" s="671">
        <v>145.225652945919</v>
      </c>
      <c r="M755" s="671">
        <v>145.225652945919</v>
      </c>
      <c r="N755" s="674">
        <v>145.225652945919</v>
      </c>
      <c r="O755" s="674">
        <v>145.225652945919</v>
      </c>
    </row>
    <row r="756" s="597" customFormat="1" spans="1:15">
      <c r="A756" s="618"/>
      <c r="B756" s="526" t="s">
        <v>1126</v>
      </c>
      <c r="C756" s="597">
        <v>164.505433855993</v>
      </c>
      <c r="D756" s="663">
        <v>45.7007123046424</v>
      </c>
      <c r="E756" s="663">
        <v>45.7007123046424</v>
      </c>
      <c r="F756" s="663">
        <v>45.7007123046424</v>
      </c>
      <c r="G756" s="665">
        <v>244.750593587203</v>
      </c>
      <c r="H756" s="671">
        <v>1049.7545508352</v>
      </c>
      <c r="I756" s="671">
        <v>1049.7545508352</v>
      </c>
      <c r="J756" s="671">
        <v>1049.7545508352</v>
      </c>
      <c r="K756" s="671">
        <v>1049.7545508352</v>
      </c>
      <c r="L756" s="671">
        <v>1049.7545508352</v>
      </c>
      <c r="M756" s="671">
        <v>1049.7545508352</v>
      </c>
      <c r="N756" s="674">
        <v>1049.7545508352</v>
      </c>
      <c r="O756" s="674">
        <v>1049.7545508352</v>
      </c>
    </row>
    <row r="757" s="597" customFormat="1" spans="1:15">
      <c r="A757" s="618"/>
      <c r="B757" s="526" t="s">
        <v>1127</v>
      </c>
      <c r="C757" s="597">
        <v>164.505433855993</v>
      </c>
      <c r="D757" s="663">
        <v>45.7007123046424</v>
      </c>
      <c r="E757" s="663">
        <v>45.7007123046424</v>
      </c>
      <c r="F757" s="663">
        <v>45.7007123046424</v>
      </c>
      <c r="G757" s="665">
        <v>244.750593587203</v>
      </c>
      <c r="H757" s="671">
        <v>1049.7545508352</v>
      </c>
      <c r="I757" s="671">
        <v>1049.7545508352</v>
      </c>
      <c r="J757" s="671">
        <v>1049.7545508352</v>
      </c>
      <c r="K757" s="671">
        <v>1049.7545508352</v>
      </c>
      <c r="L757" s="671">
        <v>1049.7545508352</v>
      </c>
      <c r="M757" s="671">
        <v>1049.7545508352</v>
      </c>
      <c r="N757" s="674">
        <v>1049.7545508352</v>
      </c>
      <c r="O757" s="674">
        <v>1049.7545508352</v>
      </c>
    </row>
    <row r="758" s="597" customFormat="1" spans="1:15">
      <c r="A758" s="618"/>
      <c r="B758" s="526" t="s">
        <v>1128</v>
      </c>
      <c r="C758" s="597">
        <v>0</v>
      </c>
      <c r="D758" s="663">
        <v>45.7007123046351</v>
      </c>
      <c r="E758" s="663">
        <v>45.7007123046351</v>
      </c>
      <c r="F758" s="663">
        <v>45.7007123046351</v>
      </c>
      <c r="G758" s="665">
        <v>244.750593587196</v>
      </c>
      <c r="H758" s="665">
        <v>244.750593587196</v>
      </c>
      <c r="I758" s="665">
        <v>244.750593587196</v>
      </c>
      <c r="J758" s="665">
        <v>244.750593587196</v>
      </c>
      <c r="K758" s="665">
        <v>244.750593587196</v>
      </c>
      <c r="L758" s="665">
        <v>244.750593587196</v>
      </c>
      <c r="M758" s="665">
        <v>244.750593587196</v>
      </c>
      <c r="N758" s="668">
        <v>244.750593587196</v>
      </c>
      <c r="O758" s="668">
        <v>244.750593587196</v>
      </c>
    </row>
    <row r="759" s="597" customFormat="1" spans="1:15">
      <c r="A759" s="618"/>
      <c r="B759" s="526" t="s">
        <v>1129</v>
      </c>
      <c r="C759" s="597">
        <v>0</v>
      </c>
      <c r="D759" s="663">
        <v>45.7007123046351</v>
      </c>
      <c r="E759" s="663">
        <v>45.7007123046351</v>
      </c>
      <c r="F759" s="663">
        <v>45.7007123046351</v>
      </c>
      <c r="G759" s="665">
        <v>244.750593587196</v>
      </c>
      <c r="H759" s="665">
        <v>244.750593587196</v>
      </c>
      <c r="I759" s="665">
        <v>244.750593587196</v>
      </c>
      <c r="J759" s="665">
        <v>244.750593587196</v>
      </c>
      <c r="K759" s="665">
        <v>244.750593587196</v>
      </c>
      <c r="L759" s="665">
        <v>244.750593587196</v>
      </c>
      <c r="M759" s="665">
        <v>244.750593587196</v>
      </c>
      <c r="N759" s="668">
        <v>244.750593587196</v>
      </c>
      <c r="O759" s="668">
        <v>244.750593587196</v>
      </c>
    </row>
    <row r="760" s="597" customFormat="1" spans="1:15">
      <c r="A760" s="618"/>
      <c r="B760" s="526" t="s">
        <v>1130</v>
      </c>
      <c r="C760" s="597">
        <v>151.298785679355</v>
      </c>
      <c r="D760" s="663">
        <v>145.225652945919</v>
      </c>
      <c r="E760" s="663">
        <v>145.225652945919</v>
      </c>
      <c r="F760" s="663">
        <v>145.225652945919</v>
      </c>
      <c r="G760" s="665">
        <v>244.7505935872</v>
      </c>
      <c r="H760" s="671">
        <v>386.254946560002</v>
      </c>
      <c r="I760" s="671">
        <v>386.254946560002</v>
      </c>
      <c r="J760" s="671">
        <v>386.254946560002</v>
      </c>
      <c r="K760" s="671">
        <v>386.254946560002</v>
      </c>
      <c r="L760" s="671">
        <v>386.254946560002</v>
      </c>
      <c r="M760" s="671">
        <v>386.254946560002</v>
      </c>
      <c r="N760" s="674">
        <v>386.254946560002</v>
      </c>
      <c r="O760" s="674">
        <v>386.254946560002</v>
      </c>
    </row>
    <row r="761" s="597" customFormat="1" spans="1:15">
      <c r="A761" s="618"/>
      <c r="B761" s="526" t="s">
        <v>1131</v>
      </c>
      <c r="C761" s="597">
        <v>817.698009599993</v>
      </c>
      <c r="D761" s="663">
        <v>41.263305185279</v>
      </c>
      <c r="E761" s="663">
        <v>41.263305185279</v>
      </c>
      <c r="F761" s="663">
        <v>41.263305185279</v>
      </c>
      <c r="G761" s="665">
        <v>86.9640174899178</v>
      </c>
      <c r="H761" s="671">
        <v>45.7007123046387</v>
      </c>
      <c r="I761" s="671">
        <v>45.7007123046387</v>
      </c>
      <c r="J761" s="671">
        <v>45.7007123046387</v>
      </c>
      <c r="K761" s="671">
        <v>45.7007123046387</v>
      </c>
      <c r="L761" s="671">
        <v>45.7007123046387</v>
      </c>
      <c r="M761" s="671">
        <v>45.7007123046387</v>
      </c>
      <c r="N761" s="674">
        <v>45.7007123046387</v>
      </c>
      <c r="O761" s="674">
        <v>45.7007123046387</v>
      </c>
    </row>
    <row r="762" s="597" customFormat="1" spans="1:15">
      <c r="A762" s="618"/>
      <c r="B762" s="526" t="s">
        <v>1132</v>
      </c>
      <c r="C762" s="597">
        <v>817.698009599993</v>
      </c>
      <c r="D762" s="663">
        <v>162.904899302397</v>
      </c>
      <c r="E762" s="663">
        <v>162.904899302397</v>
      </c>
      <c r="F762" s="663">
        <v>162.904899302397</v>
      </c>
      <c r="G762" s="663">
        <v>162.904899302397</v>
      </c>
      <c r="H762" s="671">
        <v>0</v>
      </c>
      <c r="I762" s="671">
        <v>0</v>
      </c>
      <c r="J762" s="671">
        <v>0</v>
      </c>
      <c r="K762" s="671">
        <v>0</v>
      </c>
      <c r="L762" s="671">
        <v>0</v>
      </c>
      <c r="M762" s="671">
        <v>0</v>
      </c>
      <c r="N762" s="674">
        <v>0</v>
      </c>
      <c r="O762" s="674">
        <v>0</v>
      </c>
    </row>
    <row r="764" spans="1:15">
      <c r="A764" s="518">
        <v>6.21</v>
      </c>
      <c r="B764" s="675" t="s">
        <v>1133</v>
      </c>
      <c r="D764" s="623"/>
      <c r="E764" s="623"/>
      <c r="F764" s="623"/>
      <c r="G764" s="623"/>
      <c r="H764" s="623"/>
      <c r="I764" s="623"/>
      <c r="J764" s="623"/>
      <c r="K764" s="623"/>
      <c r="L764" s="623"/>
      <c r="M764" s="623"/>
      <c r="N764" s="626"/>
      <c r="O764" s="626"/>
    </row>
    <row r="765" s="597" customFormat="1" spans="1:15">
      <c r="A765" s="618"/>
      <c r="B765" s="675" t="s">
        <v>1134</v>
      </c>
      <c r="C765" s="597">
        <v>0.07</v>
      </c>
      <c r="D765" s="663">
        <v>0.04</v>
      </c>
      <c r="E765" s="663">
        <v>0.04</v>
      </c>
      <c r="F765" s="663">
        <v>0.04</v>
      </c>
      <c r="G765" s="663">
        <v>0.04</v>
      </c>
      <c r="H765" s="663">
        <v>0.04</v>
      </c>
      <c r="I765" s="663">
        <v>0.04</v>
      </c>
      <c r="J765" s="663">
        <v>0.04</v>
      </c>
      <c r="K765" s="663">
        <v>0.04</v>
      </c>
      <c r="L765" s="663">
        <v>0.04</v>
      </c>
      <c r="M765" s="663">
        <v>0.04</v>
      </c>
      <c r="N765" s="666">
        <v>0.04</v>
      </c>
      <c r="O765" s="666">
        <v>0.04</v>
      </c>
    </row>
    <row r="766" s="597" customFormat="1" spans="1:15">
      <c r="A766" s="618"/>
      <c r="B766" s="675" t="s">
        <v>1135</v>
      </c>
      <c r="C766" s="597">
        <v>0.07</v>
      </c>
      <c r="D766" s="663">
        <v>0.04</v>
      </c>
      <c r="E766" s="663">
        <v>0.04</v>
      </c>
      <c r="F766" s="663">
        <v>0.04</v>
      </c>
      <c r="G766" s="663">
        <v>0.04</v>
      </c>
      <c r="H766" s="663">
        <v>0.04</v>
      </c>
      <c r="I766" s="663">
        <v>0.04</v>
      </c>
      <c r="J766" s="663">
        <v>0.04</v>
      </c>
      <c r="K766" s="663">
        <v>0.04</v>
      </c>
      <c r="L766" s="663">
        <v>0.04</v>
      </c>
      <c r="M766" s="663">
        <v>0.04</v>
      </c>
      <c r="N766" s="666">
        <v>0.04</v>
      </c>
      <c r="O766" s="666">
        <v>0.04</v>
      </c>
    </row>
    <row r="767" s="597" customFormat="1" spans="1:15">
      <c r="A767" s="618"/>
      <c r="B767" s="675" t="s">
        <v>1136</v>
      </c>
      <c r="C767" s="597">
        <v>0.07</v>
      </c>
      <c r="D767" s="663">
        <v>0.04</v>
      </c>
      <c r="E767" s="663">
        <v>0.04</v>
      </c>
      <c r="F767" s="663">
        <v>0.04</v>
      </c>
      <c r="G767" s="663">
        <v>0.04</v>
      </c>
      <c r="H767" s="663">
        <v>0.04</v>
      </c>
      <c r="I767" s="663">
        <v>0.04</v>
      </c>
      <c r="J767" s="663">
        <v>0.04</v>
      </c>
      <c r="K767" s="663">
        <v>0.04</v>
      </c>
      <c r="L767" s="663">
        <v>0.04</v>
      </c>
      <c r="M767" s="663">
        <v>0.04</v>
      </c>
      <c r="N767" s="666">
        <v>0.04</v>
      </c>
      <c r="O767" s="666">
        <v>0.04</v>
      </c>
    </row>
    <row r="768" s="597" customFormat="1" spans="1:15">
      <c r="A768" s="618"/>
      <c r="B768" s="675" t="s">
        <v>1137</v>
      </c>
      <c r="C768" s="597">
        <v>0.07</v>
      </c>
      <c r="D768" s="663">
        <v>0.04</v>
      </c>
      <c r="E768" s="663">
        <v>0.04</v>
      </c>
      <c r="F768" s="663">
        <v>0.04</v>
      </c>
      <c r="G768" s="663">
        <v>0.04</v>
      </c>
      <c r="H768" s="663">
        <v>0.04</v>
      </c>
      <c r="I768" s="663">
        <v>0.04</v>
      </c>
      <c r="J768" s="663">
        <v>0.04</v>
      </c>
      <c r="K768" s="663">
        <v>0.04</v>
      </c>
      <c r="L768" s="663">
        <v>0.04</v>
      </c>
      <c r="M768" s="663">
        <v>0.04</v>
      </c>
      <c r="N768" s="666">
        <v>0.04</v>
      </c>
      <c r="O768" s="666">
        <v>0.04</v>
      </c>
    </row>
    <row r="769" s="597" customFormat="1" spans="1:15">
      <c r="A769" s="618"/>
      <c r="B769" s="675" t="s">
        <v>1138</v>
      </c>
      <c r="C769" s="597">
        <v>0.08</v>
      </c>
      <c r="D769" s="663">
        <v>0.12</v>
      </c>
      <c r="E769" s="663">
        <v>0.12</v>
      </c>
      <c r="F769" s="663">
        <v>0.12</v>
      </c>
      <c r="G769" s="663">
        <v>0.12</v>
      </c>
      <c r="H769" s="663">
        <v>0.12</v>
      </c>
      <c r="I769" s="663">
        <v>0.12</v>
      </c>
      <c r="J769" s="663">
        <v>0.12</v>
      </c>
      <c r="K769" s="663">
        <v>0.12</v>
      </c>
      <c r="L769" s="663">
        <v>0.12</v>
      </c>
      <c r="M769" s="663">
        <v>0.12</v>
      </c>
      <c r="N769" s="666">
        <v>0.12</v>
      </c>
      <c r="O769" s="666">
        <v>0.12</v>
      </c>
    </row>
    <row r="770" s="597" customFormat="1" spans="1:15">
      <c r="A770" s="618"/>
      <c r="B770" s="675" t="s">
        <v>1139</v>
      </c>
      <c r="C770" s="597">
        <v>0.1</v>
      </c>
      <c r="D770" s="663">
        <v>0.12</v>
      </c>
      <c r="E770" s="663">
        <v>0.12</v>
      </c>
      <c r="F770" s="663">
        <v>0.12</v>
      </c>
      <c r="G770" s="663">
        <v>0.12</v>
      </c>
      <c r="H770" s="663">
        <v>0.12</v>
      </c>
      <c r="I770" s="663">
        <v>0.12</v>
      </c>
      <c r="J770" s="663">
        <v>0.12</v>
      </c>
      <c r="K770" s="663">
        <v>0.12</v>
      </c>
      <c r="L770" s="663">
        <v>0.12</v>
      </c>
      <c r="M770" s="663">
        <v>0.12</v>
      </c>
      <c r="N770" s="666">
        <v>0.12</v>
      </c>
      <c r="O770" s="666">
        <v>0.12</v>
      </c>
    </row>
    <row r="771" s="597" customFormat="1" spans="1:15">
      <c r="A771" s="618"/>
      <c r="B771" s="675" t="s">
        <v>1140</v>
      </c>
      <c r="C771" s="597">
        <v>0.1</v>
      </c>
      <c r="D771" s="663">
        <v>0.12</v>
      </c>
      <c r="E771" s="663">
        <v>0.12</v>
      </c>
      <c r="F771" s="663">
        <v>0.12</v>
      </c>
      <c r="G771" s="663">
        <v>0.12</v>
      </c>
      <c r="H771" s="663">
        <v>0.12</v>
      </c>
      <c r="I771" s="663">
        <v>0.12</v>
      </c>
      <c r="J771" s="663">
        <v>0.12</v>
      </c>
      <c r="K771" s="663">
        <v>0.12</v>
      </c>
      <c r="L771" s="663">
        <v>0.12</v>
      </c>
      <c r="M771" s="663">
        <v>0.12</v>
      </c>
      <c r="N771" s="666">
        <v>0.12</v>
      </c>
      <c r="O771" s="666">
        <v>0.12</v>
      </c>
    </row>
    <row r="772" s="597" customFormat="1" spans="1:15">
      <c r="A772" s="618"/>
      <c r="B772" s="675" t="s">
        <v>1141</v>
      </c>
      <c r="C772" s="597">
        <v>0.1</v>
      </c>
      <c r="D772" s="663">
        <v>0.12</v>
      </c>
      <c r="E772" s="663">
        <v>0.12</v>
      </c>
      <c r="F772" s="663">
        <v>0.12</v>
      </c>
      <c r="G772" s="663">
        <v>0.12</v>
      </c>
      <c r="H772" s="663">
        <v>0.12</v>
      </c>
      <c r="I772" s="663">
        <v>0.12</v>
      </c>
      <c r="J772" s="663">
        <v>0.12</v>
      </c>
      <c r="K772" s="663">
        <v>0.12</v>
      </c>
      <c r="L772" s="663">
        <v>0.12</v>
      </c>
      <c r="M772" s="663">
        <v>0.12</v>
      </c>
      <c r="N772" s="666">
        <v>0.12</v>
      </c>
      <c r="O772" s="666">
        <v>0.12</v>
      </c>
    </row>
    <row r="773" s="597" customFormat="1" spans="1:15">
      <c r="A773" s="618"/>
      <c r="B773" s="675" t="s">
        <v>1142</v>
      </c>
      <c r="C773" s="597">
        <v>0.1</v>
      </c>
      <c r="D773" s="663">
        <v>0.12</v>
      </c>
      <c r="E773" s="663">
        <v>0.12</v>
      </c>
      <c r="F773" s="663">
        <v>0.12</v>
      </c>
      <c r="G773" s="663">
        <v>0.12</v>
      </c>
      <c r="H773" s="663">
        <v>0.12</v>
      </c>
      <c r="I773" s="663">
        <v>0.12</v>
      </c>
      <c r="J773" s="663">
        <v>0.12</v>
      </c>
      <c r="K773" s="663">
        <v>0.12</v>
      </c>
      <c r="L773" s="663">
        <v>0.12</v>
      </c>
      <c r="M773" s="663">
        <v>0.12</v>
      </c>
      <c r="N773" s="666">
        <v>0.12</v>
      </c>
      <c r="O773" s="666">
        <v>0.12</v>
      </c>
    </row>
    <row r="774" s="597" customFormat="1" spans="1:15">
      <c r="A774" s="618"/>
      <c r="B774" s="675" t="s">
        <v>1143</v>
      </c>
      <c r="C774" s="597">
        <v>0.1</v>
      </c>
      <c r="D774" s="635">
        <v>0.1</v>
      </c>
      <c r="E774" s="635">
        <v>0.1</v>
      </c>
      <c r="F774" s="635">
        <v>0.1</v>
      </c>
      <c r="G774" s="635">
        <v>0.1</v>
      </c>
      <c r="H774" s="635">
        <v>0.1</v>
      </c>
      <c r="I774" s="635">
        <v>0.1</v>
      </c>
      <c r="J774" s="635">
        <v>0.1</v>
      </c>
      <c r="K774" s="635">
        <v>0.1</v>
      </c>
      <c r="L774" s="635">
        <v>0.1</v>
      </c>
      <c r="M774" s="635">
        <v>0.1</v>
      </c>
      <c r="N774" s="640">
        <v>0.1</v>
      </c>
      <c r="O774" s="640">
        <v>0.1</v>
      </c>
    </row>
    <row r="775" s="597" customFormat="1" spans="1:15">
      <c r="A775" s="618"/>
      <c r="B775" s="675" t="s">
        <v>1144</v>
      </c>
      <c r="C775" s="597">
        <v>0.07</v>
      </c>
      <c r="D775" s="635">
        <v>0.07</v>
      </c>
      <c r="E775" s="635">
        <v>0.07</v>
      </c>
      <c r="F775" s="635">
        <v>0.07</v>
      </c>
      <c r="G775" s="635">
        <v>0.07</v>
      </c>
      <c r="H775" s="635">
        <v>0.07</v>
      </c>
      <c r="I775" s="635">
        <v>0.07</v>
      </c>
      <c r="J775" s="635">
        <v>0.07</v>
      </c>
      <c r="K775" s="635">
        <v>0.07</v>
      </c>
      <c r="L775" s="635">
        <v>0.07</v>
      </c>
      <c r="M775" s="635">
        <v>0.07</v>
      </c>
      <c r="N775" s="640">
        <v>0.07</v>
      </c>
      <c r="O775" s="640">
        <v>0.07</v>
      </c>
    </row>
    <row r="776" s="597" customFormat="1" spans="1:15">
      <c r="A776" s="618"/>
      <c r="B776" s="675" t="s">
        <v>1145</v>
      </c>
      <c r="C776" s="597">
        <v>0.07</v>
      </c>
      <c r="D776" s="635">
        <v>0.07</v>
      </c>
      <c r="E776" s="635">
        <v>0.07</v>
      </c>
      <c r="F776" s="635">
        <v>0.07</v>
      </c>
      <c r="G776" s="635">
        <v>0.07</v>
      </c>
      <c r="H776" s="635">
        <v>0.07</v>
      </c>
      <c r="I776" s="635">
        <v>0.07</v>
      </c>
      <c r="J776" s="635">
        <v>0.07</v>
      </c>
      <c r="K776" s="635">
        <v>0.07</v>
      </c>
      <c r="L776" s="635">
        <v>0.07</v>
      </c>
      <c r="M776" s="635">
        <v>0.07</v>
      </c>
      <c r="N776" s="640">
        <v>0.07</v>
      </c>
      <c r="O776" s="640">
        <v>0.07</v>
      </c>
    </row>
    <row r="777" s="597" customFormat="1" spans="1:15">
      <c r="A777" s="618"/>
      <c r="B777" s="675" t="s">
        <v>1146</v>
      </c>
      <c r="C777" s="597">
        <v>0.06</v>
      </c>
      <c r="D777" s="635">
        <v>0.06</v>
      </c>
      <c r="E777" s="635">
        <v>0.06</v>
      </c>
      <c r="F777" s="635">
        <v>0.06</v>
      </c>
      <c r="G777" s="635">
        <v>0.06</v>
      </c>
      <c r="H777" s="635">
        <v>0.06</v>
      </c>
      <c r="I777" s="635">
        <v>0.06</v>
      </c>
      <c r="J777" s="635">
        <v>0.06</v>
      </c>
      <c r="K777" s="635">
        <v>0.06</v>
      </c>
      <c r="L777" s="635">
        <v>0.06</v>
      </c>
      <c r="M777" s="635">
        <v>0.06</v>
      </c>
      <c r="N777" s="640">
        <v>0.06</v>
      </c>
      <c r="O777" s="640">
        <v>0.06</v>
      </c>
    </row>
    <row r="778" s="597" customFormat="1" spans="1:15">
      <c r="A778" s="618"/>
      <c r="B778" s="675" t="s">
        <v>1147</v>
      </c>
      <c r="C778" s="597">
        <v>0.06</v>
      </c>
      <c r="D778" s="663">
        <v>0.05</v>
      </c>
      <c r="E778" s="663">
        <v>0.05</v>
      </c>
      <c r="F778" s="663">
        <v>0.05</v>
      </c>
      <c r="G778" s="663">
        <v>0.05</v>
      </c>
      <c r="H778" s="663">
        <v>0.05</v>
      </c>
      <c r="I778" s="663">
        <v>0.05</v>
      </c>
      <c r="J778" s="663">
        <v>0.05</v>
      </c>
      <c r="K778" s="663">
        <v>0.05</v>
      </c>
      <c r="L778" s="663">
        <v>0.05</v>
      </c>
      <c r="M778" s="663">
        <v>0.05</v>
      </c>
      <c r="N778" s="666">
        <v>0.05</v>
      </c>
      <c r="O778" s="666">
        <v>0.05</v>
      </c>
    </row>
    <row r="779" s="597" customFormat="1" spans="1:15">
      <c r="A779" s="618"/>
      <c r="B779" s="675" t="s">
        <v>1148</v>
      </c>
      <c r="C779" s="597">
        <v>0.06</v>
      </c>
      <c r="D779" s="635">
        <v>0.06</v>
      </c>
      <c r="E779" s="635">
        <v>0.06</v>
      </c>
      <c r="F779" s="635">
        <v>0.06</v>
      </c>
      <c r="G779" s="635">
        <v>0.06</v>
      </c>
      <c r="H779" s="635">
        <v>0.06</v>
      </c>
      <c r="I779" s="635">
        <v>0.06</v>
      </c>
      <c r="J779" s="635">
        <v>0.06</v>
      </c>
      <c r="K779" s="635">
        <v>0.06</v>
      </c>
      <c r="L779" s="635">
        <v>0.06</v>
      </c>
      <c r="M779" s="635">
        <v>0.06</v>
      </c>
      <c r="N779" s="640">
        <v>0.06</v>
      </c>
      <c r="O779" s="640">
        <v>0.06</v>
      </c>
    </row>
    <row r="780" s="597" customFormat="1" spans="1:15">
      <c r="A780" s="618"/>
      <c r="B780" s="675" t="s">
        <v>1149</v>
      </c>
      <c r="C780" s="597">
        <v>0.07</v>
      </c>
      <c r="D780" s="663">
        <v>0.06</v>
      </c>
      <c r="E780" s="663">
        <v>0.06</v>
      </c>
      <c r="F780" s="663">
        <v>0.06</v>
      </c>
      <c r="G780" s="663">
        <v>0.06</v>
      </c>
      <c r="H780" s="663">
        <v>0.06</v>
      </c>
      <c r="I780" s="663">
        <v>0.06</v>
      </c>
      <c r="J780" s="663">
        <v>0.06</v>
      </c>
      <c r="K780" s="663">
        <v>0.06</v>
      </c>
      <c r="L780" s="663">
        <v>0.06</v>
      </c>
      <c r="M780" s="663">
        <v>0.06</v>
      </c>
      <c r="N780" s="666">
        <v>0.06</v>
      </c>
      <c r="O780" s="666">
        <v>0.06</v>
      </c>
    </row>
    <row r="781" s="597" customFormat="1" spans="1:15">
      <c r="A781" s="618"/>
      <c r="B781" s="675" t="s">
        <v>1150</v>
      </c>
      <c r="C781" s="597">
        <v>0.08</v>
      </c>
      <c r="D781" s="663">
        <v>0.11</v>
      </c>
      <c r="E781" s="663">
        <v>0.11</v>
      </c>
      <c r="F781" s="663">
        <v>0.11</v>
      </c>
      <c r="G781" s="663">
        <v>0.11</v>
      </c>
      <c r="H781" s="663">
        <v>0.11</v>
      </c>
      <c r="I781" s="663">
        <v>0.11</v>
      </c>
      <c r="J781" s="663">
        <v>0.11</v>
      </c>
      <c r="K781" s="663">
        <v>0.11</v>
      </c>
      <c r="L781" s="663">
        <v>0.11</v>
      </c>
      <c r="M781" s="663">
        <v>0.11</v>
      </c>
      <c r="N781" s="666">
        <v>0.11</v>
      </c>
      <c r="O781" s="666">
        <v>0.11</v>
      </c>
    </row>
    <row r="782" s="597" customFormat="1" spans="1:15">
      <c r="A782" s="618"/>
      <c r="B782" s="675" t="s">
        <v>1151</v>
      </c>
      <c r="C782" s="597">
        <v>0.1</v>
      </c>
      <c r="D782" s="663">
        <v>0.11</v>
      </c>
      <c r="E782" s="663">
        <v>0.11</v>
      </c>
      <c r="F782" s="663">
        <v>0.11</v>
      </c>
      <c r="G782" s="663">
        <v>0.11</v>
      </c>
      <c r="H782" s="663">
        <v>0.11</v>
      </c>
      <c r="I782" s="663">
        <v>0.11</v>
      </c>
      <c r="J782" s="663">
        <v>0.11</v>
      </c>
      <c r="K782" s="663">
        <v>0.11</v>
      </c>
      <c r="L782" s="663">
        <v>0.11</v>
      </c>
      <c r="M782" s="663">
        <v>0.11</v>
      </c>
      <c r="N782" s="666">
        <v>0.11</v>
      </c>
      <c r="O782" s="666">
        <v>0.11</v>
      </c>
    </row>
    <row r="783" s="597" customFormat="1" spans="1:15">
      <c r="A783" s="618"/>
      <c r="B783" s="675" t="s">
        <v>1152</v>
      </c>
      <c r="C783" s="597">
        <v>0.1</v>
      </c>
      <c r="D783" s="663">
        <v>0.11</v>
      </c>
      <c r="E783" s="663">
        <v>0.11</v>
      </c>
      <c r="F783" s="663">
        <v>0.11</v>
      </c>
      <c r="G783" s="663">
        <v>0.11</v>
      </c>
      <c r="H783" s="663">
        <v>0.11</v>
      </c>
      <c r="I783" s="663">
        <v>0.11</v>
      </c>
      <c r="J783" s="663">
        <v>0.11</v>
      </c>
      <c r="K783" s="663">
        <v>0.11</v>
      </c>
      <c r="L783" s="663">
        <v>0.11</v>
      </c>
      <c r="M783" s="663">
        <v>0.11</v>
      </c>
      <c r="N783" s="666">
        <v>0.11</v>
      </c>
      <c r="O783" s="666">
        <v>0.11</v>
      </c>
    </row>
    <row r="784" s="597" customFormat="1" spans="1:15">
      <c r="A784" s="618"/>
      <c r="B784" s="675" t="s">
        <v>1153</v>
      </c>
      <c r="C784" s="597">
        <v>0.11</v>
      </c>
      <c r="D784" s="635">
        <v>0.11</v>
      </c>
      <c r="E784" s="635">
        <v>0.11</v>
      </c>
      <c r="F784" s="635">
        <v>0.11</v>
      </c>
      <c r="G784" s="635">
        <v>0.11</v>
      </c>
      <c r="H784" s="635">
        <v>0.11</v>
      </c>
      <c r="I784" s="635">
        <v>0.11</v>
      </c>
      <c r="J784" s="635">
        <v>0.11</v>
      </c>
      <c r="K784" s="635">
        <v>0.11</v>
      </c>
      <c r="L784" s="635">
        <v>0.11</v>
      </c>
      <c r="M784" s="635">
        <v>0.11</v>
      </c>
      <c r="N784" s="640">
        <v>0.11</v>
      </c>
      <c r="O784" s="640">
        <v>0.11</v>
      </c>
    </row>
    <row r="785" s="597" customFormat="1" spans="1:15">
      <c r="A785" s="618"/>
      <c r="B785" s="675" t="s">
        <v>1154</v>
      </c>
      <c r="C785" s="597">
        <v>0.11</v>
      </c>
      <c r="D785" s="635">
        <v>0.11</v>
      </c>
      <c r="E785" s="635">
        <v>0.11</v>
      </c>
      <c r="F785" s="635">
        <v>0.11</v>
      </c>
      <c r="G785" s="635">
        <v>0.11</v>
      </c>
      <c r="H785" s="635">
        <v>0.11</v>
      </c>
      <c r="I785" s="635">
        <v>0.11</v>
      </c>
      <c r="J785" s="635">
        <v>0.11</v>
      </c>
      <c r="K785" s="635">
        <v>0.11</v>
      </c>
      <c r="L785" s="635">
        <v>0.11</v>
      </c>
      <c r="M785" s="635">
        <v>0.11</v>
      </c>
      <c r="N785" s="640">
        <v>0.11</v>
      </c>
      <c r="O785" s="640">
        <v>0.11</v>
      </c>
    </row>
    <row r="786" s="597" customFormat="1" spans="1:15">
      <c r="A786" s="618"/>
      <c r="B786" s="675" t="s">
        <v>1155</v>
      </c>
      <c r="C786" s="597">
        <v>0.11</v>
      </c>
      <c r="D786" s="635">
        <v>0.11</v>
      </c>
      <c r="E786" s="635">
        <v>0.11</v>
      </c>
      <c r="F786" s="635">
        <v>0.11</v>
      </c>
      <c r="G786" s="635">
        <v>0.11</v>
      </c>
      <c r="H786" s="635">
        <v>0.11</v>
      </c>
      <c r="I786" s="635">
        <v>0.11</v>
      </c>
      <c r="J786" s="635">
        <v>0.11</v>
      </c>
      <c r="K786" s="635">
        <v>0.11</v>
      </c>
      <c r="L786" s="635">
        <v>0.11</v>
      </c>
      <c r="M786" s="635">
        <v>0.11</v>
      </c>
      <c r="N786" s="640">
        <v>0.11</v>
      </c>
      <c r="O786" s="640">
        <v>0.11</v>
      </c>
    </row>
    <row r="787" s="597" customFormat="1" spans="1:15">
      <c r="A787" s="618"/>
      <c r="B787" s="675" t="s">
        <v>1156</v>
      </c>
      <c r="C787" s="597">
        <v>0.07</v>
      </c>
      <c r="D787" s="663">
        <v>0.06</v>
      </c>
      <c r="E787" s="663">
        <v>0.06</v>
      </c>
      <c r="F787" s="663">
        <v>0.06</v>
      </c>
      <c r="G787" s="663">
        <v>0.06</v>
      </c>
      <c r="H787" s="663">
        <v>0.06</v>
      </c>
      <c r="I787" s="663">
        <v>0.06</v>
      </c>
      <c r="J787" s="663">
        <v>0.06</v>
      </c>
      <c r="K787" s="663">
        <v>0.06</v>
      </c>
      <c r="L787" s="663">
        <v>0.06</v>
      </c>
      <c r="M787" s="663">
        <v>0.06</v>
      </c>
      <c r="N787" s="666">
        <v>0.06</v>
      </c>
      <c r="O787" s="666">
        <v>0.06</v>
      </c>
    </row>
    <row r="788" s="597" customFormat="1" spans="1:15">
      <c r="A788" s="618"/>
      <c r="B788" s="675" t="s">
        <v>1157</v>
      </c>
      <c r="C788" s="597">
        <v>0.07</v>
      </c>
      <c r="D788" s="663">
        <v>0.05</v>
      </c>
      <c r="E788" s="663">
        <v>0.05</v>
      </c>
      <c r="F788" s="663">
        <v>0.05</v>
      </c>
      <c r="G788" s="663">
        <v>0.05</v>
      </c>
      <c r="H788" s="663">
        <v>0.05</v>
      </c>
      <c r="I788" s="663">
        <v>0.05</v>
      </c>
      <c r="J788" s="663">
        <v>0.05</v>
      </c>
      <c r="K788" s="663">
        <v>0.05</v>
      </c>
      <c r="L788" s="663">
        <v>0.05</v>
      </c>
      <c r="M788" s="663">
        <v>0.05</v>
      </c>
      <c r="N788" s="666">
        <v>0.05</v>
      </c>
      <c r="O788" s="666">
        <v>0.05</v>
      </c>
    </row>
    <row r="789" s="597" customFormat="1" spans="1:15">
      <c r="A789" s="618"/>
      <c r="B789" s="675" t="s">
        <v>1158</v>
      </c>
      <c r="C789" s="597">
        <v>0.05</v>
      </c>
      <c r="D789" s="663">
        <v>0.02</v>
      </c>
      <c r="E789" s="663">
        <v>0.02</v>
      </c>
      <c r="F789" s="663">
        <v>0.02</v>
      </c>
      <c r="G789" s="663">
        <v>0.02</v>
      </c>
      <c r="H789" s="663">
        <v>0.02</v>
      </c>
      <c r="I789" s="663">
        <v>0.02</v>
      </c>
      <c r="J789" s="663">
        <v>0.02</v>
      </c>
      <c r="K789" s="663">
        <v>0.02</v>
      </c>
      <c r="L789" s="663">
        <v>0.02</v>
      </c>
      <c r="M789" s="663">
        <v>0.02</v>
      </c>
      <c r="N789" s="666">
        <v>0.02</v>
      </c>
      <c r="O789" s="666">
        <v>0.02</v>
      </c>
    </row>
    <row r="790" s="597" customFormat="1" spans="1:15">
      <c r="A790" s="618"/>
      <c r="B790" s="675" t="s">
        <v>1159</v>
      </c>
      <c r="C790" s="597">
        <v>0.05</v>
      </c>
      <c r="D790" s="663">
        <v>0.03</v>
      </c>
      <c r="E790" s="663">
        <v>0.03</v>
      </c>
      <c r="F790" s="663">
        <v>0.03</v>
      </c>
      <c r="G790" s="663">
        <v>0.03</v>
      </c>
      <c r="H790" s="663">
        <v>0.03</v>
      </c>
      <c r="I790" s="663">
        <v>0.03</v>
      </c>
      <c r="J790" s="663">
        <v>0.03</v>
      </c>
      <c r="K790" s="663">
        <v>0.03</v>
      </c>
      <c r="L790" s="663">
        <v>0.03</v>
      </c>
      <c r="M790" s="663">
        <v>0.03</v>
      </c>
      <c r="N790" s="666">
        <v>0.03</v>
      </c>
      <c r="O790" s="666">
        <v>0.03</v>
      </c>
    </row>
    <row r="791" s="597" customFormat="1" spans="1:15">
      <c r="A791" s="618"/>
      <c r="B791" s="675" t="s">
        <v>1160</v>
      </c>
      <c r="C791" s="597">
        <v>0.06</v>
      </c>
      <c r="D791" s="663">
        <v>0.03</v>
      </c>
      <c r="E791" s="663">
        <v>0.03</v>
      </c>
      <c r="F791" s="663">
        <v>0.03</v>
      </c>
      <c r="G791" s="663">
        <v>0.03</v>
      </c>
      <c r="H791" s="663">
        <v>0.03</v>
      </c>
      <c r="I791" s="663">
        <v>0.03</v>
      </c>
      <c r="J791" s="663">
        <v>0.03</v>
      </c>
      <c r="K791" s="663">
        <v>0.03</v>
      </c>
      <c r="L791" s="663">
        <v>0.03</v>
      </c>
      <c r="M791" s="663">
        <v>0.03</v>
      </c>
      <c r="N791" s="666">
        <v>0.03</v>
      </c>
      <c r="O791" s="666">
        <v>0.03</v>
      </c>
    </row>
    <row r="792" s="597" customFormat="1" spans="1:15">
      <c r="A792" s="618"/>
      <c r="B792" s="675" t="s">
        <v>1161</v>
      </c>
      <c r="C792" s="597">
        <v>0.07</v>
      </c>
      <c r="D792" s="663">
        <v>0.04</v>
      </c>
      <c r="E792" s="663">
        <v>0.04</v>
      </c>
      <c r="F792" s="663">
        <v>0.04</v>
      </c>
      <c r="G792" s="663">
        <v>0.04</v>
      </c>
      <c r="H792" s="663">
        <v>0.04</v>
      </c>
      <c r="I792" s="663">
        <v>0.04</v>
      </c>
      <c r="J792" s="663">
        <v>0.04</v>
      </c>
      <c r="K792" s="663">
        <v>0.04</v>
      </c>
      <c r="L792" s="663">
        <v>0.04</v>
      </c>
      <c r="M792" s="663">
        <v>0.04</v>
      </c>
      <c r="N792" s="666">
        <v>0.04</v>
      </c>
      <c r="O792" s="666">
        <v>0.04</v>
      </c>
    </row>
    <row r="793" s="597" customFormat="1" spans="1:15">
      <c r="A793" s="618"/>
      <c r="B793" s="675" t="s">
        <v>1162</v>
      </c>
      <c r="C793" s="597">
        <v>0.08</v>
      </c>
      <c r="D793" s="663">
        <v>0.11</v>
      </c>
      <c r="E793" s="663">
        <v>0.11</v>
      </c>
      <c r="F793" s="663">
        <v>0.11</v>
      </c>
      <c r="G793" s="663">
        <v>0.11</v>
      </c>
      <c r="H793" s="663">
        <v>0.11</v>
      </c>
      <c r="I793" s="663">
        <v>0.11</v>
      </c>
      <c r="J793" s="663">
        <v>0.11</v>
      </c>
      <c r="K793" s="663">
        <v>0.11</v>
      </c>
      <c r="L793" s="663">
        <v>0.11</v>
      </c>
      <c r="M793" s="663">
        <v>0.11</v>
      </c>
      <c r="N793" s="666">
        <v>0.11</v>
      </c>
      <c r="O793" s="666">
        <v>0.11</v>
      </c>
    </row>
    <row r="794" s="597" customFormat="1" spans="1:15">
      <c r="A794" s="618"/>
      <c r="B794" s="675" t="s">
        <v>1163</v>
      </c>
      <c r="C794" s="597">
        <v>0.1</v>
      </c>
      <c r="D794" s="663">
        <v>0.12</v>
      </c>
      <c r="E794" s="663">
        <v>0.12</v>
      </c>
      <c r="F794" s="663">
        <v>0.12</v>
      </c>
      <c r="G794" s="663">
        <v>0.12</v>
      </c>
      <c r="H794" s="663">
        <v>0.12</v>
      </c>
      <c r="I794" s="663">
        <v>0.12</v>
      </c>
      <c r="J794" s="663">
        <v>0.12</v>
      </c>
      <c r="K794" s="663">
        <v>0.12</v>
      </c>
      <c r="L794" s="663">
        <v>0.12</v>
      </c>
      <c r="M794" s="663">
        <v>0.12</v>
      </c>
      <c r="N794" s="666">
        <v>0.12</v>
      </c>
      <c r="O794" s="666">
        <v>0.12</v>
      </c>
    </row>
    <row r="795" s="597" customFormat="1" spans="1:15">
      <c r="A795" s="618"/>
      <c r="B795" s="675" t="s">
        <v>1164</v>
      </c>
      <c r="C795" s="597">
        <v>0.1</v>
      </c>
      <c r="D795" s="663">
        <v>0.12</v>
      </c>
      <c r="E795" s="663">
        <v>0.12</v>
      </c>
      <c r="F795" s="663">
        <v>0.12</v>
      </c>
      <c r="G795" s="663">
        <v>0.12</v>
      </c>
      <c r="H795" s="663">
        <v>0.12</v>
      </c>
      <c r="I795" s="663">
        <v>0.12</v>
      </c>
      <c r="J795" s="663">
        <v>0.12</v>
      </c>
      <c r="K795" s="663">
        <v>0.12</v>
      </c>
      <c r="L795" s="663">
        <v>0.12</v>
      </c>
      <c r="M795" s="663">
        <v>0.12</v>
      </c>
      <c r="N795" s="666">
        <v>0.12</v>
      </c>
      <c r="O795" s="666">
        <v>0.12</v>
      </c>
    </row>
    <row r="796" s="597" customFormat="1" spans="1:15">
      <c r="A796" s="618"/>
      <c r="B796" s="675" t="s">
        <v>1165</v>
      </c>
      <c r="C796" s="597">
        <v>0.12</v>
      </c>
      <c r="D796" s="635">
        <v>0.12</v>
      </c>
      <c r="E796" s="635">
        <v>0.12</v>
      </c>
      <c r="F796" s="635">
        <v>0.12</v>
      </c>
      <c r="G796" s="635">
        <v>0.12</v>
      </c>
      <c r="H796" s="635">
        <v>0.12</v>
      </c>
      <c r="I796" s="635">
        <v>0.12</v>
      </c>
      <c r="J796" s="635">
        <v>0.12</v>
      </c>
      <c r="K796" s="635">
        <v>0.12</v>
      </c>
      <c r="L796" s="635">
        <v>0.12</v>
      </c>
      <c r="M796" s="635">
        <v>0.12</v>
      </c>
      <c r="N796" s="640">
        <v>0.12</v>
      </c>
      <c r="O796" s="640">
        <v>0.12</v>
      </c>
    </row>
    <row r="797" s="597" customFormat="1" spans="1:15">
      <c r="A797" s="618"/>
      <c r="B797" s="675" t="s">
        <v>1166</v>
      </c>
      <c r="C797" s="597">
        <v>0.12</v>
      </c>
      <c r="D797" s="635">
        <v>0.12</v>
      </c>
      <c r="E797" s="635">
        <v>0.12</v>
      </c>
      <c r="F797" s="635">
        <v>0.12</v>
      </c>
      <c r="G797" s="635">
        <v>0.12</v>
      </c>
      <c r="H797" s="635">
        <v>0.12</v>
      </c>
      <c r="I797" s="635">
        <v>0.12</v>
      </c>
      <c r="J797" s="635">
        <v>0.12</v>
      </c>
      <c r="K797" s="635">
        <v>0.12</v>
      </c>
      <c r="L797" s="635">
        <v>0.12</v>
      </c>
      <c r="M797" s="635">
        <v>0.12</v>
      </c>
      <c r="N797" s="640">
        <v>0.12</v>
      </c>
      <c r="O797" s="640">
        <v>0.12</v>
      </c>
    </row>
    <row r="798" s="597" customFormat="1" spans="1:15">
      <c r="A798" s="618"/>
      <c r="B798" s="675" t="s">
        <v>1167</v>
      </c>
      <c r="C798" s="597">
        <v>0.11</v>
      </c>
      <c r="D798" s="635">
        <v>0.11</v>
      </c>
      <c r="E798" s="635">
        <v>0.11</v>
      </c>
      <c r="F798" s="635">
        <v>0.11</v>
      </c>
      <c r="G798" s="635">
        <v>0.11</v>
      </c>
      <c r="H798" s="635">
        <v>0.11</v>
      </c>
      <c r="I798" s="635">
        <v>0.11</v>
      </c>
      <c r="J798" s="635">
        <v>0.11</v>
      </c>
      <c r="K798" s="635">
        <v>0.11</v>
      </c>
      <c r="L798" s="635">
        <v>0.11</v>
      </c>
      <c r="M798" s="635">
        <v>0.11</v>
      </c>
      <c r="N798" s="640">
        <v>0.11</v>
      </c>
      <c r="O798" s="640">
        <v>0.11</v>
      </c>
    </row>
    <row r="799" s="597" customFormat="1" spans="1:15">
      <c r="A799" s="618"/>
      <c r="B799" s="675" t="s">
        <v>1168</v>
      </c>
      <c r="C799" s="597">
        <v>0.07</v>
      </c>
      <c r="D799" s="663">
        <v>0.15</v>
      </c>
      <c r="E799" s="663">
        <v>0.15</v>
      </c>
      <c r="F799" s="663">
        <v>0.15</v>
      </c>
      <c r="G799" s="663">
        <v>0.15</v>
      </c>
      <c r="H799" s="663">
        <v>0.15</v>
      </c>
      <c r="I799" s="663">
        <v>0.15</v>
      </c>
      <c r="J799" s="663">
        <v>0.15</v>
      </c>
      <c r="K799" s="663">
        <v>0.15</v>
      </c>
      <c r="L799" s="663">
        <v>0.15</v>
      </c>
      <c r="M799" s="663">
        <v>0.15</v>
      </c>
      <c r="N799" s="666">
        <v>0.15</v>
      </c>
      <c r="O799" s="666">
        <v>0.15</v>
      </c>
    </row>
    <row r="800" s="597" customFormat="1" spans="1:15">
      <c r="A800" s="618"/>
      <c r="B800" s="675" t="s">
        <v>1169</v>
      </c>
      <c r="C800" s="597">
        <v>0.07</v>
      </c>
      <c r="D800" s="663">
        <v>0.03</v>
      </c>
      <c r="E800" s="663">
        <v>0.03</v>
      </c>
      <c r="F800" s="663">
        <v>0.03</v>
      </c>
      <c r="G800" s="663">
        <v>0.03</v>
      </c>
      <c r="H800" s="663">
        <v>0.03</v>
      </c>
      <c r="I800" s="663">
        <v>0.03</v>
      </c>
      <c r="J800" s="663">
        <v>0.03</v>
      </c>
      <c r="K800" s="663">
        <v>0.03</v>
      </c>
      <c r="L800" s="663">
        <v>0.03</v>
      </c>
      <c r="M800" s="663">
        <v>0.03</v>
      </c>
      <c r="N800" s="666">
        <v>0.03</v>
      </c>
      <c r="O800" s="666">
        <v>0.03</v>
      </c>
    </row>
    <row r="801" s="597" customFormat="1" spans="1:15">
      <c r="A801" s="618"/>
      <c r="B801" s="675" t="s">
        <v>1170</v>
      </c>
      <c r="C801" s="597">
        <v>0.05</v>
      </c>
      <c r="D801" s="635">
        <v>0.05</v>
      </c>
      <c r="E801" s="635">
        <v>0.05</v>
      </c>
      <c r="F801" s="635">
        <v>0.05</v>
      </c>
      <c r="G801" s="635">
        <v>0.05</v>
      </c>
      <c r="H801" s="635">
        <v>0.05</v>
      </c>
      <c r="I801" s="635">
        <v>0.05</v>
      </c>
      <c r="J801" s="635">
        <v>0.05</v>
      </c>
      <c r="K801" s="635">
        <v>0.05</v>
      </c>
      <c r="L801" s="635">
        <v>0.05</v>
      </c>
      <c r="M801" s="635">
        <v>0.05</v>
      </c>
      <c r="N801" s="640">
        <v>0.05</v>
      </c>
      <c r="O801" s="640">
        <v>0.05</v>
      </c>
    </row>
    <row r="802" s="597" customFormat="1" spans="1:15">
      <c r="A802" s="618"/>
      <c r="B802" s="675" t="s">
        <v>1171</v>
      </c>
      <c r="C802" s="597">
        <v>0.05</v>
      </c>
      <c r="D802" s="635">
        <v>0.05</v>
      </c>
      <c r="E802" s="635">
        <v>0.05</v>
      </c>
      <c r="F802" s="635">
        <v>0.05</v>
      </c>
      <c r="G802" s="635">
        <v>0.05</v>
      </c>
      <c r="H802" s="635">
        <v>0.05</v>
      </c>
      <c r="I802" s="635">
        <v>0.05</v>
      </c>
      <c r="J802" s="635">
        <v>0.05</v>
      </c>
      <c r="K802" s="635">
        <v>0.05</v>
      </c>
      <c r="L802" s="635">
        <v>0.05</v>
      </c>
      <c r="M802" s="635">
        <v>0.05</v>
      </c>
      <c r="N802" s="640">
        <v>0.05</v>
      </c>
      <c r="O802" s="640">
        <v>0.05</v>
      </c>
    </row>
    <row r="803" s="597" customFormat="1" spans="1:15">
      <c r="A803" s="618"/>
      <c r="B803" s="675" t="s">
        <v>1172</v>
      </c>
      <c r="C803" s="597">
        <v>0.06</v>
      </c>
      <c r="D803" s="635">
        <v>0.06</v>
      </c>
      <c r="E803" s="635">
        <v>0.06</v>
      </c>
      <c r="F803" s="635">
        <v>0.06</v>
      </c>
      <c r="G803" s="635">
        <v>0.06</v>
      </c>
      <c r="H803" s="635">
        <v>0.06</v>
      </c>
      <c r="I803" s="635">
        <v>0.06</v>
      </c>
      <c r="J803" s="635">
        <v>0.06</v>
      </c>
      <c r="K803" s="635">
        <v>0.06</v>
      </c>
      <c r="L803" s="635">
        <v>0.06</v>
      </c>
      <c r="M803" s="635">
        <v>0.06</v>
      </c>
      <c r="N803" s="640">
        <v>0.06</v>
      </c>
      <c r="O803" s="640">
        <v>0.06</v>
      </c>
    </row>
    <row r="804" s="597" customFormat="1" spans="1:15">
      <c r="A804" s="618"/>
      <c r="B804" s="675" t="s">
        <v>1173</v>
      </c>
      <c r="C804" s="597">
        <v>0.07</v>
      </c>
      <c r="D804" s="635">
        <v>0.07</v>
      </c>
      <c r="E804" s="635">
        <v>0.07</v>
      </c>
      <c r="F804" s="635">
        <v>0.07</v>
      </c>
      <c r="G804" s="635">
        <v>0.07</v>
      </c>
      <c r="H804" s="635">
        <v>0.07</v>
      </c>
      <c r="I804" s="635">
        <v>0.07</v>
      </c>
      <c r="J804" s="635">
        <v>0.07</v>
      </c>
      <c r="K804" s="635">
        <v>0.07</v>
      </c>
      <c r="L804" s="635">
        <v>0.07</v>
      </c>
      <c r="M804" s="635">
        <v>0.07</v>
      </c>
      <c r="N804" s="640">
        <v>0.07</v>
      </c>
      <c r="O804" s="640">
        <v>0.07</v>
      </c>
    </row>
    <row r="805" s="597" customFormat="1" spans="1:15">
      <c r="A805" s="618"/>
      <c r="B805" s="675" t="s">
        <v>1174</v>
      </c>
      <c r="C805" s="597">
        <v>0.08</v>
      </c>
      <c r="D805" s="635">
        <v>0.08</v>
      </c>
      <c r="E805" s="635">
        <v>0.08</v>
      </c>
      <c r="F805" s="635">
        <v>0.08</v>
      </c>
      <c r="G805" s="635">
        <v>0.08</v>
      </c>
      <c r="H805" s="635">
        <v>0.08</v>
      </c>
      <c r="I805" s="635">
        <v>0.08</v>
      </c>
      <c r="J805" s="635">
        <v>0.08</v>
      </c>
      <c r="K805" s="635">
        <v>0.08</v>
      </c>
      <c r="L805" s="635">
        <v>0.08</v>
      </c>
      <c r="M805" s="635">
        <v>0.08</v>
      </c>
      <c r="N805" s="640">
        <v>0.08</v>
      </c>
      <c r="O805" s="640">
        <v>0.08</v>
      </c>
    </row>
    <row r="806" s="597" customFormat="1" spans="1:15">
      <c r="A806" s="618"/>
      <c r="B806" s="675" t="s">
        <v>1175</v>
      </c>
      <c r="C806" s="597">
        <v>0.1</v>
      </c>
      <c r="D806" s="635">
        <v>0.1</v>
      </c>
      <c r="E806" s="635">
        <v>0.1</v>
      </c>
      <c r="F806" s="635">
        <v>0.1</v>
      </c>
      <c r="G806" s="635">
        <v>0.1</v>
      </c>
      <c r="H806" s="635">
        <v>0.1</v>
      </c>
      <c r="I806" s="635">
        <v>0.1</v>
      </c>
      <c r="J806" s="635">
        <v>0.1</v>
      </c>
      <c r="K806" s="635">
        <v>0.1</v>
      </c>
      <c r="L806" s="635">
        <v>0.1</v>
      </c>
      <c r="M806" s="635">
        <v>0.1</v>
      </c>
      <c r="N806" s="640">
        <v>0.1</v>
      </c>
      <c r="O806" s="640">
        <v>0.1</v>
      </c>
    </row>
    <row r="807" s="597" customFormat="1" spans="1:15">
      <c r="A807" s="618"/>
      <c r="B807" s="675" t="s">
        <v>1176</v>
      </c>
      <c r="C807" s="597">
        <v>0.1</v>
      </c>
      <c r="D807" s="635">
        <v>0.1</v>
      </c>
      <c r="E807" s="635">
        <v>0.1</v>
      </c>
      <c r="F807" s="635">
        <v>0.1</v>
      </c>
      <c r="G807" s="635">
        <v>0.1</v>
      </c>
      <c r="H807" s="635">
        <v>0.1</v>
      </c>
      <c r="I807" s="635">
        <v>0.1</v>
      </c>
      <c r="J807" s="635">
        <v>0.1</v>
      </c>
      <c r="K807" s="635">
        <v>0.1</v>
      </c>
      <c r="L807" s="635">
        <v>0.1</v>
      </c>
      <c r="M807" s="635">
        <v>0.1</v>
      </c>
      <c r="N807" s="640">
        <v>0.1</v>
      </c>
      <c r="O807" s="640">
        <v>0.1</v>
      </c>
    </row>
    <row r="808" s="597" customFormat="1" spans="1:15">
      <c r="A808" s="618"/>
      <c r="B808" s="675" t="s">
        <v>1177</v>
      </c>
      <c r="C808" s="597">
        <v>0.12</v>
      </c>
      <c r="D808" s="635">
        <v>0.12</v>
      </c>
      <c r="E808" s="635">
        <v>0.12</v>
      </c>
      <c r="F808" s="635">
        <v>0.12</v>
      </c>
      <c r="G808" s="635">
        <v>0.12</v>
      </c>
      <c r="H808" s="635">
        <v>0.12</v>
      </c>
      <c r="I808" s="635">
        <v>0.12</v>
      </c>
      <c r="J808" s="635">
        <v>0.12</v>
      </c>
      <c r="K808" s="635">
        <v>0.12</v>
      </c>
      <c r="L808" s="635">
        <v>0.12</v>
      </c>
      <c r="M808" s="635">
        <v>0.12</v>
      </c>
      <c r="N808" s="640">
        <v>0.12</v>
      </c>
      <c r="O808" s="640">
        <v>0.12</v>
      </c>
    </row>
    <row r="809" s="597" customFormat="1" spans="1:15">
      <c r="A809" s="618"/>
      <c r="B809" s="675" t="s">
        <v>1178</v>
      </c>
      <c r="C809" s="597">
        <v>0.12</v>
      </c>
      <c r="D809" s="635">
        <v>0.12</v>
      </c>
      <c r="E809" s="635">
        <v>0.12</v>
      </c>
      <c r="F809" s="635">
        <v>0.12</v>
      </c>
      <c r="G809" s="635">
        <v>0.12</v>
      </c>
      <c r="H809" s="635">
        <v>0.12</v>
      </c>
      <c r="I809" s="635">
        <v>0.12</v>
      </c>
      <c r="J809" s="635">
        <v>0.12</v>
      </c>
      <c r="K809" s="635">
        <v>0.12</v>
      </c>
      <c r="L809" s="635">
        <v>0.12</v>
      </c>
      <c r="M809" s="635">
        <v>0.12</v>
      </c>
      <c r="N809" s="640">
        <v>0.12</v>
      </c>
      <c r="O809" s="640">
        <v>0.12</v>
      </c>
    </row>
    <row r="810" s="597" customFormat="1" spans="1:15">
      <c r="A810" s="618"/>
      <c r="B810" s="675" t="s">
        <v>1179</v>
      </c>
      <c r="C810" s="597">
        <v>0.11</v>
      </c>
      <c r="D810" s="635">
        <v>0.11</v>
      </c>
      <c r="E810" s="635">
        <v>0.11</v>
      </c>
      <c r="F810" s="635">
        <v>0.11</v>
      </c>
      <c r="G810" s="635">
        <v>0.11</v>
      </c>
      <c r="H810" s="635">
        <v>0.11</v>
      </c>
      <c r="I810" s="635">
        <v>0.11</v>
      </c>
      <c r="J810" s="635">
        <v>0.11</v>
      </c>
      <c r="K810" s="635">
        <v>0.11</v>
      </c>
      <c r="L810" s="635">
        <v>0.11</v>
      </c>
      <c r="M810" s="635">
        <v>0.11</v>
      </c>
      <c r="N810" s="640">
        <v>0.11</v>
      </c>
      <c r="O810" s="640">
        <v>0.11</v>
      </c>
    </row>
    <row r="811" s="597" customFormat="1" spans="1:15">
      <c r="A811" s="618"/>
      <c r="B811" s="675" t="s">
        <v>1180</v>
      </c>
      <c r="C811" s="597">
        <v>0.07</v>
      </c>
      <c r="D811" s="635">
        <v>0.07</v>
      </c>
      <c r="E811" s="635">
        <v>0.07</v>
      </c>
      <c r="F811" s="635">
        <v>0.07</v>
      </c>
      <c r="G811" s="635">
        <v>0.07</v>
      </c>
      <c r="H811" s="635">
        <v>0.07</v>
      </c>
      <c r="I811" s="635">
        <v>0.07</v>
      </c>
      <c r="J811" s="635">
        <v>0.07</v>
      </c>
      <c r="K811" s="635">
        <v>0.07</v>
      </c>
      <c r="L811" s="635">
        <v>0.07</v>
      </c>
      <c r="M811" s="635">
        <v>0.07</v>
      </c>
      <c r="N811" s="640">
        <v>0.07</v>
      </c>
      <c r="O811" s="640">
        <v>0.07</v>
      </c>
    </row>
    <row r="812" s="597" customFormat="1" spans="1:15">
      <c r="A812" s="618"/>
      <c r="B812" s="675" t="s">
        <v>1181</v>
      </c>
      <c r="C812" s="597">
        <v>0.07</v>
      </c>
      <c r="D812" s="635">
        <v>0.07</v>
      </c>
      <c r="E812" s="635">
        <v>0.07</v>
      </c>
      <c r="F812" s="635">
        <v>0.07</v>
      </c>
      <c r="G812" s="635">
        <v>0.07</v>
      </c>
      <c r="H812" s="635">
        <v>0.07</v>
      </c>
      <c r="I812" s="635">
        <v>0.07</v>
      </c>
      <c r="J812" s="635">
        <v>0.07</v>
      </c>
      <c r="K812" s="635">
        <v>0.07</v>
      </c>
      <c r="L812" s="635">
        <v>0.07</v>
      </c>
      <c r="M812" s="635">
        <v>0.07</v>
      </c>
      <c r="N812" s="640">
        <v>0.07</v>
      </c>
      <c r="O812" s="640">
        <v>0.07</v>
      </c>
    </row>
    <row r="813" s="597" customFormat="1" spans="1:15">
      <c r="A813" s="618"/>
      <c r="B813" s="675" t="s">
        <v>1182</v>
      </c>
      <c r="C813" s="597">
        <v>0.05</v>
      </c>
      <c r="D813" s="635">
        <v>0.05</v>
      </c>
      <c r="E813" s="635">
        <v>0.05</v>
      </c>
      <c r="F813" s="635">
        <v>0.05</v>
      </c>
      <c r="G813" s="635">
        <v>0.05</v>
      </c>
      <c r="H813" s="635">
        <v>0.05</v>
      </c>
      <c r="I813" s="635">
        <v>0.05</v>
      </c>
      <c r="J813" s="635">
        <v>0.05</v>
      </c>
      <c r="K813" s="635">
        <v>0.05</v>
      </c>
      <c r="L813" s="635">
        <v>0.05</v>
      </c>
      <c r="M813" s="635">
        <v>0.05</v>
      </c>
      <c r="N813" s="640">
        <v>0.05</v>
      </c>
      <c r="O813" s="640">
        <v>0.05</v>
      </c>
    </row>
    <row r="814" s="597" customFormat="1" spans="1:15">
      <c r="A814" s="618"/>
      <c r="B814" s="675" t="s">
        <v>1183</v>
      </c>
      <c r="C814" s="597">
        <v>0.05</v>
      </c>
      <c r="D814" s="635">
        <v>0.05</v>
      </c>
      <c r="E814" s="635">
        <v>0.05</v>
      </c>
      <c r="F814" s="635">
        <v>0.05</v>
      </c>
      <c r="G814" s="635">
        <v>0.05</v>
      </c>
      <c r="H814" s="635">
        <v>0.05</v>
      </c>
      <c r="I814" s="635">
        <v>0.05</v>
      </c>
      <c r="J814" s="635">
        <v>0.05</v>
      </c>
      <c r="K814" s="635">
        <v>0.05</v>
      </c>
      <c r="L814" s="635">
        <v>0.05</v>
      </c>
      <c r="M814" s="635">
        <v>0.05</v>
      </c>
      <c r="N814" s="640">
        <v>0.05</v>
      </c>
      <c r="O814" s="640">
        <v>0.05</v>
      </c>
    </row>
    <row r="815" s="597" customFormat="1" spans="1:15">
      <c r="A815" s="618"/>
      <c r="B815" s="675" t="s">
        <v>1184</v>
      </c>
      <c r="C815" s="597">
        <v>0.06</v>
      </c>
      <c r="D815" s="635">
        <v>0.06</v>
      </c>
      <c r="E815" s="635">
        <v>0.06</v>
      </c>
      <c r="F815" s="635">
        <v>0.06</v>
      </c>
      <c r="G815" s="635">
        <v>0.06</v>
      </c>
      <c r="H815" s="635">
        <v>0.06</v>
      </c>
      <c r="I815" s="635">
        <v>0.06</v>
      </c>
      <c r="J815" s="635">
        <v>0.06</v>
      </c>
      <c r="K815" s="635">
        <v>0.06</v>
      </c>
      <c r="L815" s="635">
        <v>0.06</v>
      </c>
      <c r="M815" s="635">
        <v>0.06</v>
      </c>
      <c r="N815" s="640">
        <v>0.06</v>
      </c>
      <c r="O815" s="640">
        <v>0.06</v>
      </c>
    </row>
    <row r="816" s="597" customFormat="1" spans="1:15">
      <c r="A816" s="618"/>
      <c r="B816" s="675" t="s">
        <v>1185</v>
      </c>
      <c r="C816" s="597">
        <v>0.07</v>
      </c>
      <c r="D816" s="635">
        <v>0.07</v>
      </c>
      <c r="E816" s="635">
        <v>0.07</v>
      </c>
      <c r="F816" s="635">
        <v>0.07</v>
      </c>
      <c r="G816" s="635">
        <v>0.07</v>
      </c>
      <c r="H816" s="635">
        <v>0.07</v>
      </c>
      <c r="I816" s="635">
        <v>0.07</v>
      </c>
      <c r="J816" s="635">
        <v>0.07</v>
      </c>
      <c r="K816" s="635">
        <v>0.07</v>
      </c>
      <c r="L816" s="635">
        <v>0.07</v>
      </c>
      <c r="M816" s="635">
        <v>0.07</v>
      </c>
      <c r="N816" s="640">
        <v>0.07</v>
      </c>
      <c r="O816" s="640">
        <v>0.07</v>
      </c>
    </row>
    <row r="817" s="597" customFormat="1" spans="1:15">
      <c r="A817" s="618"/>
      <c r="B817" s="675" t="s">
        <v>1186</v>
      </c>
      <c r="C817" s="597">
        <v>0.08</v>
      </c>
      <c r="D817" s="635">
        <v>0.08</v>
      </c>
      <c r="E817" s="635">
        <v>0.08</v>
      </c>
      <c r="F817" s="635">
        <v>0.08</v>
      </c>
      <c r="G817" s="635">
        <v>0.08</v>
      </c>
      <c r="H817" s="635">
        <v>0.08</v>
      </c>
      <c r="I817" s="635">
        <v>0.08</v>
      </c>
      <c r="J817" s="635">
        <v>0.08</v>
      </c>
      <c r="K817" s="635">
        <v>0.08</v>
      </c>
      <c r="L817" s="635">
        <v>0.08</v>
      </c>
      <c r="M817" s="635">
        <v>0.08</v>
      </c>
      <c r="N817" s="640">
        <v>0.08</v>
      </c>
      <c r="O817" s="640">
        <v>0.08</v>
      </c>
    </row>
    <row r="818" s="597" customFormat="1" spans="1:15">
      <c r="A818" s="618"/>
      <c r="B818" s="675" t="s">
        <v>1187</v>
      </c>
      <c r="C818" s="597">
        <v>0.1</v>
      </c>
      <c r="D818" s="635">
        <v>0.1</v>
      </c>
      <c r="E818" s="635">
        <v>0.1</v>
      </c>
      <c r="F818" s="635">
        <v>0.1</v>
      </c>
      <c r="G818" s="635">
        <v>0.1</v>
      </c>
      <c r="H818" s="635">
        <v>0.1</v>
      </c>
      <c r="I818" s="635">
        <v>0.1</v>
      </c>
      <c r="J818" s="635">
        <v>0.1</v>
      </c>
      <c r="K818" s="635">
        <v>0.1</v>
      </c>
      <c r="L818" s="635">
        <v>0.1</v>
      </c>
      <c r="M818" s="635">
        <v>0.1</v>
      </c>
      <c r="N818" s="640">
        <v>0.1</v>
      </c>
      <c r="O818" s="640">
        <v>0.1</v>
      </c>
    </row>
    <row r="819" s="597" customFormat="1" spans="1:15">
      <c r="A819" s="618"/>
      <c r="B819" s="675" t="s">
        <v>1188</v>
      </c>
      <c r="C819" s="597">
        <v>0.1</v>
      </c>
      <c r="D819" s="635">
        <v>0.1</v>
      </c>
      <c r="E819" s="635">
        <v>0.1</v>
      </c>
      <c r="F819" s="635">
        <v>0.1</v>
      </c>
      <c r="G819" s="635">
        <v>0.1</v>
      </c>
      <c r="H819" s="635">
        <v>0.1</v>
      </c>
      <c r="I819" s="635">
        <v>0.1</v>
      </c>
      <c r="J819" s="635">
        <v>0.1</v>
      </c>
      <c r="K819" s="635">
        <v>0.1</v>
      </c>
      <c r="L819" s="635">
        <v>0.1</v>
      </c>
      <c r="M819" s="635">
        <v>0.1</v>
      </c>
      <c r="N819" s="640">
        <v>0.1</v>
      </c>
      <c r="O819" s="640">
        <v>0.1</v>
      </c>
    </row>
    <row r="820" s="597" customFormat="1" spans="1:15">
      <c r="A820" s="618"/>
      <c r="B820" s="675" t="s">
        <v>1189</v>
      </c>
      <c r="C820" s="597">
        <v>0.12</v>
      </c>
      <c r="D820" s="635">
        <v>0.12</v>
      </c>
      <c r="E820" s="635">
        <v>0.12</v>
      </c>
      <c r="F820" s="635">
        <v>0.12</v>
      </c>
      <c r="G820" s="635">
        <v>0.12</v>
      </c>
      <c r="H820" s="635">
        <v>0.12</v>
      </c>
      <c r="I820" s="635">
        <v>0.12</v>
      </c>
      <c r="J820" s="635">
        <v>0.12</v>
      </c>
      <c r="K820" s="635">
        <v>0.12</v>
      </c>
      <c r="L820" s="635">
        <v>0.12</v>
      </c>
      <c r="M820" s="635">
        <v>0.12</v>
      </c>
      <c r="N820" s="640">
        <v>0.12</v>
      </c>
      <c r="O820" s="640">
        <v>0.12</v>
      </c>
    </row>
    <row r="821" s="597" customFormat="1" spans="1:15">
      <c r="A821" s="618"/>
      <c r="B821" s="675" t="s">
        <v>1190</v>
      </c>
      <c r="C821" s="597">
        <v>0.12</v>
      </c>
      <c r="D821" s="635">
        <v>0.12</v>
      </c>
      <c r="E821" s="635">
        <v>0.12</v>
      </c>
      <c r="F821" s="635">
        <v>0.12</v>
      </c>
      <c r="G821" s="635">
        <v>0.12</v>
      </c>
      <c r="H821" s="635">
        <v>0.12</v>
      </c>
      <c r="I821" s="635">
        <v>0.12</v>
      </c>
      <c r="J821" s="635">
        <v>0.12</v>
      </c>
      <c r="K821" s="635">
        <v>0.12</v>
      </c>
      <c r="L821" s="635">
        <v>0.12</v>
      </c>
      <c r="M821" s="635">
        <v>0.12</v>
      </c>
      <c r="N821" s="640">
        <v>0.12</v>
      </c>
      <c r="O821" s="640">
        <v>0.12</v>
      </c>
    </row>
    <row r="822" s="597" customFormat="1" spans="1:15">
      <c r="A822" s="618"/>
      <c r="B822" s="675" t="s">
        <v>1191</v>
      </c>
      <c r="C822" s="597">
        <v>0.11</v>
      </c>
      <c r="D822" s="635">
        <v>0.11</v>
      </c>
      <c r="E822" s="635">
        <v>0.11</v>
      </c>
      <c r="F822" s="635">
        <v>0.11</v>
      </c>
      <c r="G822" s="635">
        <v>0.11</v>
      </c>
      <c r="H822" s="635">
        <v>0.11</v>
      </c>
      <c r="I822" s="635">
        <v>0.11</v>
      </c>
      <c r="J822" s="635">
        <v>0.11</v>
      </c>
      <c r="K822" s="635">
        <v>0.11</v>
      </c>
      <c r="L822" s="635">
        <v>0.11</v>
      </c>
      <c r="M822" s="635">
        <v>0.11</v>
      </c>
      <c r="N822" s="640">
        <v>0.11</v>
      </c>
      <c r="O822" s="640">
        <v>0.11</v>
      </c>
    </row>
    <row r="823" s="597" customFormat="1" spans="1:15">
      <c r="A823" s="618"/>
      <c r="B823" s="675" t="s">
        <v>1192</v>
      </c>
      <c r="C823" s="597">
        <v>0.07</v>
      </c>
      <c r="D823" s="635">
        <v>0.07</v>
      </c>
      <c r="E823" s="635">
        <v>0.07</v>
      </c>
      <c r="F823" s="635">
        <v>0.07</v>
      </c>
      <c r="G823" s="635">
        <v>0.07</v>
      </c>
      <c r="H823" s="635">
        <v>0.07</v>
      </c>
      <c r="I823" s="635">
        <v>0.07</v>
      </c>
      <c r="J823" s="635">
        <v>0.07</v>
      </c>
      <c r="K823" s="635">
        <v>0.07</v>
      </c>
      <c r="L823" s="635">
        <v>0.07</v>
      </c>
      <c r="M823" s="635">
        <v>0.07</v>
      </c>
      <c r="N823" s="640">
        <v>0.07</v>
      </c>
      <c r="O823" s="640">
        <v>0.07</v>
      </c>
    </row>
    <row r="824" s="597" customFormat="1" spans="1:15">
      <c r="A824" s="618"/>
      <c r="B824" s="675" t="s">
        <v>1193</v>
      </c>
      <c r="C824" s="597">
        <v>0.07</v>
      </c>
      <c r="D824" s="635">
        <v>0.07</v>
      </c>
      <c r="E824" s="635">
        <v>0.07</v>
      </c>
      <c r="F824" s="635">
        <v>0.07</v>
      </c>
      <c r="G824" s="635">
        <v>0.07</v>
      </c>
      <c r="H824" s="635">
        <v>0.07</v>
      </c>
      <c r="I824" s="635">
        <v>0.07</v>
      </c>
      <c r="J824" s="635">
        <v>0.07</v>
      </c>
      <c r="K824" s="635">
        <v>0.07</v>
      </c>
      <c r="L824" s="635">
        <v>0.07</v>
      </c>
      <c r="M824" s="635">
        <v>0.07</v>
      </c>
      <c r="N824" s="640">
        <v>0.07</v>
      </c>
      <c r="O824" s="640">
        <v>0.07</v>
      </c>
    </row>
    <row r="825" s="597" customFormat="1" spans="1:15">
      <c r="A825" s="618"/>
      <c r="B825" s="675" t="s">
        <v>1194</v>
      </c>
      <c r="C825" s="597">
        <v>0.05</v>
      </c>
      <c r="D825" s="635">
        <v>0.05</v>
      </c>
      <c r="E825" s="635">
        <v>0.05</v>
      </c>
      <c r="F825" s="635">
        <v>0.05</v>
      </c>
      <c r="G825" s="635">
        <v>0.05</v>
      </c>
      <c r="H825" s="635">
        <v>0.05</v>
      </c>
      <c r="I825" s="635">
        <v>0.05</v>
      </c>
      <c r="J825" s="635">
        <v>0.05</v>
      </c>
      <c r="K825" s="635">
        <v>0.05</v>
      </c>
      <c r="L825" s="635">
        <v>0.05</v>
      </c>
      <c r="M825" s="635">
        <v>0.05</v>
      </c>
      <c r="N825" s="640">
        <v>0.05</v>
      </c>
      <c r="O825" s="640">
        <v>0.05</v>
      </c>
    </row>
    <row r="826" s="597" customFormat="1" spans="1:15">
      <c r="A826" s="618"/>
      <c r="B826" s="675" t="s">
        <v>1195</v>
      </c>
      <c r="C826" s="597">
        <v>0.05</v>
      </c>
      <c r="D826" s="635">
        <v>0.05</v>
      </c>
      <c r="E826" s="635">
        <v>0.05</v>
      </c>
      <c r="F826" s="635">
        <v>0.05</v>
      </c>
      <c r="G826" s="635">
        <v>0.05</v>
      </c>
      <c r="H826" s="635">
        <v>0.05</v>
      </c>
      <c r="I826" s="635">
        <v>0.05</v>
      </c>
      <c r="J826" s="635">
        <v>0.05</v>
      </c>
      <c r="K826" s="635">
        <v>0.05</v>
      </c>
      <c r="L826" s="635">
        <v>0.05</v>
      </c>
      <c r="M826" s="635">
        <v>0.05</v>
      </c>
      <c r="N826" s="640">
        <v>0.05</v>
      </c>
      <c r="O826" s="640">
        <v>0.05</v>
      </c>
    </row>
    <row r="827" s="597" customFormat="1" spans="1:15">
      <c r="A827" s="618"/>
      <c r="B827" s="675" t="s">
        <v>1196</v>
      </c>
      <c r="C827" s="597">
        <v>0.06</v>
      </c>
      <c r="D827" s="635">
        <v>0.06</v>
      </c>
      <c r="E827" s="635">
        <v>0.06</v>
      </c>
      <c r="F827" s="635">
        <v>0.06</v>
      </c>
      <c r="G827" s="635">
        <v>0.06</v>
      </c>
      <c r="H827" s="635">
        <v>0.06</v>
      </c>
      <c r="I827" s="635">
        <v>0.06</v>
      </c>
      <c r="J827" s="635">
        <v>0.06</v>
      </c>
      <c r="K827" s="635">
        <v>0.06</v>
      </c>
      <c r="L827" s="635">
        <v>0.06</v>
      </c>
      <c r="M827" s="635">
        <v>0.06</v>
      </c>
      <c r="N827" s="640">
        <v>0.06</v>
      </c>
      <c r="O827" s="640">
        <v>0.06</v>
      </c>
    </row>
    <row r="828" s="597" customFormat="1" spans="1:15">
      <c r="A828" s="618"/>
      <c r="B828" s="675" t="s">
        <v>1197</v>
      </c>
      <c r="C828" s="597">
        <v>0.07</v>
      </c>
      <c r="D828" s="635">
        <v>0.07</v>
      </c>
      <c r="E828" s="635">
        <v>0.07</v>
      </c>
      <c r="F828" s="635">
        <v>0.07</v>
      </c>
      <c r="G828" s="635">
        <v>0.07</v>
      </c>
      <c r="H828" s="635">
        <v>0.07</v>
      </c>
      <c r="I828" s="635">
        <v>0.07</v>
      </c>
      <c r="J828" s="635">
        <v>0.07</v>
      </c>
      <c r="K828" s="635">
        <v>0.07</v>
      </c>
      <c r="L828" s="635">
        <v>0.07</v>
      </c>
      <c r="M828" s="635">
        <v>0.07</v>
      </c>
      <c r="N828" s="640">
        <v>0.07</v>
      </c>
      <c r="O828" s="640">
        <v>0.07</v>
      </c>
    </row>
    <row r="829" s="597" customFormat="1" spans="1:15">
      <c r="A829" s="618"/>
      <c r="B829" s="675" t="s">
        <v>1198</v>
      </c>
      <c r="C829" s="597">
        <v>0.08</v>
      </c>
      <c r="D829" s="635">
        <v>0.08</v>
      </c>
      <c r="E829" s="635">
        <v>0.08</v>
      </c>
      <c r="F829" s="635">
        <v>0.08</v>
      </c>
      <c r="G829" s="635">
        <v>0.08</v>
      </c>
      <c r="H829" s="635">
        <v>0.08</v>
      </c>
      <c r="I829" s="635">
        <v>0.08</v>
      </c>
      <c r="J829" s="635">
        <v>0.08</v>
      </c>
      <c r="K829" s="635">
        <v>0.08</v>
      </c>
      <c r="L829" s="635">
        <v>0.08</v>
      </c>
      <c r="M829" s="635">
        <v>0.08</v>
      </c>
      <c r="N829" s="640">
        <v>0.08</v>
      </c>
      <c r="O829" s="640">
        <v>0.08</v>
      </c>
    </row>
    <row r="830" s="597" customFormat="1" spans="1:15">
      <c r="A830" s="618"/>
      <c r="B830" s="675" t="s">
        <v>1199</v>
      </c>
      <c r="C830" s="597">
        <v>0.1</v>
      </c>
      <c r="D830" s="635">
        <v>0.1</v>
      </c>
      <c r="E830" s="635">
        <v>0.1</v>
      </c>
      <c r="F830" s="635">
        <v>0.1</v>
      </c>
      <c r="G830" s="635">
        <v>0.1</v>
      </c>
      <c r="H830" s="635">
        <v>0.1</v>
      </c>
      <c r="I830" s="635">
        <v>0.1</v>
      </c>
      <c r="J830" s="635">
        <v>0.1</v>
      </c>
      <c r="K830" s="635">
        <v>0.1</v>
      </c>
      <c r="L830" s="635">
        <v>0.1</v>
      </c>
      <c r="M830" s="635">
        <v>0.1</v>
      </c>
      <c r="N830" s="640">
        <v>0.1</v>
      </c>
      <c r="O830" s="640">
        <v>0.1</v>
      </c>
    </row>
    <row r="831" s="597" customFormat="1" spans="1:15">
      <c r="A831" s="618"/>
      <c r="B831" s="675" t="s">
        <v>1200</v>
      </c>
      <c r="C831" s="597">
        <v>0.1</v>
      </c>
      <c r="D831" s="635">
        <v>0.1</v>
      </c>
      <c r="E831" s="635">
        <v>0.1</v>
      </c>
      <c r="F831" s="635">
        <v>0.1</v>
      </c>
      <c r="G831" s="635">
        <v>0.1</v>
      </c>
      <c r="H831" s="635">
        <v>0.1</v>
      </c>
      <c r="I831" s="635">
        <v>0.1</v>
      </c>
      <c r="J831" s="635">
        <v>0.1</v>
      </c>
      <c r="K831" s="635">
        <v>0.1</v>
      </c>
      <c r="L831" s="635">
        <v>0.1</v>
      </c>
      <c r="M831" s="635">
        <v>0.1</v>
      </c>
      <c r="N831" s="640">
        <v>0.1</v>
      </c>
      <c r="O831" s="640">
        <v>0.1</v>
      </c>
    </row>
    <row r="832" s="597" customFormat="1" spans="1:15">
      <c r="A832" s="618"/>
      <c r="B832" s="675" t="s">
        <v>1201</v>
      </c>
      <c r="C832" s="597">
        <v>0.12</v>
      </c>
      <c r="D832" s="635">
        <v>0.12</v>
      </c>
      <c r="E832" s="635">
        <v>0.12</v>
      </c>
      <c r="F832" s="635">
        <v>0.12</v>
      </c>
      <c r="G832" s="635">
        <v>0.12</v>
      </c>
      <c r="H832" s="635">
        <v>0.12</v>
      </c>
      <c r="I832" s="635">
        <v>0.12</v>
      </c>
      <c r="J832" s="635">
        <v>0.12</v>
      </c>
      <c r="K832" s="635">
        <v>0.12</v>
      </c>
      <c r="L832" s="635">
        <v>0.12</v>
      </c>
      <c r="M832" s="635">
        <v>0.12</v>
      </c>
      <c r="N832" s="640">
        <v>0.12</v>
      </c>
      <c r="O832" s="640">
        <v>0.12</v>
      </c>
    </row>
    <row r="833" s="597" customFormat="1" spans="1:15">
      <c r="A833" s="618"/>
      <c r="B833" s="675" t="s">
        <v>1202</v>
      </c>
      <c r="C833" s="597">
        <v>0.12</v>
      </c>
      <c r="D833" s="635">
        <v>0.12</v>
      </c>
      <c r="E833" s="635">
        <v>0.12</v>
      </c>
      <c r="F833" s="635">
        <v>0.12</v>
      </c>
      <c r="G833" s="635">
        <v>0.12</v>
      </c>
      <c r="H833" s="635">
        <v>0.12</v>
      </c>
      <c r="I833" s="635">
        <v>0.12</v>
      </c>
      <c r="J833" s="635">
        <v>0.12</v>
      </c>
      <c r="K833" s="635">
        <v>0.12</v>
      </c>
      <c r="L833" s="635">
        <v>0.12</v>
      </c>
      <c r="M833" s="635">
        <v>0.12</v>
      </c>
      <c r="N833" s="640">
        <v>0.12</v>
      </c>
      <c r="O833" s="640">
        <v>0.12</v>
      </c>
    </row>
    <row r="834" s="597" customFormat="1" spans="1:15">
      <c r="A834" s="618"/>
      <c r="B834" s="675" t="s">
        <v>1203</v>
      </c>
      <c r="C834" s="597">
        <v>0.11</v>
      </c>
      <c r="D834" s="635">
        <v>0.11</v>
      </c>
      <c r="E834" s="635">
        <v>0.11</v>
      </c>
      <c r="F834" s="635">
        <v>0.11</v>
      </c>
      <c r="G834" s="635">
        <v>0.11</v>
      </c>
      <c r="H834" s="635">
        <v>0.11</v>
      </c>
      <c r="I834" s="635">
        <v>0.11</v>
      </c>
      <c r="J834" s="635">
        <v>0.11</v>
      </c>
      <c r="K834" s="635">
        <v>0.11</v>
      </c>
      <c r="L834" s="635">
        <v>0.11</v>
      </c>
      <c r="M834" s="635">
        <v>0.11</v>
      </c>
      <c r="N834" s="640">
        <v>0.11</v>
      </c>
      <c r="O834" s="640">
        <v>0.11</v>
      </c>
    </row>
    <row r="835" s="597" customFormat="1" spans="1:15">
      <c r="A835" s="618"/>
      <c r="B835" s="675" t="s">
        <v>1204</v>
      </c>
      <c r="C835" s="597">
        <v>0.07</v>
      </c>
      <c r="D835" s="635">
        <v>0.07</v>
      </c>
      <c r="E835" s="635">
        <v>0.07</v>
      </c>
      <c r="F835" s="635">
        <v>0.07</v>
      </c>
      <c r="G835" s="635">
        <v>0.07</v>
      </c>
      <c r="H835" s="635">
        <v>0.07</v>
      </c>
      <c r="I835" s="635">
        <v>0.07</v>
      </c>
      <c r="J835" s="635">
        <v>0.07</v>
      </c>
      <c r="K835" s="635">
        <v>0.07</v>
      </c>
      <c r="L835" s="635">
        <v>0.07</v>
      </c>
      <c r="M835" s="635">
        <v>0.07</v>
      </c>
      <c r="N835" s="640">
        <v>0.07</v>
      </c>
      <c r="O835" s="640">
        <v>0.07</v>
      </c>
    </row>
    <row r="836" s="597" customFormat="1" spans="1:15">
      <c r="A836" s="618"/>
      <c r="B836" s="675" t="s">
        <v>1205</v>
      </c>
      <c r="C836" s="597">
        <v>0.07</v>
      </c>
      <c r="D836" s="635">
        <v>0.07</v>
      </c>
      <c r="E836" s="635">
        <v>0.07</v>
      </c>
      <c r="F836" s="635">
        <v>0.07</v>
      </c>
      <c r="G836" s="635">
        <v>0.07</v>
      </c>
      <c r="H836" s="635">
        <v>0.07</v>
      </c>
      <c r="I836" s="635">
        <v>0.07</v>
      </c>
      <c r="J836" s="635">
        <v>0.07</v>
      </c>
      <c r="K836" s="635">
        <v>0.07</v>
      </c>
      <c r="L836" s="635">
        <v>0.07</v>
      </c>
      <c r="M836" s="635">
        <v>0.07</v>
      </c>
      <c r="N836" s="640">
        <v>0.07</v>
      </c>
      <c r="O836" s="640">
        <v>0.07</v>
      </c>
    </row>
    <row r="837" s="597" customFormat="1" spans="1:15">
      <c r="A837" s="618"/>
      <c r="B837" s="675" t="s">
        <v>1206</v>
      </c>
      <c r="C837" s="597">
        <v>0.05</v>
      </c>
      <c r="D837" s="663">
        <v>0.03</v>
      </c>
      <c r="E837" s="663">
        <v>0.03</v>
      </c>
      <c r="F837" s="663">
        <v>0.03</v>
      </c>
      <c r="G837" s="663">
        <v>0.03</v>
      </c>
      <c r="H837" s="663">
        <v>0.03</v>
      </c>
      <c r="I837" s="663">
        <v>0.03</v>
      </c>
      <c r="J837" s="663">
        <v>0.03</v>
      </c>
      <c r="K837" s="663">
        <v>0.03</v>
      </c>
      <c r="L837" s="663">
        <v>0.03</v>
      </c>
      <c r="M837" s="663">
        <v>0.03</v>
      </c>
      <c r="N837" s="666">
        <v>0.03</v>
      </c>
      <c r="O837" s="666">
        <v>0.03</v>
      </c>
    </row>
    <row r="838" s="597" customFormat="1" spans="1:15">
      <c r="A838" s="618"/>
      <c r="B838" s="675" t="s">
        <v>1207</v>
      </c>
      <c r="C838" s="597">
        <v>0.05</v>
      </c>
      <c r="D838" s="663">
        <v>0.03</v>
      </c>
      <c r="E838" s="663">
        <v>0.03</v>
      </c>
      <c r="F838" s="663">
        <v>0.03</v>
      </c>
      <c r="G838" s="663">
        <v>0.03</v>
      </c>
      <c r="H838" s="663">
        <v>0.03</v>
      </c>
      <c r="I838" s="663">
        <v>0.03</v>
      </c>
      <c r="J838" s="663">
        <v>0.03</v>
      </c>
      <c r="K838" s="663">
        <v>0.03</v>
      </c>
      <c r="L838" s="663">
        <v>0.03</v>
      </c>
      <c r="M838" s="663">
        <v>0.03</v>
      </c>
      <c r="N838" s="666">
        <v>0.03</v>
      </c>
      <c r="O838" s="666">
        <v>0.03</v>
      </c>
    </row>
    <row r="839" s="597" customFormat="1" spans="1:15">
      <c r="A839" s="618"/>
      <c r="B839" s="675" t="s">
        <v>1208</v>
      </c>
      <c r="C839" s="597">
        <v>0.06</v>
      </c>
      <c r="D839" s="663">
        <v>0.03</v>
      </c>
      <c r="E839" s="663">
        <v>0.03</v>
      </c>
      <c r="F839" s="663">
        <v>0.03</v>
      </c>
      <c r="G839" s="663">
        <v>0.03</v>
      </c>
      <c r="H839" s="663">
        <v>0.03</v>
      </c>
      <c r="I839" s="663">
        <v>0.03</v>
      </c>
      <c r="J839" s="663">
        <v>0.03</v>
      </c>
      <c r="K839" s="663">
        <v>0.03</v>
      </c>
      <c r="L839" s="663">
        <v>0.03</v>
      </c>
      <c r="M839" s="663">
        <v>0.03</v>
      </c>
      <c r="N839" s="666">
        <v>0.03</v>
      </c>
      <c r="O839" s="666">
        <v>0.03</v>
      </c>
    </row>
    <row r="840" s="597" customFormat="1" spans="1:15">
      <c r="A840" s="618"/>
      <c r="B840" s="675" t="s">
        <v>1209</v>
      </c>
      <c r="C840" s="597">
        <v>0.07</v>
      </c>
      <c r="D840" s="663">
        <v>0.11</v>
      </c>
      <c r="E840" s="663">
        <v>0.11</v>
      </c>
      <c r="F840" s="663">
        <v>0.11</v>
      </c>
      <c r="G840" s="663">
        <v>0.11</v>
      </c>
      <c r="H840" s="663">
        <v>0.11</v>
      </c>
      <c r="I840" s="663">
        <v>0.11</v>
      </c>
      <c r="J840" s="663">
        <v>0.11</v>
      </c>
      <c r="K840" s="663">
        <v>0.11</v>
      </c>
      <c r="L840" s="663">
        <v>0.11</v>
      </c>
      <c r="M840" s="663">
        <v>0.11</v>
      </c>
      <c r="N840" s="666">
        <v>0.11</v>
      </c>
      <c r="O840" s="666">
        <v>0.11</v>
      </c>
    </row>
    <row r="841" s="597" customFormat="1" spans="1:15">
      <c r="A841" s="618"/>
      <c r="B841" s="675" t="s">
        <v>1210</v>
      </c>
      <c r="C841" s="597">
        <v>0.08</v>
      </c>
      <c r="D841" s="663">
        <v>0.11</v>
      </c>
      <c r="E841" s="663">
        <v>0.11</v>
      </c>
      <c r="F841" s="663">
        <v>0.11</v>
      </c>
      <c r="G841" s="663">
        <v>0.11</v>
      </c>
      <c r="H841" s="663">
        <v>0.11</v>
      </c>
      <c r="I841" s="663">
        <v>0.11</v>
      </c>
      <c r="J841" s="663">
        <v>0.11</v>
      </c>
      <c r="K841" s="663">
        <v>0.11</v>
      </c>
      <c r="L841" s="663">
        <v>0.11</v>
      </c>
      <c r="M841" s="663">
        <v>0.11</v>
      </c>
      <c r="N841" s="666">
        <v>0.11</v>
      </c>
      <c r="O841" s="666">
        <v>0.11</v>
      </c>
    </row>
    <row r="842" s="597" customFormat="1" spans="1:15">
      <c r="A842" s="618"/>
      <c r="B842" s="675" t="s">
        <v>1211</v>
      </c>
      <c r="C842" s="597">
        <v>0.1</v>
      </c>
      <c r="D842" s="663">
        <v>0.14</v>
      </c>
      <c r="E842" s="663">
        <v>0.14</v>
      </c>
      <c r="F842" s="663">
        <v>0.14</v>
      </c>
      <c r="G842" s="663">
        <v>0.14</v>
      </c>
      <c r="H842" s="663">
        <v>0.14</v>
      </c>
      <c r="I842" s="663">
        <v>0.14</v>
      </c>
      <c r="J842" s="663">
        <v>0.14</v>
      </c>
      <c r="K842" s="663">
        <v>0.14</v>
      </c>
      <c r="L842" s="663">
        <v>0.14</v>
      </c>
      <c r="M842" s="663">
        <v>0.14</v>
      </c>
      <c r="N842" s="666">
        <v>0.14</v>
      </c>
      <c r="O842" s="666">
        <v>0.14</v>
      </c>
    </row>
    <row r="843" s="597" customFormat="1" spans="1:15">
      <c r="A843" s="618"/>
      <c r="B843" s="675" t="s">
        <v>1212</v>
      </c>
      <c r="C843" s="597">
        <v>0.1</v>
      </c>
      <c r="D843" s="663">
        <v>0.14</v>
      </c>
      <c r="E843" s="663">
        <v>0.14</v>
      </c>
      <c r="F843" s="663">
        <v>0.14</v>
      </c>
      <c r="G843" s="663">
        <v>0.14</v>
      </c>
      <c r="H843" s="663">
        <v>0.14</v>
      </c>
      <c r="I843" s="663">
        <v>0.14</v>
      </c>
      <c r="J843" s="663">
        <v>0.14</v>
      </c>
      <c r="K843" s="663">
        <v>0.14</v>
      </c>
      <c r="L843" s="663">
        <v>0.14</v>
      </c>
      <c r="M843" s="663">
        <v>0.14</v>
      </c>
      <c r="N843" s="666">
        <v>0.14</v>
      </c>
      <c r="O843" s="666">
        <v>0.14</v>
      </c>
    </row>
    <row r="844" s="597" customFormat="1" spans="1:15">
      <c r="A844" s="618"/>
      <c r="B844" s="675" t="s">
        <v>1213</v>
      </c>
      <c r="C844" s="597">
        <v>0.12</v>
      </c>
      <c r="D844" s="635">
        <v>0.12</v>
      </c>
      <c r="E844" s="635">
        <v>0.12</v>
      </c>
      <c r="F844" s="635">
        <v>0.12</v>
      </c>
      <c r="G844" s="635">
        <v>0.12</v>
      </c>
      <c r="H844" s="635">
        <v>0.12</v>
      </c>
      <c r="I844" s="635">
        <v>0.12</v>
      </c>
      <c r="J844" s="635">
        <v>0.12</v>
      </c>
      <c r="K844" s="635">
        <v>0.12</v>
      </c>
      <c r="L844" s="635">
        <v>0.12</v>
      </c>
      <c r="M844" s="635">
        <v>0.12</v>
      </c>
      <c r="N844" s="640">
        <v>0.12</v>
      </c>
      <c r="O844" s="640">
        <v>0.12</v>
      </c>
    </row>
    <row r="845" s="597" customFormat="1" spans="1:15">
      <c r="A845" s="618"/>
      <c r="B845" s="675" t="s">
        <v>1214</v>
      </c>
      <c r="C845" s="597">
        <v>0.12</v>
      </c>
      <c r="D845" s="635">
        <v>0.12</v>
      </c>
      <c r="E845" s="635">
        <v>0.12</v>
      </c>
      <c r="F845" s="635">
        <v>0.12</v>
      </c>
      <c r="G845" s="635">
        <v>0.12</v>
      </c>
      <c r="H845" s="635">
        <v>0.12</v>
      </c>
      <c r="I845" s="635">
        <v>0.12</v>
      </c>
      <c r="J845" s="635">
        <v>0.12</v>
      </c>
      <c r="K845" s="635">
        <v>0.12</v>
      </c>
      <c r="L845" s="635">
        <v>0.12</v>
      </c>
      <c r="M845" s="635">
        <v>0.12</v>
      </c>
      <c r="N845" s="640">
        <v>0.12</v>
      </c>
      <c r="O845" s="640">
        <v>0.12</v>
      </c>
    </row>
    <row r="846" s="597" customFormat="1" spans="1:15">
      <c r="A846" s="618"/>
      <c r="B846" s="675" t="s">
        <v>1215</v>
      </c>
      <c r="C846" s="597">
        <v>0.11</v>
      </c>
      <c r="D846" s="635">
        <v>0.11</v>
      </c>
      <c r="E846" s="635">
        <v>0.11</v>
      </c>
      <c r="F846" s="635">
        <v>0.11</v>
      </c>
      <c r="G846" s="635">
        <v>0.11</v>
      </c>
      <c r="H846" s="635">
        <v>0.11</v>
      </c>
      <c r="I846" s="635">
        <v>0.11</v>
      </c>
      <c r="J846" s="635">
        <v>0.11</v>
      </c>
      <c r="K846" s="635">
        <v>0.11</v>
      </c>
      <c r="L846" s="635">
        <v>0.11</v>
      </c>
      <c r="M846" s="635">
        <v>0.11</v>
      </c>
      <c r="N846" s="640">
        <v>0.11</v>
      </c>
      <c r="O846" s="640">
        <v>0.11</v>
      </c>
    </row>
    <row r="847" s="597" customFormat="1" spans="1:15">
      <c r="A847" s="618"/>
      <c r="B847" s="675" t="s">
        <v>1216</v>
      </c>
      <c r="C847" s="597">
        <v>0.07</v>
      </c>
      <c r="D847" s="663">
        <v>0.03</v>
      </c>
      <c r="E847" s="663">
        <v>0.03</v>
      </c>
      <c r="F847" s="663">
        <v>0.03</v>
      </c>
      <c r="G847" s="663">
        <v>0.03</v>
      </c>
      <c r="H847" s="663">
        <v>0.03</v>
      </c>
      <c r="I847" s="663">
        <v>0.03</v>
      </c>
      <c r="J847" s="663">
        <v>0.03</v>
      </c>
      <c r="K847" s="663">
        <v>0.03</v>
      </c>
      <c r="L847" s="663">
        <v>0.03</v>
      </c>
      <c r="M847" s="663">
        <v>0.03</v>
      </c>
      <c r="N847" s="666">
        <v>0.03</v>
      </c>
      <c r="O847" s="666">
        <v>0.03</v>
      </c>
    </row>
    <row r="848" s="597" customFormat="1" spans="1:15">
      <c r="A848" s="618"/>
      <c r="B848" s="675" t="s">
        <v>1217</v>
      </c>
      <c r="C848" s="597">
        <v>0.07</v>
      </c>
      <c r="D848" s="663">
        <v>0.03</v>
      </c>
      <c r="E848" s="663">
        <v>0.03</v>
      </c>
      <c r="F848" s="663">
        <v>0.03</v>
      </c>
      <c r="G848" s="663">
        <v>0.03</v>
      </c>
      <c r="H848" s="663">
        <v>0.03</v>
      </c>
      <c r="I848" s="663">
        <v>0.03</v>
      </c>
      <c r="J848" s="663">
        <v>0.03</v>
      </c>
      <c r="K848" s="663">
        <v>0.03</v>
      </c>
      <c r="L848" s="663">
        <v>0.03</v>
      </c>
      <c r="M848" s="663">
        <v>0.03</v>
      </c>
      <c r="N848" s="666">
        <v>0.03</v>
      </c>
      <c r="O848" s="666">
        <v>0.03</v>
      </c>
    </row>
    <row r="849" s="597" customFormat="1" spans="1:15">
      <c r="A849" s="618"/>
      <c r="B849" s="675" t="s">
        <v>1218</v>
      </c>
      <c r="C849" s="597">
        <v>0.05</v>
      </c>
      <c r="D849" s="663">
        <v>0.03</v>
      </c>
      <c r="E849" s="663">
        <v>0.03</v>
      </c>
      <c r="F849" s="663">
        <v>0.03</v>
      </c>
      <c r="G849" s="663">
        <v>0.03</v>
      </c>
      <c r="H849" s="663">
        <v>0.03</v>
      </c>
      <c r="I849" s="663">
        <v>0.03</v>
      </c>
      <c r="J849" s="663">
        <v>0.03</v>
      </c>
      <c r="K849" s="663">
        <v>0.03</v>
      </c>
      <c r="L849" s="663">
        <v>0.03</v>
      </c>
      <c r="M849" s="663">
        <v>0.03</v>
      </c>
      <c r="N849" s="666">
        <v>0.03</v>
      </c>
      <c r="O849" s="666">
        <v>0.03</v>
      </c>
    </row>
    <row r="850" s="597" customFormat="1" spans="1:15">
      <c r="A850" s="618"/>
      <c r="B850" s="675" t="s">
        <v>1219</v>
      </c>
      <c r="C850" s="597">
        <v>0.05</v>
      </c>
      <c r="D850" s="663">
        <v>0.03</v>
      </c>
      <c r="E850" s="663">
        <v>0.03</v>
      </c>
      <c r="F850" s="663">
        <v>0.03</v>
      </c>
      <c r="G850" s="663">
        <v>0.03</v>
      </c>
      <c r="H850" s="663">
        <v>0.03</v>
      </c>
      <c r="I850" s="663">
        <v>0.03</v>
      </c>
      <c r="J850" s="663">
        <v>0.03</v>
      </c>
      <c r="K850" s="663">
        <v>0.03</v>
      </c>
      <c r="L850" s="663">
        <v>0.03</v>
      </c>
      <c r="M850" s="663">
        <v>0.03</v>
      </c>
      <c r="N850" s="666">
        <v>0.03</v>
      </c>
      <c r="O850" s="666">
        <v>0.03</v>
      </c>
    </row>
    <row r="851" s="597" customFormat="1" spans="1:15">
      <c r="A851" s="618"/>
      <c r="B851" s="675" t="s">
        <v>1220</v>
      </c>
      <c r="C851" s="597">
        <v>0.06</v>
      </c>
      <c r="D851" s="663">
        <v>0.03</v>
      </c>
      <c r="E851" s="663">
        <v>0.03</v>
      </c>
      <c r="F851" s="663">
        <v>0.03</v>
      </c>
      <c r="G851" s="663">
        <v>0.03</v>
      </c>
      <c r="H851" s="663">
        <v>0.03</v>
      </c>
      <c r="I851" s="663">
        <v>0.03</v>
      </c>
      <c r="J851" s="663">
        <v>0.03</v>
      </c>
      <c r="K851" s="663">
        <v>0.03</v>
      </c>
      <c r="L851" s="663">
        <v>0.03</v>
      </c>
      <c r="M851" s="663">
        <v>0.03</v>
      </c>
      <c r="N851" s="666">
        <v>0.03</v>
      </c>
      <c r="O851" s="666">
        <v>0.03</v>
      </c>
    </row>
    <row r="852" s="597" customFormat="1" spans="1:15">
      <c r="A852" s="618"/>
      <c r="B852" s="675" t="s">
        <v>1221</v>
      </c>
      <c r="C852" s="597">
        <v>0.07</v>
      </c>
      <c r="D852" s="663">
        <v>0.11</v>
      </c>
      <c r="E852" s="663">
        <v>0.11</v>
      </c>
      <c r="F852" s="663">
        <v>0.11</v>
      </c>
      <c r="G852" s="663">
        <v>0.11</v>
      </c>
      <c r="H852" s="663">
        <v>0.11</v>
      </c>
      <c r="I852" s="663">
        <v>0.11</v>
      </c>
      <c r="J852" s="663">
        <v>0.11</v>
      </c>
      <c r="K852" s="663">
        <v>0.11</v>
      </c>
      <c r="L852" s="663">
        <v>0.11</v>
      </c>
      <c r="M852" s="663">
        <v>0.11</v>
      </c>
      <c r="N852" s="666">
        <v>0.11</v>
      </c>
      <c r="O852" s="666">
        <v>0.11</v>
      </c>
    </row>
    <row r="853" s="597" customFormat="1" spans="1:15">
      <c r="A853" s="618"/>
      <c r="B853" s="675" t="s">
        <v>1222</v>
      </c>
      <c r="C853" s="597">
        <v>0.08</v>
      </c>
      <c r="D853" s="663">
        <v>0.11</v>
      </c>
      <c r="E853" s="663">
        <v>0.11</v>
      </c>
      <c r="F853" s="663">
        <v>0.11</v>
      </c>
      <c r="G853" s="663">
        <v>0.11</v>
      </c>
      <c r="H853" s="663">
        <v>0.11</v>
      </c>
      <c r="I853" s="663">
        <v>0.11</v>
      </c>
      <c r="J853" s="663">
        <v>0.11</v>
      </c>
      <c r="K853" s="663">
        <v>0.11</v>
      </c>
      <c r="L853" s="663">
        <v>0.11</v>
      </c>
      <c r="M853" s="663">
        <v>0.11</v>
      </c>
      <c r="N853" s="666">
        <v>0.11</v>
      </c>
      <c r="O853" s="666">
        <v>0.11</v>
      </c>
    </row>
    <row r="854" s="597" customFormat="1" spans="1:15">
      <c r="A854" s="618"/>
      <c r="B854" s="675" t="s">
        <v>1223</v>
      </c>
      <c r="C854" s="597">
        <v>0.1</v>
      </c>
      <c r="D854" s="663">
        <v>0.14</v>
      </c>
      <c r="E854" s="663">
        <v>0.14</v>
      </c>
      <c r="F854" s="663">
        <v>0.14</v>
      </c>
      <c r="G854" s="663">
        <v>0.14</v>
      </c>
      <c r="H854" s="663">
        <v>0.14</v>
      </c>
      <c r="I854" s="663">
        <v>0.14</v>
      </c>
      <c r="J854" s="663">
        <v>0.14</v>
      </c>
      <c r="K854" s="663">
        <v>0.14</v>
      </c>
      <c r="L854" s="663">
        <v>0.14</v>
      </c>
      <c r="M854" s="663">
        <v>0.14</v>
      </c>
      <c r="N854" s="666">
        <v>0.14</v>
      </c>
      <c r="O854" s="666">
        <v>0.14</v>
      </c>
    </row>
    <row r="855" s="597" customFormat="1" spans="1:15">
      <c r="A855" s="618"/>
      <c r="B855" s="675" t="s">
        <v>1224</v>
      </c>
      <c r="C855" s="597">
        <v>0.1</v>
      </c>
      <c r="D855" s="663">
        <v>0.14</v>
      </c>
      <c r="E855" s="663">
        <v>0.14</v>
      </c>
      <c r="F855" s="663">
        <v>0.14</v>
      </c>
      <c r="G855" s="663">
        <v>0.14</v>
      </c>
      <c r="H855" s="663">
        <v>0.14</v>
      </c>
      <c r="I855" s="663">
        <v>0.14</v>
      </c>
      <c r="J855" s="663">
        <v>0.14</v>
      </c>
      <c r="K855" s="663">
        <v>0.14</v>
      </c>
      <c r="L855" s="663">
        <v>0.14</v>
      </c>
      <c r="M855" s="663">
        <v>0.14</v>
      </c>
      <c r="N855" s="666">
        <v>0.14</v>
      </c>
      <c r="O855" s="666">
        <v>0.14</v>
      </c>
    </row>
    <row r="856" s="597" customFormat="1" spans="1:15">
      <c r="A856" s="618"/>
      <c r="B856" s="675" t="s">
        <v>1225</v>
      </c>
      <c r="C856" s="597">
        <v>0.12</v>
      </c>
      <c r="D856" s="635">
        <v>0.12</v>
      </c>
      <c r="E856" s="635">
        <v>0.12</v>
      </c>
      <c r="F856" s="635">
        <v>0.12</v>
      </c>
      <c r="G856" s="635">
        <v>0.12</v>
      </c>
      <c r="H856" s="635">
        <v>0.12</v>
      </c>
      <c r="I856" s="635">
        <v>0.12</v>
      </c>
      <c r="J856" s="635">
        <v>0.12</v>
      </c>
      <c r="K856" s="635">
        <v>0.12</v>
      </c>
      <c r="L856" s="635">
        <v>0.12</v>
      </c>
      <c r="M856" s="635">
        <v>0.12</v>
      </c>
      <c r="N856" s="640">
        <v>0.12</v>
      </c>
      <c r="O856" s="640">
        <v>0.12</v>
      </c>
    </row>
    <row r="857" s="597" customFormat="1" spans="1:15">
      <c r="A857" s="618"/>
      <c r="B857" s="675" t="s">
        <v>1226</v>
      </c>
      <c r="C857" s="597">
        <v>0.12</v>
      </c>
      <c r="D857" s="635">
        <v>0.12</v>
      </c>
      <c r="E857" s="635">
        <v>0.12</v>
      </c>
      <c r="F857" s="635">
        <v>0.12</v>
      </c>
      <c r="G857" s="635">
        <v>0.12</v>
      </c>
      <c r="H857" s="635">
        <v>0.12</v>
      </c>
      <c r="I857" s="635">
        <v>0.12</v>
      </c>
      <c r="J857" s="635">
        <v>0.12</v>
      </c>
      <c r="K857" s="635">
        <v>0.12</v>
      </c>
      <c r="L857" s="635">
        <v>0.12</v>
      </c>
      <c r="M857" s="635">
        <v>0.12</v>
      </c>
      <c r="N857" s="640">
        <v>0.12</v>
      </c>
      <c r="O857" s="640">
        <v>0.12</v>
      </c>
    </row>
    <row r="858" s="597" customFormat="1" spans="1:15">
      <c r="A858" s="618"/>
      <c r="B858" s="675" t="s">
        <v>1227</v>
      </c>
      <c r="C858" s="597">
        <v>0.11</v>
      </c>
      <c r="D858" s="635">
        <v>0.11</v>
      </c>
      <c r="E858" s="635">
        <v>0.11</v>
      </c>
      <c r="F858" s="635">
        <v>0.11</v>
      </c>
      <c r="G858" s="635">
        <v>0.11</v>
      </c>
      <c r="H858" s="635">
        <v>0.11</v>
      </c>
      <c r="I858" s="635">
        <v>0.11</v>
      </c>
      <c r="J858" s="635">
        <v>0.11</v>
      </c>
      <c r="K858" s="635">
        <v>0.11</v>
      </c>
      <c r="L858" s="635">
        <v>0.11</v>
      </c>
      <c r="M858" s="635">
        <v>0.11</v>
      </c>
      <c r="N858" s="640">
        <v>0.11</v>
      </c>
      <c r="O858" s="640">
        <v>0.11</v>
      </c>
    </row>
    <row r="859" s="597" customFormat="1" spans="1:15">
      <c r="A859" s="618"/>
      <c r="B859" s="675" t="s">
        <v>1228</v>
      </c>
      <c r="C859" s="597">
        <v>0.07</v>
      </c>
      <c r="D859" s="663">
        <v>0.03</v>
      </c>
      <c r="E859" s="663">
        <v>0.03</v>
      </c>
      <c r="F859" s="663">
        <v>0.03</v>
      </c>
      <c r="G859" s="663">
        <v>0.03</v>
      </c>
      <c r="H859" s="663">
        <v>0.03</v>
      </c>
      <c r="I859" s="663">
        <v>0.03</v>
      </c>
      <c r="J859" s="663">
        <v>0.03</v>
      </c>
      <c r="K859" s="663">
        <v>0.03</v>
      </c>
      <c r="L859" s="663">
        <v>0.03</v>
      </c>
      <c r="M859" s="663">
        <v>0.03</v>
      </c>
      <c r="N859" s="666">
        <v>0.03</v>
      </c>
      <c r="O859" s="666">
        <v>0.03</v>
      </c>
    </row>
    <row r="860" s="597" customFormat="1" spans="1:15">
      <c r="A860" s="618"/>
      <c r="B860" s="675" t="s">
        <v>1229</v>
      </c>
      <c r="C860" s="597">
        <v>0.06</v>
      </c>
      <c r="D860" s="663">
        <v>0.03</v>
      </c>
      <c r="E860" s="663">
        <v>0.03</v>
      </c>
      <c r="F860" s="663">
        <v>0.03</v>
      </c>
      <c r="G860" s="663">
        <v>0.03</v>
      </c>
      <c r="H860" s="663">
        <v>0.03</v>
      </c>
      <c r="I860" s="663">
        <v>0.03</v>
      </c>
      <c r="J860" s="663">
        <v>0.03</v>
      </c>
      <c r="K860" s="663">
        <v>0.03</v>
      </c>
      <c r="L860" s="663">
        <v>0.03</v>
      </c>
      <c r="M860" s="663">
        <v>0.03</v>
      </c>
      <c r="N860" s="666">
        <v>0.03</v>
      </c>
      <c r="O860" s="666">
        <v>0.03</v>
      </c>
    </row>
    <row r="861" spans="1:2">
      <c r="A861" s="518"/>
      <c r="B861" s="537"/>
    </row>
    <row r="862" spans="1:15">
      <c r="A862" s="518">
        <v>6.22</v>
      </c>
      <c r="B862" s="675" t="s">
        <v>1230</v>
      </c>
      <c r="D862" s="623"/>
      <c r="E862" s="623"/>
      <c r="F862" s="623"/>
      <c r="G862" s="623"/>
      <c r="H862" s="623"/>
      <c r="I862" s="623"/>
      <c r="J862" s="623"/>
      <c r="K862" s="623"/>
      <c r="L862" s="623"/>
      <c r="M862" s="623"/>
      <c r="N862" s="626"/>
      <c r="O862" s="626"/>
    </row>
    <row r="863" s="597" customFormat="1" spans="1:15">
      <c r="A863" s="618"/>
      <c r="B863" s="675" t="s">
        <v>1134</v>
      </c>
      <c r="C863" s="597">
        <v>0.07</v>
      </c>
      <c r="D863" s="663">
        <v>0.04</v>
      </c>
      <c r="E863" s="663">
        <v>0.04</v>
      </c>
      <c r="F863" s="663">
        <v>0.04</v>
      </c>
      <c r="G863" s="663">
        <v>0.04</v>
      </c>
      <c r="H863" s="663">
        <v>0.04</v>
      </c>
      <c r="I863" s="663">
        <v>0.04</v>
      </c>
      <c r="J863" s="663">
        <v>0.04</v>
      </c>
      <c r="K863" s="663">
        <v>0.04</v>
      </c>
      <c r="L863" s="663">
        <v>0.04</v>
      </c>
      <c r="M863" s="663">
        <v>0.04</v>
      </c>
      <c r="N863" s="666">
        <v>0.04</v>
      </c>
      <c r="O863" s="666">
        <v>0.04</v>
      </c>
    </row>
    <row r="864" s="597" customFormat="1" spans="1:15">
      <c r="A864" s="618"/>
      <c r="B864" s="675" t="s">
        <v>1135</v>
      </c>
      <c r="C864" s="597">
        <v>0.07</v>
      </c>
      <c r="D864" s="663">
        <v>0.04</v>
      </c>
      <c r="E864" s="663">
        <v>0.04</v>
      </c>
      <c r="F864" s="663">
        <v>0.04</v>
      </c>
      <c r="G864" s="663">
        <v>0.04</v>
      </c>
      <c r="H864" s="663">
        <v>0.04</v>
      </c>
      <c r="I864" s="663">
        <v>0.04</v>
      </c>
      <c r="J864" s="663">
        <v>0.04</v>
      </c>
      <c r="K864" s="663">
        <v>0.04</v>
      </c>
      <c r="L864" s="663">
        <v>0.04</v>
      </c>
      <c r="M864" s="663">
        <v>0.04</v>
      </c>
      <c r="N864" s="666">
        <v>0.04</v>
      </c>
      <c r="O864" s="666">
        <v>0.04</v>
      </c>
    </row>
    <row r="865" s="597" customFormat="1" spans="1:15">
      <c r="A865" s="618"/>
      <c r="B865" s="675" t="s">
        <v>1136</v>
      </c>
      <c r="C865" s="597">
        <v>0.07</v>
      </c>
      <c r="D865" s="663">
        <v>0.04</v>
      </c>
      <c r="E865" s="663">
        <v>0.04</v>
      </c>
      <c r="F865" s="663">
        <v>0.04</v>
      </c>
      <c r="G865" s="663">
        <v>0.04</v>
      </c>
      <c r="H865" s="663">
        <v>0.04</v>
      </c>
      <c r="I865" s="663">
        <v>0.04</v>
      </c>
      <c r="J865" s="663">
        <v>0.04</v>
      </c>
      <c r="K865" s="663">
        <v>0.04</v>
      </c>
      <c r="L865" s="663">
        <v>0.04</v>
      </c>
      <c r="M865" s="663">
        <v>0.04</v>
      </c>
      <c r="N865" s="666">
        <v>0.04</v>
      </c>
      <c r="O865" s="666">
        <v>0.04</v>
      </c>
    </row>
    <row r="866" s="597" customFormat="1" spans="1:15">
      <c r="A866" s="618"/>
      <c r="B866" s="675" t="s">
        <v>1137</v>
      </c>
      <c r="C866" s="597">
        <v>0.07</v>
      </c>
      <c r="D866" s="663">
        <v>0.04</v>
      </c>
      <c r="E866" s="663">
        <v>0.04</v>
      </c>
      <c r="F866" s="663">
        <v>0.04</v>
      </c>
      <c r="G866" s="663">
        <v>0.04</v>
      </c>
      <c r="H866" s="663">
        <v>0.04</v>
      </c>
      <c r="I866" s="663">
        <v>0.04</v>
      </c>
      <c r="J866" s="663">
        <v>0.04</v>
      </c>
      <c r="K866" s="663">
        <v>0.04</v>
      </c>
      <c r="L866" s="663">
        <v>0.04</v>
      </c>
      <c r="M866" s="663">
        <v>0.04</v>
      </c>
      <c r="N866" s="666">
        <v>0.04</v>
      </c>
      <c r="O866" s="666">
        <v>0.04</v>
      </c>
    </row>
    <row r="867" s="597" customFormat="1" spans="1:15">
      <c r="A867" s="618"/>
      <c r="B867" s="675" t="s">
        <v>1138</v>
      </c>
      <c r="C867" s="597">
        <v>0.08</v>
      </c>
      <c r="D867" s="663">
        <v>0.12</v>
      </c>
      <c r="E867" s="663">
        <v>0.12</v>
      </c>
      <c r="F867" s="663">
        <v>0.12</v>
      </c>
      <c r="G867" s="663">
        <v>0.12</v>
      </c>
      <c r="H867" s="663">
        <v>0.12</v>
      </c>
      <c r="I867" s="663">
        <v>0.12</v>
      </c>
      <c r="J867" s="663">
        <v>0.12</v>
      </c>
      <c r="K867" s="663">
        <v>0.12</v>
      </c>
      <c r="L867" s="663">
        <v>0.12</v>
      </c>
      <c r="M867" s="663">
        <v>0.12</v>
      </c>
      <c r="N867" s="666">
        <v>0.12</v>
      </c>
      <c r="O867" s="666">
        <v>0.12</v>
      </c>
    </row>
    <row r="868" s="597" customFormat="1" spans="1:15">
      <c r="A868" s="618"/>
      <c r="B868" s="675" t="s">
        <v>1139</v>
      </c>
      <c r="C868" s="597">
        <v>0.1</v>
      </c>
      <c r="D868" s="663">
        <v>0.12</v>
      </c>
      <c r="E868" s="663">
        <v>0.12</v>
      </c>
      <c r="F868" s="663">
        <v>0.12</v>
      </c>
      <c r="G868" s="663">
        <v>0.12</v>
      </c>
      <c r="H868" s="663">
        <v>0.12</v>
      </c>
      <c r="I868" s="663">
        <v>0.12</v>
      </c>
      <c r="J868" s="663">
        <v>0.12</v>
      </c>
      <c r="K868" s="663">
        <v>0.12</v>
      </c>
      <c r="L868" s="663">
        <v>0.12</v>
      </c>
      <c r="M868" s="663">
        <v>0.12</v>
      </c>
      <c r="N868" s="666">
        <v>0.12</v>
      </c>
      <c r="O868" s="666">
        <v>0.12</v>
      </c>
    </row>
    <row r="869" s="597" customFormat="1" spans="1:15">
      <c r="A869" s="618"/>
      <c r="B869" s="675" t="s">
        <v>1140</v>
      </c>
      <c r="C869" s="597">
        <v>0.1</v>
      </c>
      <c r="D869" s="663">
        <v>0.12</v>
      </c>
      <c r="E869" s="663">
        <v>0.12</v>
      </c>
      <c r="F869" s="663">
        <v>0.12</v>
      </c>
      <c r="G869" s="663">
        <v>0.12</v>
      </c>
      <c r="H869" s="663">
        <v>0.12</v>
      </c>
      <c r="I869" s="663">
        <v>0.12</v>
      </c>
      <c r="J869" s="663">
        <v>0.12</v>
      </c>
      <c r="K869" s="663">
        <v>0.12</v>
      </c>
      <c r="L869" s="663">
        <v>0.12</v>
      </c>
      <c r="M869" s="663">
        <v>0.12</v>
      </c>
      <c r="N869" s="666">
        <v>0.12</v>
      </c>
      <c r="O869" s="666">
        <v>0.12</v>
      </c>
    </row>
    <row r="870" s="597" customFormat="1" spans="1:15">
      <c r="A870" s="618"/>
      <c r="B870" s="675" t="s">
        <v>1141</v>
      </c>
      <c r="C870" s="597">
        <v>0.1</v>
      </c>
      <c r="D870" s="663">
        <v>0.12</v>
      </c>
      <c r="E870" s="663">
        <v>0.12</v>
      </c>
      <c r="F870" s="663">
        <v>0.12</v>
      </c>
      <c r="G870" s="663">
        <v>0.12</v>
      </c>
      <c r="H870" s="663">
        <v>0.12</v>
      </c>
      <c r="I870" s="663">
        <v>0.12</v>
      </c>
      <c r="J870" s="663">
        <v>0.12</v>
      </c>
      <c r="K870" s="663">
        <v>0.12</v>
      </c>
      <c r="L870" s="663">
        <v>0.12</v>
      </c>
      <c r="M870" s="663">
        <v>0.12</v>
      </c>
      <c r="N870" s="666">
        <v>0.12</v>
      </c>
      <c r="O870" s="666">
        <v>0.12</v>
      </c>
    </row>
    <row r="871" s="597" customFormat="1" spans="1:15">
      <c r="A871" s="618"/>
      <c r="B871" s="675" t="s">
        <v>1142</v>
      </c>
      <c r="C871" s="597">
        <v>0.1</v>
      </c>
      <c r="D871" s="663">
        <v>0.12</v>
      </c>
      <c r="E871" s="663">
        <v>0.12</v>
      </c>
      <c r="F871" s="663">
        <v>0.12</v>
      </c>
      <c r="G871" s="663">
        <v>0.12</v>
      </c>
      <c r="H871" s="663">
        <v>0.12</v>
      </c>
      <c r="I871" s="663">
        <v>0.12</v>
      </c>
      <c r="J871" s="663">
        <v>0.12</v>
      </c>
      <c r="K871" s="663">
        <v>0.12</v>
      </c>
      <c r="L871" s="663">
        <v>0.12</v>
      </c>
      <c r="M871" s="663">
        <v>0.12</v>
      </c>
      <c r="N871" s="666">
        <v>0.12</v>
      </c>
      <c r="O871" s="666">
        <v>0.12</v>
      </c>
    </row>
    <row r="872" s="597" customFormat="1" spans="1:15">
      <c r="A872" s="618"/>
      <c r="B872" s="675" t="s">
        <v>1143</v>
      </c>
      <c r="C872" s="597">
        <v>0.1</v>
      </c>
      <c r="D872" s="635">
        <v>0.1</v>
      </c>
      <c r="E872" s="635">
        <v>0.1</v>
      </c>
      <c r="F872" s="635">
        <v>0.1</v>
      </c>
      <c r="G872" s="635">
        <v>0.1</v>
      </c>
      <c r="H872" s="635">
        <v>0.1</v>
      </c>
      <c r="I872" s="635">
        <v>0.1</v>
      </c>
      <c r="J872" s="635">
        <v>0.1</v>
      </c>
      <c r="K872" s="635">
        <v>0.1</v>
      </c>
      <c r="L872" s="635">
        <v>0.1</v>
      </c>
      <c r="M872" s="635">
        <v>0.1</v>
      </c>
      <c r="N872" s="640">
        <v>0.1</v>
      </c>
      <c r="O872" s="640">
        <v>0.1</v>
      </c>
    </row>
    <row r="873" s="597" customFormat="1" spans="1:15">
      <c r="A873" s="618"/>
      <c r="B873" s="675" t="s">
        <v>1144</v>
      </c>
      <c r="C873" s="597">
        <v>0.07</v>
      </c>
      <c r="D873" s="635">
        <v>0.07</v>
      </c>
      <c r="E873" s="635">
        <v>0.07</v>
      </c>
      <c r="F873" s="635">
        <v>0.07</v>
      </c>
      <c r="G873" s="635">
        <v>0.07</v>
      </c>
      <c r="H873" s="635">
        <v>0.07</v>
      </c>
      <c r="I873" s="635">
        <v>0.07</v>
      </c>
      <c r="J873" s="635">
        <v>0.07</v>
      </c>
      <c r="K873" s="635">
        <v>0.07</v>
      </c>
      <c r="L873" s="635">
        <v>0.07</v>
      </c>
      <c r="M873" s="635">
        <v>0.07</v>
      </c>
      <c r="N873" s="640">
        <v>0.07</v>
      </c>
      <c r="O873" s="640">
        <v>0.07</v>
      </c>
    </row>
    <row r="874" s="597" customFormat="1" spans="1:15">
      <c r="A874" s="618"/>
      <c r="B874" s="675" t="s">
        <v>1145</v>
      </c>
      <c r="C874" s="597">
        <v>0.07</v>
      </c>
      <c r="D874" s="635">
        <v>0.07</v>
      </c>
      <c r="E874" s="635">
        <v>0.07</v>
      </c>
      <c r="F874" s="635">
        <v>0.07</v>
      </c>
      <c r="G874" s="635">
        <v>0.07</v>
      </c>
      <c r="H874" s="635">
        <v>0.07</v>
      </c>
      <c r="I874" s="635">
        <v>0.07</v>
      </c>
      <c r="J874" s="635">
        <v>0.07</v>
      </c>
      <c r="K874" s="635">
        <v>0.07</v>
      </c>
      <c r="L874" s="635">
        <v>0.07</v>
      </c>
      <c r="M874" s="635">
        <v>0.07</v>
      </c>
      <c r="N874" s="640">
        <v>0.07</v>
      </c>
      <c r="O874" s="640">
        <v>0.07</v>
      </c>
    </row>
    <row r="875" s="597" customFormat="1" spans="1:15">
      <c r="A875" s="618"/>
      <c r="B875" s="675" t="s">
        <v>1146</v>
      </c>
      <c r="C875" s="597">
        <v>0.06</v>
      </c>
      <c r="D875" s="635">
        <v>0.06</v>
      </c>
      <c r="E875" s="635">
        <v>0.06</v>
      </c>
      <c r="F875" s="635">
        <v>0.06</v>
      </c>
      <c r="G875" s="635">
        <v>0.06</v>
      </c>
      <c r="H875" s="635">
        <v>0.06</v>
      </c>
      <c r="I875" s="635">
        <v>0.06</v>
      </c>
      <c r="J875" s="635">
        <v>0.06</v>
      </c>
      <c r="K875" s="635">
        <v>0.06</v>
      </c>
      <c r="L875" s="635">
        <v>0.06</v>
      </c>
      <c r="M875" s="635">
        <v>0.06</v>
      </c>
      <c r="N875" s="640">
        <v>0.06</v>
      </c>
      <c r="O875" s="640">
        <v>0.06</v>
      </c>
    </row>
    <row r="876" s="597" customFormat="1" spans="1:15">
      <c r="A876" s="618"/>
      <c r="B876" s="675" t="s">
        <v>1147</v>
      </c>
      <c r="C876" s="597">
        <v>0.06</v>
      </c>
      <c r="D876" s="663">
        <v>0.05</v>
      </c>
      <c r="E876" s="663">
        <v>0.05</v>
      </c>
      <c r="F876" s="663">
        <v>0.05</v>
      </c>
      <c r="G876" s="663">
        <v>0.05</v>
      </c>
      <c r="H876" s="663">
        <v>0.05</v>
      </c>
      <c r="I876" s="663">
        <v>0.05</v>
      </c>
      <c r="J876" s="663">
        <v>0.05</v>
      </c>
      <c r="K876" s="663">
        <v>0.05</v>
      </c>
      <c r="L876" s="663">
        <v>0.05</v>
      </c>
      <c r="M876" s="663">
        <v>0.05</v>
      </c>
      <c r="N876" s="666">
        <v>0.05</v>
      </c>
      <c r="O876" s="666">
        <v>0.05</v>
      </c>
    </row>
    <row r="877" s="597" customFormat="1" spans="1:15">
      <c r="A877" s="618"/>
      <c r="B877" s="675" t="s">
        <v>1148</v>
      </c>
      <c r="C877" s="597">
        <v>0.06</v>
      </c>
      <c r="D877" s="635">
        <v>0.06</v>
      </c>
      <c r="E877" s="635">
        <v>0.06</v>
      </c>
      <c r="F877" s="635">
        <v>0.06</v>
      </c>
      <c r="G877" s="635">
        <v>0.06</v>
      </c>
      <c r="H877" s="635">
        <v>0.06</v>
      </c>
      <c r="I877" s="635">
        <v>0.06</v>
      </c>
      <c r="J877" s="635">
        <v>0.06</v>
      </c>
      <c r="K877" s="635">
        <v>0.06</v>
      </c>
      <c r="L877" s="635">
        <v>0.06</v>
      </c>
      <c r="M877" s="635">
        <v>0.06</v>
      </c>
      <c r="N877" s="640">
        <v>0.06</v>
      </c>
      <c r="O877" s="640">
        <v>0.06</v>
      </c>
    </row>
    <row r="878" s="597" customFormat="1" spans="1:15">
      <c r="A878" s="618"/>
      <c r="B878" s="675" t="s">
        <v>1149</v>
      </c>
      <c r="C878" s="597">
        <v>0.07</v>
      </c>
      <c r="D878" s="663">
        <v>0.06</v>
      </c>
      <c r="E878" s="663">
        <v>0.06</v>
      </c>
      <c r="F878" s="663">
        <v>0.06</v>
      </c>
      <c r="G878" s="663">
        <v>0.06</v>
      </c>
      <c r="H878" s="663">
        <v>0.06</v>
      </c>
      <c r="I878" s="663">
        <v>0.06</v>
      </c>
      <c r="J878" s="663">
        <v>0.06</v>
      </c>
      <c r="K878" s="663">
        <v>0.06</v>
      </c>
      <c r="L878" s="663">
        <v>0.06</v>
      </c>
      <c r="M878" s="663">
        <v>0.06</v>
      </c>
      <c r="N878" s="666">
        <v>0.06</v>
      </c>
      <c r="O878" s="666">
        <v>0.06</v>
      </c>
    </row>
    <row r="879" s="597" customFormat="1" spans="1:15">
      <c r="A879" s="618"/>
      <c r="B879" s="675" t="s">
        <v>1150</v>
      </c>
      <c r="C879" s="597">
        <v>0.08</v>
      </c>
      <c r="D879" s="663">
        <v>0.11</v>
      </c>
      <c r="E879" s="663">
        <v>0.11</v>
      </c>
      <c r="F879" s="663">
        <v>0.11</v>
      </c>
      <c r="G879" s="663">
        <v>0.11</v>
      </c>
      <c r="H879" s="663">
        <v>0.11</v>
      </c>
      <c r="I879" s="663">
        <v>0.11</v>
      </c>
      <c r="J879" s="663">
        <v>0.11</v>
      </c>
      <c r="K879" s="663">
        <v>0.11</v>
      </c>
      <c r="L879" s="663">
        <v>0.11</v>
      </c>
      <c r="M879" s="663">
        <v>0.11</v>
      </c>
      <c r="N879" s="666">
        <v>0.11</v>
      </c>
      <c r="O879" s="666">
        <v>0.11</v>
      </c>
    </row>
    <row r="880" s="597" customFormat="1" spans="1:15">
      <c r="A880" s="618"/>
      <c r="B880" s="675" t="s">
        <v>1151</v>
      </c>
      <c r="C880" s="597">
        <v>0.1</v>
      </c>
      <c r="D880" s="663">
        <v>0.11</v>
      </c>
      <c r="E880" s="663">
        <v>0.11</v>
      </c>
      <c r="F880" s="663">
        <v>0.11</v>
      </c>
      <c r="G880" s="663">
        <v>0.11</v>
      </c>
      <c r="H880" s="663">
        <v>0.11</v>
      </c>
      <c r="I880" s="663">
        <v>0.11</v>
      </c>
      <c r="J880" s="663">
        <v>0.11</v>
      </c>
      <c r="K880" s="663">
        <v>0.11</v>
      </c>
      <c r="L880" s="663">
        <v>0.11</v>
      </c>
      <c r="M880" s="663">
        <v>0.11</v>
      </c>
      <c r="N880" s="666">
        <v>0.11</v>
      </c>
      <c r="O880" s="666">
        <v>0.11</v>
      </c>
    </row>
    <row r="881" s="597" customFormat="1" spans="1:15">
      <c r="A881" s="618"/>
      <c r="B881" s="675" t="s">
        <v>1152</v>
      </c>
      <c r="C881" s="597">
        <v>0.1</v>
      </c>
      <c r="D881" s="663">
        <v>0.11</v>
      </c>
      <c r="E881" s="663">
        <v>0.11</v>
      </c>
      <c r="F881" s="663">
        <v>0.11</v>
      </c>
      <c r="G881" s="663">
        <v>0.11</v>
      </c>
      <c r="H881" s="663">
        <v>0.11</v>
      </c>
      <c r="I881" s="663">
        <v>0.11</v>
      </c>
      <c r="J881" s="663">
        <v>0.11</v>
      </c>
      <c r="K881" s="663">
        <v>0.11</v>
      </c>
      <c r="L881" s="663">
        <v>0.11</v>
      </c>
      <c r="M881" s="663">
        <v>0.11</v>
      </c>
      <c r="N881" s="666">
        <v>0.11</v>
      </c>
      <c r="O881" s="666">
        <v>0.11</v>
      </c>
    </row>
    <row r="882" s="597" customFormat="1" spans="1:15">
      <c r="A882" s="618"/>
      <c r="B882" s="675" t="s">
        <v>1153</v>
      </c>
      <c r="C882" s="597">
        <v>0.11</v>
      </c>
      <c r="D882" s="635">
        <v>0.11</v>
      </c>
      <c r="E882" s="635">
        <v>0.11</v>
      </c>
      <c r="F882" s="635">
        <v>0.11</v>
      </c>
      <c r="G882" s="635">
        <v>0.11</v>
      </c>
      <c r="H882" s="635">
        <v>0.11</v>
      </c>
      <c r="I882" s="635">
        <v>0.11</v>
      </c>
      <c r="J882" s="635">
        <v>0.11</v>
      </c>
      <c r="K882" s="635">
        <v>0.11</v>
      </c>
      <c r="L882" s="635">
        <v>0.11</v>
      </c>
      <c r="M882" s="635">
        <v>0.11</v>
      </c>
      <c r="N882" s="640">
        <v>0.11</v>
      </c>
      <c r="O882" s="640">
        <v>0.11</v>
      </c>
    </row>
    <row r="883" s="597" customFormat="1" spans="1:15">
      <c r="A883" s="618"/>
      <c r="B883" s="675" t="s">
        <v>1154</v>
      </c>
      <c r="C883" s="597">
        <v>0.11</v>
      </c>
      <c r="D883" s="635">
        <v>0.11</v>
      </c>
      <c r="E883" s="635">
        <v>0.11</v>
      </c>
      <c r="F883" s="635">
        <v>0.11</v>
      </c>
      <c r="G883" s="635">
        <v>0.11</v>
      </c>
      <c r="H883" s="635">
        <v>0.11</v>
      </c>
      <c r="I883" s="635">
        <v>0.11</v>
      </c>
      <c r="J883" s="635">
        <v>0.11</v>
      </c>
      <c r="K883" s="635">
        <v>0.11</v>
      </c>
      <c r="L883" s="635">
        <v>0.11</v>
      </c>
      <c r="M883" s="635">
        <v>0.11</v>
      </c>
      <c r="N883" s="640">
        <v>0.11</v>
      </c>
      <c r="O883" s="640">
        <v>0.11</v>
      </c>
    </row>
    <row r="884" s="597" customFormat="1" spans="1:15">
      <c r="A884" s="618"/>
      <c r="B884" s="675" t="s">
        <v>1155</v>
      </c>
      <c r="C884" s="597">
        <v>0.11</v>
      </c>
      <c r="D884" s="635">
        <v>0.11</v>
      </c>
      <c r="E884" s="635">
        <v>0.11</v>
      </c>
      <c r="F884" s="635">
        <v>0.11</v>
      </c>
      <c r="G884" s="635">
        <v>0.11</v>
      </c>
      <c r="H884" s="635">
        <v>0.11</v>
      </c>
      <c r="I884" s="635">
        <v>0.11</v>
      </c>
      <c r="J884" s="635">
        <v>0.11</v>
      </c>
      <c r="K884" s="635">
        <v>0.11</v>
      </c>
      <c r="L884" s="635">
        <v>0.11</v>
      </c>
      <c r="M884" s="635">
        <v>0.11</v>
      </c>
      <c r="N884" s="640">
        <v>0.11</v>
      </c>
      <c r="O884" s="640">
        <v>0.11</v>
      </c>
    </row>
    <row r="885" s="597" customFormat="1" spans="1:15">
      <c r="A885" s="618"/>
      <c r="B885" s="675" t="s">
        <v>1156</v>
      </c>
      <c r="C885" s="597">
        <v>0.07</v>
      </c>
      <c r="D885" s="663">
        <v>0.06</v>
      </c>
      <c r="E885" s="663">
        <v>0.06</v>
      </c>
      <c r="F885" s="663">
        <v>0.06</v>
      </c>
      <c r="G885" s="663">
        <v>0.06</v>
      </c>
      <c r="H885" s="663">
        <v>0.06</v>
      </c>
      <c r="I885" s="663">
        <v>0.06</v>
      </c>
      <c r="J885" s="663">
        <v>0.06</v>
      </c>
      <c r="K885" s="663">
        <v>0.06</v>
      </c>
      <c r="L885" s="663">
        <v>0.06</v>
      </c>
      <c r="M885" s="663">
        <v>0.06</v>
      </c>
      <c r="N885" s="666">
        <v>0.06</v>
      </c>
      <c r="O885" s="666">
        <v>0.06</v>
      </c>
    </row>
    <row r="886" s="597" customFormat="1" spans="1:15">
      <c r="A886" s="618"/>
      <c r="B886" s="675" t="s">
        <v>1157</v>
      </c>
      <c r="C886" s="597">
        <v>0.07</v>
      </c>
      <c r="D886" s="663">
        <v>0.05</v>
      </c>
      <c r="E886" s="663">
        <v>0.05</v>
      </c>
      <c r="F886" s="663">
        <v>0.05</v>
      </c>
      <c r="G886" s="663">
        <v>0.05</v>
      </c>
      <c r="H886" s="663">
        <v>0.05</v>
      </c>
      <c r="I886" s="663">
        <v>0.05</v>
      </c>
      <c r="J886" s="663">
        <v>0.05</v>
      </c>
      <c r="K886" s="663">
        <v>0.05</v>
      </c>
      <c r="L886" s="663">
        <v>0.05</v>
      </c>
      <c r="M886" s="663">
        <v>0.05</v>
      </c>
      <c r="N886" s="666">
        <v>0.05</v>
      </c>
      <c r="O886" s="666">
        <v>0.05</v>
      </c>
    </row>
    <row r="887" s="597" customFormat="1" spans="1:15">
      <c r="A887" s="618"/>
      <c r="B887" s="675" t="s">
        <v>1158</v>
      </c>
      <c r="C887" s="597">
        <v>0.05</v>
      </c>
      <c r="D887" s="663">
        <v>0.02</v>
      </c>
      <c r="E887" s="663">
        <v>0.02</v>
      </c>
      <c r="F887" s="663">
        <v>0.02</v>
      </c>
      <c r="G887" s="663">
        <v>0.02</v>
      </c>
      <c r="H887" s="663">
        <v>0.02</v>
      </c>
      <c r="I887" s="663">
        <v>0.02</v>
      </c>
      <c r="J887" s="663">
        <v>0.02</v>
      </c>
      <c r="K887" s="663">
        <v>0.02</v>
      </c>
      <c r="L887" s="663">
        <v>0.02</v>
      </c>
      <c r="M887" s="663">
        <v>0.02</v>
      </c>
      <c r="N887" s="666">
        <v>0.02</v>
      </c>
      <c r="O887" s="666">
        <v>0.02</v>
      </c>
    </row>
    <row r="888" s="597" customFormat="1" spans="1:15">
      <c r="A888" s="618"/>
      <c r="B888" s="675" t="s">
        <v>1159</v>
      </c>
      <c r="C888" s="597">
        <v>0.05</v>
      </c>
      <c r="D888" s="663">
        <v>0.03</v>
      </c>
      <c r="E888" s="663">
        <v>0.03</v>
      </c>
      <c r="F888" s="663">
        <v>0.03</v>
      </c>
      <c r="G888" s="663">
        <v>0.03</v>
      </c>
      <c r="H888" s="663">
        <v>0.03</v>
      </c>
      <c r="I888" s="663">
        <v>0.03</v>
      </c>
      <c r="J888" s="663">
        <v>0.03</v>
      </c>
      <c r="K888" s="663">
        <v>0.03</v>
      </c>
      <c r="L888" s="663">
        <v>0.03</v>
      </c>
      <c r="M888" s="663">
        <v>0.03</v>
      </c>
      <c r="N888" s="666">
        <v>0.03</v>
      </c>
      <c r="O888" s="666">
        <v>0.03</v>
      </c>
    </row>
    <row r="889" s="597" customFormat="1" spans="1:15">
      <c r="A889" s="618"/>
      <c r="B889" s="675" t="s">
        <v>1160</v>
      </c>
      <c r="C889" s="597">
        <v>0.06</v>
      </c>
      <c r="D889" s="663">
        <v>0.03</v>
      </c>
      <c r="E889" s="663">
        <v>0.03</v>
      </c>
      <c r="F889" s="663">
        <v>0.03</v>
      </c>
      <c r="G889" s="663">
        <v>0.03</v>
      </c>
      <c r="H889" s="663">
        <v>0.03</v>
      </c>
      <c r="I889" s="663">
        <v>0.03</v>
      </c>
      <c r="J889" s="663">
        <v>0.03</v>
      </c>
      <c r="K889" s="663">
        <v>0.03</v>
      </c>
      <c r="L889" s="663">
        <v>0.03</v>
      </c>
      <c r="M889" s="663">
        <v>0.03</v>
      </c>
      <c r="N889" s="666">
        <v>0.03</v>
      </c>
      <c r="O889" s="666">
        <v>0.03</v>
      </c>
    </row>
    <row r="890" s="597" customFormat="1" spans="1:15">
      <c r="A890" s="618"/>
      <c r="B890" s="675" t="s">
        <v>1161</v>
      </c>
      <c r="C890" s="597">
        <v>0.07</v>
      </c>
      <c r="D890" s="663">
        <v>0.04</v>
      </c>
      <c r="E890" s="663">
        <v>0.04</v>
      </c>
      <c r="F890" s="663">
        <v>0.04</v>
      </c>
      <c r="G890" s="663">
        <v>0.04</v>
      </c>
      <c r="H890" s="663">
        <v>0.04</v>
      </c>
      <c r="I890" s="663">
        <v>0.04</v>
      </c>
      <c r="J890" s="663">
        <v>0.04</v>
      </c>
      <c r="K890" s="663">
        <v>0.04</v>
      </c>
      <c r="L890" s="663">
        <v>0.04</v>
      </c>
      <c r="M890" s="663">
        <v>0.04</v>
      </c>
      <c r="N890" s="666">
        <v>0.04</v>
      </c>
      <c r="O890" s="666">
        <v>0.04</v>
      </c>
    </row>
    <row r="891" s="597" customFormat="1" spans="1:15">
      <c r="A891" s="618"/>
      <c r="B891" s="675" t="s">
        <v>1162</v>
      </c>
      <c r="C891" s="597">
        <v>0.08</v>
      </c>
      <c r="D891" s="663">
        <v>0.11</v>
      </c>
      <c r="E891" s="663">
        <v>0.11</v>
      </c>
      <c r="F891" s="663">
        <v>0.11</v>
      </c>
      <c r="G891" s="663">
        <v>0.11</v>
      </c>
      <c r="H891" s="663">
        <v>0.11</v>
      </c>
      <c r="I891" s="663">
        <v>0.11</v>
      </c>
      <c r="J891" s="663">
        <v>0.11</v>
      </c>
      <c r="K891" s="663">
        <v>0.11</v>
      </c>
      <c r="L891" s="663">
        <v>0.11</v>
      </c>
      <c r="M891" s="663">
        <v>0.11</v>
      </c>
      <c r="N891" s="666">
        <v>0.11</v>
      </c>
      <c r="O891" s="666">
        <v>0.11</v>
      </c>
    </row>
    <row r="892" s="597" customFormat="1" spans="1:15">
      <c r="A892" s="618"/>
      <c r="B892" s="675" t="s">
        <v>1163</v>
      </c>
      <c r="C892" s="597">
        <v>0.1</v>
      </c>
      <c r="D892" s="663">
        <v>0.12</v>
      </c>
      <c r="E892" s="663">
        <v>0.12</v>
      </c>
      <c r="F892" s="663">
        <v>0.12</v>
      </c>
      <c r="G892" s="663">
        <v>0.12</v>
      </c>
      <c r="H892" s="663">
        <v>0.12</v>
      </c>
      <c r="I892" s="663">
        <v>0.12</v>
      </c>
      <c r="J892" s="663">
        <v>0.12</v>
      </c>
      <c r="K892" s="663">
        <v>0.12</v>
      </c>
      <c r="L892" s="663">
        <v>0.12</v>
      </c>
      <c r="M892" s="663">
        <v>0.12</v>
      </c>
      <c r="N892" s="666">
        <v>0.12</v>
      </c>
      <c r="O892" s="666">
        <v>0.12</v>
      </c>
    </row>
    <row r="893" s="597" customFormat="1" spans="1:15">
      <c r="A893" s="618"/>
      <c r="B893" s="675" t="s">
        <v>1164</v>
      </c>
      <c r="C893" s="597">
        <v>0.1</v>
      </c>
      <c r="D893" s="663">
        <v>0.12</v>
      </c>
      <c r="E893" s="663">
        <v>0.12</v>
      </c>
      <c r="F893" s="663">
        <v>0.12</v>
      </c>
      <c r="G893" s="663">
        <v>0.12</v>
      </c>
      <c r="H893" s="663">
        <v>0.12</v>
      </c>
      <c r="I893" s="663">
        <v>0.12</v>
      </c>
      <c r="J893" s="663">
        <v>0.12</v>
      </c>
      <c r="K893" s="663">
        <v>0.12</v>
      </c>
      <c r="L893" s="663">
        <v>0.12</v>
      </c>
      <c r="M893" s="663">
        <v>0.12</v>
      </c>
      <c r="N893" s="666">
        <v>0.12</v>
      </c>
      <c r="O893" s="666">
        <v>0.12</v>
      </c>
    </row>
    <row r="894" s="597" customFormat="1" spans="1:15">
      <c r="A894" s="618"/>
      <c r="B894" s="675" t="s">
        <v>1165</v>
      </c>
      <c r="C894" s="597">
        <v>0.12</v>
      </c>
      <c r="D894" s="635">
        <v>0.12</v>
      </c>
      <c r="E894" s="635">
        <v>0.12</v>
      </c>
      <c r="F894" s="635">
        <v>0.12</v>
      </c>
      <c r="G894" s="635">
        <v>0.12</v>
      </c>
      <c r="H894" s="635">
        <v>0.12</v>
      </c>
      <c r="I894" s="635">
        <v>0.12</v>
      </c>
      <c r="J894" s="635">
        <v>0.12</v>
      </c>
      <c r="K894" s="635">
        <v>0.12</v>
      </c>
      <c r="L894" s="635">
        <v>0.12</v>
      </c>
      <c r="M894" s="635">
        <v>0.12</v>
      </c>
      <c r="N894" s="640">
        <v>0.12</v>
      </c>
      <c r="O894" s="640">
        <v>0.12</v>
      </c>
    </row>
    <row r="895" s="597" customFormat="1" spans="1:15">
      <c r="A895" s="618"/>
      <c r="B895" s="675" t="s">
        <v>1166</v>
      </c>
      <c r="C895" s="597">
        <v>0.12</v>
      </c>
      <c r="D895" s="635">
        <v>0.12</v>
      </c>
      <c r="E895" s="635">
        <v>0.12</v>
      </c>
      <c r="F895" s="635">
        <v>0.12</v>
      </c>
      <c r="G895" s="635">
        <v>0.12</v>
      </c>
      <c r="H895" s="635">
        <v>0.12</v>
      </c>
      <c r="I895" s="635">
        <v>0.12</v>
      </c>
      <c r="J895" s="635">
        <v>0.12</v>
      </c>
      <c r="K895" s="635">
        <v>0.12</v>
      </c>
      <c r="L895" s="635">
        <v>0.12</v>
      </c>
      <c r="M895" s="635">
        <v>0.12</v>
      </c>
      <c r="N895" s="640">
        <v>0.12</v>
      </c>
      <c r="O895" s="640">
        <v>0.12</v>
      </c>
    </row>
    <row r="896" s="597" customFormat="1" spans="1:15">
      <c r="A896" s="618"/>
      <c r="B896" s="675" t="s">
        <v>1167</v>
      </c>
      <c r="C896" s="597">
        <v>0.11</v>
      </c>
      <c r="D896" s="635">
        <v>0.11</v>
      </c>
      <c r="E896" s="635">
        <v>0.11</v>
      </c>
      <c r="F896" s="635">
        <v>0.11</v>
      </c>
      <c r="G896" s="635">
        <v>0.11</v>
      </c>
      <c r="H896" s="635">
        <v>0.11</v>
      </c>
      <c r="I896" s="635">
        <v>0.11</v>
      </c>
      <c r="J896" s="635">
        <v>0.11</v>
      </c>
      <c r="K896" s="635">
        <v>0.11</v>
      </c>
      <c r="L896" s="635">
        <v>0.11</v>
      </c>
      <c r="M896" s="635">
        <v>0.11</v>
      </c>
      <c r="N896" s="640">
        <v>0.11</v>
      </c>
      <c r="O896" s="640">
        <v>0.11</v>
      </c>
    </row>
    <row r="897" s="597" customFormat="1" spans="1:15">
      <c r="A897" s="618"/>
      <c r="B897" s="675" t="s">
        <v>1168</v>
      </c>
      <c r="C897" s="597">
        <v>0.07</v>
      </c>
      <c r="D897" s="663">
        <v>0.15</v>
      </c>
      <c r="E897" s="663">
        <v>0.15</v>
      </c>
      <c r="F897" s="663">
        <v>0.15</v>
      </c>
      <c r="G897" s="663">
        <v>0.15</v>
      </c>
      <c r="H897" s="663">
        <v>0.15</v>
      </c>
      <c r="I897" s="663">
        <v>0.15</v>
      </c>
      <c r="J897" s="663">
        <v>0.15</v>
      </c>
      <c r="K897" s="663">
        <v>0.15</v>
      </c>
      <c r="L897" s="663">
        <v>0.15</v>
      </c>
      <c r="M897" s="663">
        <v>0.15</v>
      </c>
      <c r="N897" s="666">
        <v>0.15</v>
      </c>
      <c r="O897" s="666">
        <v>0.15</v>
      </c>
    </row>
    <row r="898" s="597" customFormat="1" spans="1:15">
      <c r="A898" s="618"/>
      <c r="B898" s="675" t="s">
        <v>1169</v>
      </c>
      <c r="C898" s="597">
        <v>0.07</v>
      </c>
      <c r="D898" s="663">
        <v>0.03</v>
      </c>
      <c r="E898" s="663">
        <v>0.03</v>
      </c>
      <c r="F898" s="663">
        <v>0.03</v>
      </c>
      <c r="G898" s="663">
        <v>0.03</v>
      </c>
      <c r="H898" s="663">
        <v>0.03</v>
      </c>
      <c r="I898" s="663">
        <v>0.03</v>
      </c>
      <c r="J898" s="663">
        <v>0.03</v>
      </c>
      <c r="K898" s="663">
        <v>0.03</v>
      </c>
      <c r="L898" s="663">
        <v>0.03</v>
      </c>
      <c r="M898" s="663">
        <v>0.03</v>
      </c>
      <c r="N898" s="666">
        <v>0.03</v>
      </c>
      <c r="O898" s="666">
        <v>0.03</v>
      </c>
    </row>
    <row r="899" s="597" customFormat="1" spans="1:15">
      <c r="A899" s="618"/>
      <c r="B899" s="675" t="s">
        <v>1170</v>
      </c>
      <c r="C899" s="597">
        <v>0.05</v>
      </c>
      <c r="D899" s="635">
        <v>0.05</v>
      </c>
      <c r="E899" s="635">
        <v>0.05</v>
      </c>
      <c r="F899" s="635">
        <v>0.05</v>
      </c>
      <c r="G899" s="635">
        <v>0.05</v>
      </c>
      <c r="H899" s="635">
        <v>0.05</v>
      </c>
      <c r="I899" s="635">
        <v>0.05</v>
      </c>
      <c r="J899" s="635">
        <v>0.05</v>
      </c>
      <c r="K899" s="635">
        <v>0.05</v>
      </c>
      <c r="L899" s="635">
        <v>0.05</v>
      </c>
      <c r="M899" s="635">
        <v>0.05</v>
      </c>
      <c r="N899" s="640">
        <v>0.05</v>
      </c>
      <c r="O899" s="640">
        <v>0.05</v>
      </c>
    </row>
    <row r="900" s="597" customFormat="1" spans="1:15">
      <c r="A900" s="618"/>
      <c r="B900" s="675" t="s">
        <v>1171</v>
      </c>
      <c r="C900" s="597">
        <v>0.05</v>
      </c>
      <c r="D900" s="635">
        <v>0.05</v>
      </c>
      <c r="E900" s="635">
        <v>0.05</v>
      </c>
      <c r="F900" s="635">
        <v>0.05</v>
      </c>
      <c r="G900" s="635">
        <v>0.05</v>
      </c>
      <c r="H900" s="635">
        <v>0.05</v>
      </c>
      <c r="I900" s="635">
        <v>0.05</v>
      </c>
      <c r="J900" s="635">
        <v>0.05</v>
      </c>
      <c r="K900" s="635">
        <v>0.05</v>
      </c>
      <c r="L900" s="635">
        <v>0.05</v>
      </c>
      <c r="M900" s="635">
        <v>0.05</v>
      </c>
      <c r="N900" s="640">
        <v>0.05</v>
      </c>
      <c r="O900" s="640">
        <v>0.05</v>
      </c>
    </row>
    <row r="901" s="597" customFormat="1" spans="1:15">
      <c r="A901" s="618"/>
      <c r="B901" s="675" t="s">
        <v>1172</v>
      </c>
      <c r="C901" s="597">
        <v>0.06</v>
      </c>
      <c r="D901" s="635">
        <v>0.06</v>
      </c>
      <c r="E901" s="635">
        <v>0.06</v>
      </c>
      <c r="F901" s="635">
        <v>0.06</v>
      </c>
      <c r="G901" s="635">
        <v>0.06</v>
      </c>
      <c r="H901" s="635">
        <v>0.06</v>
      </c>
      <c r="I901" s="635">
        <v>0.06</v>
      </c>
      <c r="J901" s="635">
        <v>0.06</v>
      </c>
      <c r="K901" s="635">
        <v>0.06</v>
      </c>
      <c r="L901" s="635">
        <v>0.06</v>
      </c>
      <c r="M901" s="635">
        <v>0.06</v>
      </c>
      <c r="N901" s="640">
        <v>0.06</v>
      </c>
      <c r="O901" s="640">
        <v>0.06</v>
      </c>
    </row>
    <row r="902" s="597" customFormat="1" spans="1:15">
      <c r="A902" s="618"/>
      <c r="B902" s="675" t="s">
        <v>1173</v>
      </c>
      <c r="C902" s="597">
        <v>0.07</v>
      </c>
      <c r="D902" s="635">
        <v>0.07</v>
      </c>
      <c r="E902" s="635">
        <v>0.07</v>
      </c>
      <c r="F902" s="635">
        <v>0.07</v>
      </c>
      <c r="G902" s="635">
        <v>0.07</v>
      </c>
      <c r="H902" s="635">
        <v>0.07</v>
      </c>
      <c r="I902" s="635">
        <v>0.07</v>
      </c>
      <c r="J902" s="635">
        <v>0.07</v>
      </c>
      <c r="K902" s="635">
        <v>0.07</v>
      </c>
      <c r="L902" s="635">
        <v>0.07</v>
      </c>
      <c r="M902" s="635">
        <v>0.07</v>
      </c>
      <c r="N902" s="640">
        <v>0.07</v>
      </c>
      <c r="O902" s="640">
        <v>0.07</v>
      </c>
    </row>
    <row r="903" s="597" customFormat="1" spans="1:15">
      <c r="A903" s="618"/>
      <c r="B903" s="675" t="s">
        <v>1174</v>
      </c>
      <c r="C903" s="597">
        <v>0.08</v>
      </c>
      <c r="D903" s="635">
        <v>0.08</v>
      </c>
      <c r="E903" s="635">
        <v>0.08</v>
      </c>
      <c r="F903" s="635">
        <v>0.08</v>
      </c>
      <c r="G903" s="635">
        <v>0.08</v>
      </c>
      <c r="H903" s="635">
        <v>0.08</v>
      </c>
      <c r="I903" s="635">
        <v>0.08</v>
      </c>
      <c r="J903" s="635">
        <v>0.08</v>
      </c>
      <c r="K903" s="635">
        <v>0.08</v>
      </c>
      <c r="L903" s="635">
        <v>0.08</v>
      </c>
      <c r="M903" s="635">
        <v>0.08</v>
      </c>
      <c r="N903" s="640">
        <v>0.08</v>
      </c>
      <c r="O903" s="640">
        <v>0.08</v>
      </c>
    </row>
    <row r="904" s="597" customFormat="1" spans="1:15">
      <c r="A904" s="618"/>
      <c r="B904" s="675" t="s">
        <v>1175</v>
      </c>
      <c r="C904" s="597">
        <v>0.1</v>
      </c>
      <c r="D904" s="635">
        <v>0.1</v>
      </c>
      <c r="E904" s="635">
        <v>0.1</v>
      </c>
      <c r="F904" s="635">
        <v>0.1</v>
      </c>
      <c r="G904" s="635">
        <v>0.1</v>
      </c>
      <c r="H904" s="635">
        <v>0.1</v>
      </c>
      <c r="I904" s="635">
        <v>0.1</v>
      </c>
      <c r="J904" s="635">
        <v>0.1</v>
      </c>
      <c r="K904" s="635">
        <v>0.1</v>
      </c>
      <c r="L904" s="635">
        <v>0.1</v>
      </c>
      <c r="M904" s="635">
        <v>0.1</v>
      </c>
      <c r="N904" s="640">
        <v>0.1</v>
      </c>
      <c r="O904" s="640">
        <v>0.1</v>
      </c>
    </row>
    <row r="905" s="597" customFormat="1" spans="1:15">
      <c r="A905" s="618"/>
      <c r="B905" s="675" t="s">
        <v>1176</v>
      </c>
      <c r="C905" s="597">
        <v>0.1</v>
      </c>
      <c r="D905" s="635">
        <v>0.1</v>
      </c>
      <c r="E905" s="635">
        <v>0.1</v>
      </c>
      <c r="F905" s="635">
        <v>0.1</v>
      </c>
      <c r="G905" s="635">
        <v>0.1</v>
      </c>
      <c r="H905" s="635">
        <v>0.1</v>
      </c>
      <c r="I905" s="635">
        <v>0.1</v>
      </c>
      <c r="J905" s="635">
        <v>0.1</v>
      </c>
      <c r="K905" s="635">
        <v>0.1</v>
      </c>
      <c r="L905" s="635">
        <v>0.1</v>
      </c>
      <c r="M905" s="635">
        <v>0.1</v>
      </c>
      <c r="N905" s="640">
        <v>0.1</v>
      </c>
      <c r="O905" s="640">
        <v>0.1</v>
      </c>
    </row>
    <row r="906" s="597" customFormat="1" spans="1:15">
      <c r="A906" s="618"/>
      <c r="B906" s="675" t="s">
        <v>1177</v>
      </c>
      <c r="C906" s="597">
        <v>0.12</v>
      </c>
      <c r="D906" s="635">
        <v>0.12</v>
      </c>
      <c r="E906" s="635">
        <v>0.12</v>
      </c>
      <c r="F906" s="635">
        <v>0.12</v>
      </c>
      <c r="G906" s="635">
        <v>0.12</v>
      </c>
      <c r="H906" s="635">
        <v>0.12</v>
      </c>
      <c r="I906" s="635">
        <v>0.12</v>
      </c>
      <c r="J906" s="635">
        <v>0.12</v>
      </c>
      <c r="K906" s="635">
        <v>0.12</v>
      </c>
      <c r="L906" s="635">
        <v>0.12</v>
      </c>
      <c r="M906" s="635">
        <v>0.12</v>
      </c>
      <c r="N906" s="640">
        <v>0.12</v>
      </c>
      <c r="O906" s="640">
        <v>0.12</v>
      </c>
    </row>
    <row r="907" s="597" customFormat="1" spans="1:15">
      <c r="A907" s="618"/>
      <c r="B907" s="675" t="s">
        <v>1178</v>
      </c>
      <c r="C907" s="597">
        <v>0.12</v>
      </c>
      <c r="D907" s="635">
        <v>0.12</v>
      </c>
      <c r="E907" s="635">
        <v>0.12</v>
      </c>
      <c r="F907" s="635">
        <v>0.12</v>
      </c>
      <c r="G907" s="635">
        <v>0.12</v>
      </c>
      <c r="H907" s="635">
        <v>0.12</v>
      </c>
      <c r="I907" s="635">
        <v>0.12</v>
      </c>
      <c r="J907" s="635">
        <v>0.12</v>
      </c>
      <c r="K907" s="635">
        <v>0.12</v>
      </c>
      <c r="L907" s="635">
        <v>0.12</v>
      </c>
      <c r="M907" s="635">
        <v>0.12</v>
      </c>
      <c r="N907" s="640">
        <v>0.12</v>
      </c>
      <c r="O907" s="640">
        <v>0.12</v>
      </c>
    </row>
    <row r="908" s="597" customFormat="1" spans="1:15">
      <c r="A908" s="618"/>
      <c r="B908" s="675" t="s">
        <v>1179</v>
      </c>
      <c r="C908" s="597">
        <v>0.11</v>
      </c>
      <c r="D908" s="635">
        <v>0.11</v>
      </c>
      <c r="E908" s="635">
        <v>0.11</v>
      </c>
      <c r="F908" s="635">
        <v>0.11</v>
      </c>
      <c r="G908" s="635">
        <v>0.11</v>
      </c>
      <c r="H908" s="635">
        <v>0.11</v>
      </c>
      <c r="I908" s="635">
        <v>0.11</v>
      </c>
      <c r="J908" s="635">
        <v>0.11</v>
      </c>
      <c r="K908" s="635">
        <v>0.11</v>
      </c>
      <c r="L908" s="635">
        <v>0.11</v>
      </c>
      <c r="M908" s="635">
        <v>0.11</v>
      </c>
      <c r="N908" s="640">
        <v>0.11</v>
      </c>
      <c r="O908" s="640">
        <v>0.11</v>
      </c>
    </row>
    <row r="909" s="597" customFormat="1" spans="1:15">
      <c r="A909" s="618"/>
      <c r="B909" s="675" t="s">
        <v>1180</v>
      </c>
      <c r="C909" s="597">
        <v>0.07</v>
      </c>
      <c r="D909" s="635">
        <v>0.07</v>
      </c>
      <c r="E909" s="635">
        <v>0.07</v>
      </c>
      <c r="F909" s="635">
        <v>0.07</v>
      </c>
      <c r="G909" s="635">
        <v>0.07</v>
      </c>
      <c r="H909" s="635">
        <v>0.07</v>
      </c>
      <c r="I909" s="635">
        <v>0.07</v>
      </c>
      <c r="J909" s="635">
        <v>0.07</v>
      </c>
      <c r="K909" s="635">
        <v>0.07</v>
      </c>
      <c r="L909" s="635">
        <v>0.07</v>
      </c>
      <c r="M909" s="635">
        <v>0.07</v>
      </c>
      <c r="N909" s="640">
        <v>0.07</v>
      </c>
      <c r="O909" s="640">
        <v>0.07</v>
      </c>
    </row>
    <row r="910" s="597" customFormat="1" spans="1:15">
      <c r="A910" s="618"/>
      <c r="B910" s="675" t="s">
        <v>1181</v>
      </c>
      <c r="C910" s="597">
        <v>0.07</v>
      </c>
      <c r="D910" s="635">
        <v>0.07</v>
      </c>
      <c r="E910" s="635">
        <v>0.07</v>
      </c>
      <c r="F910" s="635">
        <v>0.07</v>
      </c>
      <c r="G910" s="635">
        <v>0.07</v>
      </c>
      <c r="H910" s="635">
        <v>0.07</v>
      </c>
      <c r="I910" s="635">
        <v>0.07</v>
      </c>
      <c r="J910" s="635">
        <v>0.07</v>
      </c>
      <c r="K910" s="635">
        <v>0.07</v>
      </c>
      <c r="L910" s="635">
        <v>0.07</v>
      </c>
      <c r="M910" s="635">
        <v>0.07</v>
      </c>
      <c r="N910" s="640">
        <v>0.07</v>
      </c>
      <c r="O910" s="640">
        <v>0.07</v>
      </c>
    </row>
    <row r="911" s="597" customFormat="1" spans="1:15">
      <c r="A911" s="618"/>
      <c r="B911" s="675" t="s">
        <v>1182</v>
      </c>
      <c r="C911" s="597">
        <v>0.05</v>
      </c>
      <c r="D911" s="635">
        <v>0.05</v>
      </c>
      <c r="E911" s="635">
        <v>0.05</v>
      </c>
      <c r="F911" s="635">
        <v>0.05</v>
      </c>
      <c r="G911" s="635">
        <v>0.05</v>
      </c>
      <c r="H911" s="635">
        <v>0.05</v>
      </c>
      <c r="I911" s="635">
        <v>0.05</v>
      </c>
      <c r="J911" s="635">
        <v>0.05</v>
      </c>
      <c r="K911" s="635">
        <v>0.05</v>
      </c>
      <c r="L911" s="635">
        <v>0.05</v>
      </c>
      <c r="M911" s="635">
        <v>0.05</v>
      </c>
      <c r="N911" s="640">
        <v>0.05</v>
      </c>
      <c r="O911" s="640">
        <v>0.05</v>
      </c>
    </row>
    <row r="912" s="597" customFormat="1" spans="1:15">
      <c r="A912" s="618"/>
      <c r="B912" s="675" t="s">
        <v>1183</v>
      </c>
      <c r="C912" s="597">
        <v>0.05</v>
      </c>
      <c r="D912" s="635">
        <v>0.05</v>
      </c>
      <c r="E912" s="635">
        <v>0.05</v>
      </c>
      <c r="F912" s="635">
        <v>0.05</v>
      </c>
      <c r="G912" s="635">
        <v>0.05</v>
      </c>
      <c r="H912" s="635">
        <v>0.05</v>
      </c>
      <c r="I912" s="635">
        <v>0.05</v>
      </c>
      <c r="J912" s="635">
        <v>0.05</v>
      </c>
      <c r="K912" s="635">
        <v>0.05</v>
      </c>
      <c r="L912" s="635">
        <v>0.05</v>
      </c>
      <c r="M912" s="635">
        <v>0.05</v>
      </c>
      <c r="N912" s="640">
        <v>0.05</v>
      </c>
      <c r="O912" s="640">
        <v>0.05</v>
      </c>
    </row>
    <row r="913" s="597" customFormat="1" spans="1:15">
      <c r="A913" s="618"/>
      <c r="B913" s="675" t="s">
        <v>1184</v>
      </c>
      <c r="C913" s="597">
        <v>0.06</v>
      </c>
      <c r="D913" s="635">
        <v>0.06</v>
      </c>
      <c r="E913" s="635">
        <v>0.06</v>
      </c>
      <c r="F913" s="635">
        <v>0.06</v>
      </c>
      <c r="G913" s="635">
        <v>0.06</v>
      </c>
      <c r="H913" s="635">
        <v>0.06</v>
      </c>
      <c r="I913" s="635">
        <v>0.06</v>
      </c>
      <c r="J913" s="635">
        <v>0.06</v>
      </c>
      <c r="K913" s="635">
        <v>0.06</v>
      </c>
      <c r="L913" s="635">
        <v>0.06</v>
      </c>
      <c r="M913" s="635">
        <v>0.06</v>
      </c>
      <c r="N913" s="640">
        <v>0.06</v>
      </c>
      <c r="O913" s="640">
        <v>0.06</v>
      </c>
    </row>
    <row r="914" s="597" customFormat="1" spans="1:15">
      <c r="A914" s="618"/>
      <c r="B914" s="675" t="s">
        <v>1185</v>
      </c>
      <c r="C914" s="597">
        <v>0.07</v>
      </c>
      <c r="D914" s="635">
        <v>0.07</v>
      </c>
      <c r="E914" s="635">
        <v>0.07</v>
      </c>
      <c r="F914" s="635">
        <v>0.07</v>
      </c>
      <c r="G914" s="635">
        <v>0.07</v>
      </c>
      <c r="H914" s="635">
        <v>0.07</v>
      </c>
      <c r="I914" s="635">
        <v>0.07</v>
      </c>
      <c r="J914" s="635">
        <v>0.07</v>
      </c>
      <c r="K914" s="635">
        <v>0.07</v>
      </c>
      <c r="L914" s="635">
        <v>0.07</v>
      </c>
      <c r="M914" s="635">
        <v>0.07</v>
      </c>
      <c r="N914" s="640">
        <v>0.07</v>
      </c>
      <c r="O914" s="640">
        <v>0.07</v>
      </c>
    </row>
    <row r="915" s="597" customFormat="1" spans="1:15">
      <c r="A915" s="618"/>
      <c r="B915" s="675" t="s">
        <v>1186</v>
      </c>
      <c r="C915" s="597">
        <v>0.08</v>
      </c>
      <c r="D915" s="635">
        <v>0.08</v>
      </c>
      <c r="E915" s="635">
        <v>0.08</v>
      </c>
      <c r="F915" s="635">
        <v>0.08</v>
      </c>
      <c r="G915" s="635">
        <v>0.08</v>
      </c>
      <c r="H915" s="635">
        <v>0.08</v>
      </c>
      <c r="I915" s="635">
        <v>0.08</v>
      </c>
      <c r="J915" s="635">
        <v>0.08</v>
      </c>
      <c r="K915" s="635">
        <v>0.08</v>
      </c>
      <c r="L915" s="635">
        <v>0.08</v>
      </c>
      <c r="M915" s="635">
        <v>0.08</v>
      </c>
      <c r="N915" s="640">
        <v>0.08</v>
      </c>
      <c r="O915" s="640">
        <v>0.08</v>
      </c>
    </row>
    <row r="916" s="597" customFormat="1" spans="1:15">
      <c r="A916" s="618"/>
      <c r="B916" s="675" t="s">
        <v>1187</v>
      </c>
      <c r="C916" s="597">
        <v>0.1</v>
      </c>
      <c r="D916" s="635">
        <v>0.1</v>
      </c>
      <c r="E916" s="635">
        <v>0.1</v>
      </c>
      <c r="F916" s="635">
        <v>0.1</v>
      </c>
      <c r="G916" s="635">
        <v>0.1</v>
      </c>
      <c r="H916" s="635">
        <v>0.1</v>
      </c>
      <c r="I916" s="635">
        <v>0.1</v>
      </c>
      <c r="J916" s="635">
        <v>0.1</v>
      </c>
      <c r="K916" s="635">
        <v>0.1</v>
      </c>
      <c r="L916" s="635">
        <v>0.1</v>
      </c>
      <c r="M916" s="635">
        <v>0.1</v>
      </c>
      <c r="N916" s="640">
        <v>0.1</v>
      </c>
      <c r="O916" s="640">
        <v>0.1</v>
      </c>
    </row>
    <row r="917" s="597" customFormat="1" spans="1:15">
      <c r="A917" s="618"/>
      <c r="B917" s="675" t="s">
        <v>1188</v>
      </c>
      <c r="C917" s="597">
        <v>0.1</v>
      </c>
      <c r="D917" s="635">
        <v>0.1</v>
      </c>
      <c r="E917" s="635">
        <v>0.1</v>
      </c>
      <c r="F917" s="635">
        <v>0.1</v>
      </c>
      <c r="G917" s="635">
        <v>0.1</v>
      </c>
      <c r="H917" s="635">
        <v>0.1</v>
      </c>
      <c r="I917" s="635">
        <v>0.1</v>
      </c>
      <c r="J917" s="635">
        <v>0.1</v>
      </c>
      <c r="K917" s="635">
        <v>0.1</v>
      </c>
      <c r="L917" s="635">
        <v>0.1</v>
      </c>
      <c r="M917" s="635">
        <v>0.1</v>
      </c>
      <c r="N917" s="640">
        <v>0.1</v>
      </c>
      <c r="O917" s="640">
        <v>0.1</v>
      </c>
    </row>
    <row r="918" s="597" customFormat="1" spans="1:15">
      <c r="A918" s="618"/>
      <c r="B918" s="675" t="s">
        <v>1189</v>
      </c>
      <c r="C918" s="597">
        <v>0.12</v>
      </c>
      <c r="D918" s="635">
        <v>0.12</v>
      </c>
      <c r="E918" s="635">
        <v>0.12</v>
      </c>
      <c r="F918" s="635">
        <v>0.12</v>
      </c>
      <c r="G918" s="635">
        <v>0.12</v>
      </c>
      <c r="H918" s="635">
        <v>0.12</v>
      </c>
      <c r="I918" s="635">
        <v>0.12</v>
      </c>
      <c r="J918" s="635">
        <v>0.12</v>
      </c>
      <c r="K918" s="635">
        <v>0.12</v>
      </c>
      <c r="L918" s="635">
        <v>0.12</v>
      </c>
      <c r="M918" s="635">
        <v>0.12</v>
      </c>
      <c r="N918" s="640">
        <v>0.12</v>
      </c>
      <c r="O918" s="640">
        <v>0.12</v>
      </c>
    </row>
    <row r="919" s="597" customFormat="1" spans="1:15">
      <c r="A919" s="618"/>
      <c r="B919" s="675" t="s">
        <v>1190</v>
      </c>
      <c r="C919" s="597">
        <v>0.12</v>
      </c>
      <c r="D919" s="635">
        <v>0.12</v>
      </c>
      <c r="E919" s="635">
        <v>0.12</v>
      </c>
      <c r="F919" s="635">
        <v>0.12</v>
      </c>
      <c r="G919" s="635">
        <v>0.12</v>
      </c>
      <c r="H919" s="635">
        <v>0.12</v>
      </c>
      <c r="I919" s="635">
        <v>0.12</v>
      </c>
      <c r="J919" s="635">
        <v>0.12</v>
      </c>
      <c r="K919" s="635">
        <v>0.12</v>
      </c>
      <c r="L919" s="635">
        <v>0.12</v>
      </c>
      <c r="M919" s="635">
        <v>0.12</v>
      </c>
      <c r="N919" s="640">
        <v>0.12</v>
      </c>
      <c r="O919" s="640">
        <v>0.12</v>
      </c>
    </row>
    <row r="920" s="597" customFormat="1" spans="1:15">
      <c r="A920" s="618"/>
      <c r="B920" s="675" t="s">
        <v>1191</v>
      </c>
      <c r="C920" s="597">
        <v>0.11</v>
      </c>
      <c r="D920" s="635">
        <v>0.11</v>
      </c>
      <c r="E920" s="635">
        <v>0.11</v>
      </c>
      <c r="F920" s="635">
        <v>0.11</v>
      </c>
      <c r="G920" s="635">
        <v>0.11</v>
      </c>
      <c r="H920" s="635">
        <v>0.11</v>
      </c>
      <c r="I920" s="635">
        <v>0.11</v>
      </c>
      <c r="J920" s="635">
        <v>0.11</v>
      </c>
      <c r="K920" s="635">
        <v>0.11</v>
      </c>
      <c r="L920" s="635">
        <v>0.11</v>
      </c>
      <c r="M920" s="635">
        <v>0.11</v>
      </c>
      <c r="N920" s="640">
        <v>0.11</v>
      </c>
      <c r="O920" s="640">
        <v>0.11</v>
      </c>
    </row>
    <row r="921" s="597" customFormat="1" spans="1:15">
      <c r="A921" s="618"/>
      <c r="B921" s="675" t="s">
        <v>1192</v>
      </c>
      <c r="C921" s="597">
        <v>0.07</v>
      </c>
      <c r="D921" s="635">
        <v>0.07</v>
      </c>
      <c r="E921" s="635">
        <v>0.07</v>
      </c>
      <c r="F921" s="635">
        <v>0.07</v>
      </c>
      <c r="G921" s="635">
        <v>0.07</v>
      </c>
      <c r="H921" s="635">
        <v>0.07</v>
      </c>
      <c r="I921" s="635">
        <v>0.07</v>
      </c>
      <c r="J921" s="635">
        <v>0.07</v>
      </c>
      <c r="K921" s="635">
        <v>0.07</v>
      </c>
      <c r="L921" s="635">
        <v>0.07</v>
      </c>
      <c r="M921" s="635">
        <v>0.07</v>
      </c>
      <c r="N921" s="640">
        <v>0.07</v>
      </c>
      <c r="O921" s="640">
        <v>0.07</v>
      </c>
    </row>
    <row r="922" s="597" customFormat="1" spans="1:15">
      <c r="A922" s="618"/>
      <c r="B922" s="675" t="s">
        <v>1193</v>
      </c>
      <c r="C922" s="597">
        <v>0.07</v>
      </c>
      <c r="D922" s="635">
        <v>0.07</v>
      </c>
      <c r="E922" s="635">
        <v>0.07</v>
      </c>
      <c r="F922" s="635">
        <v>0.07</v>
      </c>
      <c r="G922" s="635">
        <v>0.07</v>
      </c>
      <c r="H922" s="635">
        <v>0.07</v>
      </c>
      <c r="I922" s="635">
        <v>0.07</v>
      </c>
      <c r="J922" s="635">
        <v>0.07</v>
      </c>
      <c r="K922" s="635">
        <v>0.07</v>
      </c>
      <c r="L922" s="635">
        <v>0.07</v>
      </c>
      <c r="M922" s="635">
        <v>0.07</v>
      </c>
      <c r="N922" s="640">
        <v>0.07</v>
      </c>
      <c r="O922" s="640">
        <v>0.07</v>
      </c>
    </row>
    <row r="923" s="597" customFormat="1" spans="1:15">
      <c r="A923" s="618"/>
      <c r="B923" s="675" t="s">
        <v>1194</v>
      </c>
      <c r="C923" s="597">
        <v>0.05</v>
      </c>
      <c r="D923" s="635">
        <v>0.05</v>
      </c>
      <c r="E923" s="635">
        <v>0.05</v>
      </c>
      <c r="F923" s="635">
        <v>0.05</v>
      </c>
      <c r="G923" s="635">
        <v>0.05</v>
      </c>
      <c r="H923" s="635">
        <v>0.05</v>
      </c>
      <c r="I923" s="635">
        <v>0.05</v>
      </c>
      <c r="J923" s="635">
        <v>0.05</v>
      </c>
      <c r="K923" s="635">
        <v>0.05</v>
      </c>
      <c r="L923" s="635">
        <v>0.05</v>
      </c>
      <c r="M923" s="635">
        <v>0.05</v>
      </c>
      <c r="N923" s="640">
        <v>0.05</v>
      </c>
      <c r="O923" s="640">
        <v>0.05</v>
      </c>
    </row>
    <row r="924" s="597" customFormat="1" spans="1:15">
      <c r="A924" s="618"/>
      <c r="B924" s="675" t="s">
        <v>1195</v>
      </c>
      <c r="C924" s="597">
        <v>0.05</v>
      </c>
      <c r="D924" s="635">
        <v>0.05</v>
      </c>
      <c r="E924" s="635">
        <v>0.05</v>
      </c>
      <c r="F924" s="635">
        <v>0.05</v>
      </c>
      <c r="G924" s="635">
        <v>0.05</v>
      </c>
      <c r="H924" s="635">
        <v>0.05</v>
      </c>
      <c r="I924" s="635">
        <v>0.05</v>
      </c>
      <c r="J924" s="635">
        <v>0.05</v>
      </c>
      <c r="K924" s="635">
        <v>0.05</v>
      </c>
      <c r="L924" s="635">
        <v>0.05</v>
      </c>
      <c r="M924" s="635">
        <v>0.05</v>
      </c>
      <c r="N924" s="640">
        <v>0.05</v>
      </c>
      <c r="O924" s="640">
        <v>0.05</v>
      </c>
    </row>
    <row r="925" s="597" customFormat="1" spans="1:15">
      <c r="A925" s="618"/>
      <c r="B925" s="675" t="s">
        <v>1196</v>
      </c>
      <c r="C925" s="597">
        <v>0.06</v>
      </c>
      <c r="D925" s="635">
        <v>0.06</v>
      </c>
      <c r="E925" s="635">
        <v>0.06</v>
      </c>
      <c r="F925" s="635">
        <v>0.06</v>
      </c>
      <c r="G925" s="635">
        <v>0.06</v>
      </c>
      <c r="H925" s="635">
        <v>0.06</v>
      </c>
      <c r="I925" s="635">
        <v>0.06</v>
      </c>
      <c r="J925" s="635">
        <v>0.06</v>
      </c>
      <c r="K925" s="635">
        <v>0.06</v>
      </c>
      <c r="L925" s="635">
        <v>0.06</v>
      </c>
      <c r="M925" s="635">
        <v>0.06</v>
      </c>
      <c r="N925" s="640">
        <v>0.06</v>
      </c>
      <c r="O925" s="640">
        <v>0.06</v>
      </c>
    </row>
    <row r="926" s="597" customFormat="1" spans="1:15">
      <c r="A926" s="618"/>
      <c r="B926" s="675" t="s">
        <v>1197</v>
      </c>
      <c r="C926" s="597">
        <v>0.07</v>
      </c>
      <c r="D926" s="635">
        <v>0.07</v>
      </c>
      <c r="E926" s="635">
        <v>0.07</v>
      </c>
      <c r="F926" s="635">
        <v>0.07</v>
      </c>
      <c r="G926" s="635">
        <v>0.07</v>
      </c>
      <c r="H926" s="635">
        <v>0.07</v>
      </c>
      <c r="I926" s="635">
        <v>0.07</v>
      </c>
      <c r="J926" s="635">
        <v>0.07</v>
      </c>
      <c r="K926" s="635">
        <v>0.07</v>
      </c>
      <c r="L926" s="635">
        <v>0.07</v>
      </c>
      <c r="M926" s="635">
        <v>0.07</v>
      </c>
      <c r="N926" s="640">
        <v>0.07</v>
      </c>
      <c r="O926" s="640">
        <v>0.07</v>
      </c>
    </row>
    <row r="927" s="597" customFormat="1" spans="1:15">
      <c r="A927" s="618"/>
      <c r="B927" s="675" t="s">
        <v>1198</v>
      </c>
      <c r="C927" s="597">
        <v>0.08</v>
      </c>
      <c r="D927" s="635">
        <v>0.08</v>
      </c>
      <c r="E927" s="635">
        <v>0.08</v>
      </c>
      <c r="F927" s="635">
        <v>0.08</v>
      </c>
      <c r="G927" s="635">
        <v>0.08</v>
      </c>
      <c r="H927" s="635">
        <v>0.08</v>
      </c>
      <c r="I927" s="635">
        <v>0.08</v>
      </c>
      <c r="J927" s="635">
        <v>0.08</v>
      </c>
      <c r="K927" s="635">
        <v>0.08</v>
      </c>
      <c r="L927" s="635">
        <v>0.08</v>
      </c>
      <c r="M927" s="635">
        <v>0.08</v>
      </c>
      <c r="N927" s="640">
        <v>0.08</v>
      </c>
      <c r="O927" s="640">
        <v>0.08</v>
      </c>
    </row>
    <row r="928" s="597" customFormat="1" spans="1:15">
      <c r="A928" s="618"/>
      <c r="B928" s="675" t="s">
        <v>1199</v>
      </c>
      <c r="C928" s="597">
        <v>0.1</v>
      </c>
      <c r="D928" s="635">
        <v>0.1</v>
      </c>
      <c r="E928" s="635">
        <v>0.1</v>
      </c>
      <c r="F928" s="635">
        <v>0.1</v>
      </c>
      <c r="G928" s="635">
        <v>0.1</v>
      </c>
      <c r="H928" s="635">
        <v>0.1</v>
      </c>
      <c r="I928" s="635">
        <v>0.1</v>
      </c>
      <c r="J928" s="635">
        <v>0.1</v>
      </c>
      <c r="K928" s="635">
        <v>0.1</v>
      </c>
      <c r="L928" s="635">
        <v>0.1</v>
      </c>
      <c r="M928" s="635">
        <v>0.1</v>
      </c>
      <c r="N928" s="640">
        <v>0.1</v>
      </c>
      <c r="O928" s="640">
        <v>0.1</v>
      </c>
    </row>
    <row r="929" s="597" customFormat="1" spans="1:15">
      <c r="A929" s="618"/>
      <c r="B929" s="675" t="s">
        <v>1200</v>
      </c>
      <c r="C929" s="597">
        <v>0.1</v>
      </c>
      <c r="D929" s="635">
        <v>0.1</v>
      </c>
      <c r="E929" s="635">
        <v>0.1</v>
      </c>
      <c r="F929" s="635">
        <v>0.1</v>
      </c>
      <c r="G929" s="635">
        <v>0.1</v>
      </c>
      <c r="H929" s="635">
        <v>0.1</v>
      </c>
      <c r="I929" s="635">
        <v>0.1</v>
      </c>
      <c r="J929" s="635">
        <v>0.1</v>
      </c>
      <c r="K929" s="635">
        <v>0.1</v>
      </c>
      <c r="L929" s="635">
        <v>0.1</v>
      </c>
      <c r="M929" s="635">
        <v>0.1</v>
      </c>
      <c r="N929" s="640">
        <v>0.1</v>
      </c>
      <c r="O929" s="640">
        <v>0.1</v>
      </c>
    </row>
    <row r="930" s="597" customFormat="1" spans="1:15">
      <c r="A930" s="618"/>
      <c r="B930" s="675" t="s">
        <v>1201</v>
      </c>
      <c r="C930" s="597">
        <v>0.12</v>
      </c>
      <c r="D930" s="635">
        <v>0.12</v>
      </c>
      <c r="E930" s="635">
        <v>0.12</v>
      </c>
      <c r="F930" s="635">
        <v>0.12</v>
      </c>
      <c r="G930" s="635">
        <v>0.12</v>
      </c>
      <c r="H930" s="635">
        <v>0.12</v>
      </c>
      <c r="I930" s="635">
        <v>0.12</v>
      </c>
      <c r="J930" s="635">
        <v>0.12</v>
      </c>
      <c r="K930" s="635">
        <v>0.12</v>
      </c>
      <c r="L930" s="635">
        <v>0.12</v>
      </c>
      <c r="M930" s="635">
        <v>0.12</v>
      </c>
      <c r="N930" s="640">
        <v>0.12</v>
      </c>
      <c r="O930" s="640">
        <v>0.12</v>
      </c>
    </row>
    <row r="931" s="597" customFormat="1" spans="1:15">
      <c r="A931" s="618"/>
      <c r="B931" s="675" t="s">
        <v>1202</v>
      </c>
      <c r="C931" s="597">
        <v>0.12</v>
      </c>
      <c r="D931" s="635">
        <v>0.12</v>
      </c>
      <c r="E931" s="635">
        <v>0.12</v>
      </c>
      <c r="F931" s="635">
        <v>0.12</v>
      </c>
      <c r="G931" s="635">
        <v>0.12</v>
      </c>
      <c r="H931" s="635">
        <v>0.12</v>
      </c>
      <c r="I931" s="635">
        <v>0.12</v>
      </c>
      <c r="J931" s="635">
        <v>0.12</v>
      </c>
      <c r="K931" s="635">
        <v>0.12</v>
      </c>
      <c r="L931" s="635">
        <v>0.12</v>
      </c>
      <c r="M931" s="635">
        <v>0.12</v>
      </c>
      <c r="N931" s="640">
        <v>0.12</v>
      </c>
      <c r="O931" s="640">
        <v>0.12</v>
      </c>
    </row>
    <row r="932" s="597" customFormat="1" spans="1:15">
      <c r="A932" s="618"/>
      <c r="B932" s="675" t="s">
        <v>1203</v>
      </c>
      <c r="C932" s="597">
        <v>0.11</v>
      </c>
      <c r="D932" s="635">
        <v>0.11</v>
      </c>
      <c r="E932" s="635">
        <v>0.11</v>
      </c>
      <c r="F932" s="635">
        <v>0.11</v>
      </c>
      <c r="G932" s="635">
        <v>0.11</v>
      </c>
      <c r="H932" s="635">
        <v>0.11</v>
      </c>
      <c r="I932" s="635">
        <v>0.11</v>
      </c>
      <c r="J932" s="635">
        <v>0.11</v>
      </c>
      <c r="K932" s="635">
        <v>0.11</v>
      </c>
      <c r="L932" s="635">
        <v>0.11</v>
      </c>
      <c r="M932" s="635">
        <v>0.11</v>
      </c>
      <c r="N932" s="640">
        <v>0.11</v>
      </c>
      <c r="O932" s="640">
        <v>0.11</v>
      </c>
    </row>
    <row r="933" s="597" customFormat="1" spans="1:15">
      <c r="A933" s="618"/>
      <c r="B933" s="675" t="s">
        <v>1204</v>
      </c>
      <c r="C933" s="597">
        <v>0.07</v>
      </c>
      <c r="D933" s="635">
        <v>0.07</v>
      </c>
      <c r="E933" s="635">
        <v>0.07</v>
      </c>
      <c r="F933" s="635">
        <v>0.07</v>
      </c>
      <c r="G933" s="635">
        <v>0.07</v>
      </c>
      <c r="H933" s="635">
        <v>0.07</v>
      </c>
      <c r="I933" s="635">
        <v>0.07</v>
      </c>
      <c r="J933" s="635">
        <v>0.07</v>
      </c>
      <c r="K933" s="635">
        <v>0.07</v>
      </c>
      <c r="L933" s="635">
        <v>0.07</v>
      </c>
      <c r="M933" s="635">
        <v>0.07</v>
      </c>
      <c r="N933" s="640">
        <v>0.07</v>
      </c>
      <c r="O933" s="640">
        <v>0.07</v>
      </c>
    </row>
    <row r="934" s="597" customFormat="1" spans="1:15">
      <c r="A934" s="618"/>
      <c r="B934" s="675" t="s">
        <v>1205</v>
      </c>
      <c r="C934" s="597">
        <v>0.07</v>
      </c>
      <c r="D934" s="635">
        <v>0.07</v>
      </c>
      <c r="E934" s="635">
        <v>0.07</v>
      </c>
      <c r="F934" s="635">
        <v>0.07</v>
      </c>
      <c r="G934" s="635">
        <v>0.07</v>
      </c>
      <c r="H934" s="635">
        <v>0.07</v>
      </c>
      <c r="I934" s="635">
        <v>0.07</v>
      </c>
      <c r="J934" s="635">
        <v>0.07</v>
      </c>
      <c r="K934" s="635">
        <v>0.07</v>
      </c>
      <c r="L934" s="635">
        <v>0.07</v>
      </c>
      <c r="M934" s="635">
        <v>0.07</v>
      </c>
      <c r="N934" s="640">
        <v>0.07</v>
      </c>
      <c r="O934" s="640">
        <v>0.07</v>
      </c>
    </row>
    <row r="935" s="597" customFormat="1" spans="1:15">
      <c r="A935" s="618"/>
      <c r="B935" s="675" t="s">
        <v>1206</v>
      </c>
      <c r="C935" s="597">
        <v>0.05</v>
      </c>
      <c r="D935" s="663">
        <v>0.03</v>
      </c>
      <c r="E935" s="663">
        <v>0.03</v>
      </c>
      <c r="F935" s="663">
        <v>0.03</v>
      </c>
      <c r="G935" s="663">
        <v>0.03</v>
      </c>
      <c r="H935" s="663">
        <v>0.03</v>
      </c>
      <c r="I935" s="663">
        <v>0.03</v>
      </c>
      <c r="J935" s="663">
        <v>0.03</v>
      </c>
      <c r="K935" s="663">
        <v>0.03</v>
      </c>
      <c r="L935" s="663">
        <v>0.03</v>
      </c>
      <c r="M935" s="663">
        <v>0.03</v>
      </c>
      <c r="N935" s="666">
        <v>0.03</v>
      </c>
      <c r="O935" s="666">
        <v>0.03</v>
      </c>
    </row>
    <row r="936" s="597" customFormat="1" spans="1:15">
      <c r="A936" s="618"/>
      <c r="B936" s="675" t="s">
        <v>1207</v>
      </c>
      <c r="C936" s="597">
        <v>0.05</v>
      </c>
      <c r="D936" s="663">
        <v>0.03</v>
      </c>
      <c r="E936" s="663">
        <v>0.03</v>
      </c>
      <c r="F936" s="663">
        <v>0.03</v>
      </c>
      <c r="G936" s="663">
        <v>0.03</v>
      </c>
      <c r="H936" s="663">
        <v>0.03</v>
      </c>
      <c r="I936" s="663">
        <v>0.03</v>
      </c>
      <c r="J936" s="663">
        <v>0.03</v>
      </c>
      <c r="K936" s="663">
        <v>0.03</v>
      </c>
      <c r="L936" s="663">
        <v>0.03</v>
      </c>
      <c r="M936" s="663">
        <v>0.03</v>
      </c>
      <c r="N936" s="666">
        <v>0.03</v>
      </c>
      <c r="O936" s="666">
        <v>0.03</v>
      </c>
    </row>
    <row r="937" s="597" customFormat="1" spans="1:15">
      <c r="A937" s="618"/>
      <c r="B937" s="675" t="s">
        <v>1208</v>
      </c>
      <c r="C937" s="597">
        <v>0.06</v>
      </c>
      <c r="D937" s="663">
        <v>0.03</v>
      </c>
      <c r="E937" s="663">
        <v>0.03</v>
      </c>
      <c r="F937" s="663">
        <v>0.03</v>
      </c>
      <c r="G937" s="663">
        <v>0.03</v>
      </c>
      <c r="H937" s="663">
        <v>0.03</v>
      </c>
      <c r="I937" s="663">
        <v>0.03</v>
      </c>
      <c r="J937" s="663">
        <v>0.03</v>
      </c>
      <c r="K937" s="663">
        <v>0.03</v>
      </c>
      <c r="L937" s="663">
        <v>0.03</v>
      </c>
      <c r="M937" s="663">
        <v>0.03</v>
      </c>
      <c r="N937" s="666">
        <v>0.03</v>
      </c>
      <c r="O937" s="666">
        <v>0.03</v>
      </c>
    </row>
    <row r="938" s="597" customFormat="1" spans="1:15">
      <c r="A938" s="618"/>
      <c r="B938" s="675" t="s">
        <v>1209</v>
      </c>
      <c r="C938" s="597">
        <v>0.07</v>
      </c>
      <c r="D938" s="663">
        <v>0.11</v>
      </c>
      <c r="E938" s="663">
        <v>0.11</v>
      </c>
      <c r="F938" s="663">
        <v>0.11</v>
      </c>
      <c r="G938" s="663">
        <v>0.11</v>
      </c>
      <c r="H938" s="663">
        <v>0.11</v>
      </c>
      <c r="I938" s="663">
        <v>0.11</v>
      </c>
      <c r="J938" s="663">
        <v>0.11</v>
      </c>
      <c r="K938" s="663">
        <v>0.11</v>
      </c>
      <c r="L938" s="663">
        <v>0.11</v>
      </c>
      <c r="M938" s="663">
        <v>0.11</v>
      </c>
      <c r="N938" s="666">
        <v>0.11</v>
      </c>
      <c r="O938" s="666">
        <v>0.11</v>
      </c>
    </row>
    <row r="939" s="597" customFormat="1" spans="1:15">
      <c r="A939" s="618"/>
      <c r="B939" s="675" t="s">
        <v>1210</v>
      </c>
      <c r="C939" s="597">
        <v>0.08</v>
      </c>
      <c r="D939" s="663">
        <v>0.11</v>
      </c>
      <c r="E939" s="663">
        <v>0.11</v>
      </c>
      <c r="F939" s="663">
        <v>0.11</v>
      </c>
      <c r="G939" s="663">
        <v>0.11</v>
      </c>
      <c r="H939" s="663">
        <v>0.11</v>
      </c>
      <c r="I939" s="663">
        <v>0.11</v>
      </c>
      <c r="J939" s="663">
        <v>0.11</v>
      </c>
      <c r="K939" s="663">
        <v>0.11</v>
      </c>
      <c r="L939" s="663">
        <v>0.11</v>
      </c>
      <c r="M939" s="663">
        <v>0.11</v>
      </c>
      <c r="N939" s="666">
        <v>0.11</v>
      </c>
      <c r="O939" s="666">
        <v>0.11</v>
      </c>
    </row>
    <row r="940" s="597" customFormat="1" spans="1:15">
      <c r="A940" s="618"/>
      <c r="B940" s="675" t="s">
        <v>1211</v>
      </c>
      <c r="C940" s="597">
        <v>0.1</v>
      </c>
      <c r="D940" s="663">
        <v>0.14</v>
      </c>
      <c r="E940" s="663">
        <v>0.14</v>
      </c>
      <c r="F940" s="663">
        <v>0.14</v>
      </c>
      <c r="G940" s="663">
        <v>0.14</v>
      </c>
      <c r="H940" s="663">
        <v>0.14</v>
      </c>
      <c r="I940" s="663">
        <v>0.14</v>
      </c>
      <c r="J940" s="663">
        <v>0.14</v>
      </c>
      <c r="K940" s="663">
        <v>0.14</v>
      </c>
      <c r="L940" s="663">
        <v>0.14</v>
      </c>
      <c r="M940" s="663">
        <v>0.14</v>
      </c>
      <c r="N940" s="666">
        <v>0.14</v>
      </c>
      <c r="O940" s="666">
        <v>0.14</v>
      </c>
    </row>
    <row r="941" s="597" customFormat="1" spans="1:15">
      <c r="A941" s="618"/>
      <c r="B941" s="675" t="s">
        <v>1212</v>
      </c>
      <c r="C941" s="597">
        <v>0.1</v>
      </c>
      <c r="D941" s="663">
        <v>0.14</v>
      </c>
      <c r="E941" s="663">
        <v>0.14</v>
      </c>
      <c r="F941" s="663">
        <v>0.14</v>
      </c>
      <c r="G941" s="663">
        <v>0.14</v>
      </c>
      <c r="H941" s="663">
        <v>0.14</v>
      </c>
      <c r="I941" s="663">
        <v>0.14</v>
      </c>
      <c r="J941" s="663">
        <v>0.14</v>
      </c>
      <c r="K941" s="663">
        <v>0.14</v>
      </c>
      <c r="L941" s="663">
        <v>0.14</v>
      </c>
      <c r="M941" s="663">
        <v>0.14</v>
      </c>
      <c r="N941" s="666">
        <v>0.14</v>
      </c>
      <c r="O941" s="666">
        <v>0.14</v>
      </c>
    </row>
    <row r="942" s="597" customFormat="1" spans="1:15">
      <c r="A942" s="618"/>
      <c r="B942" s="675" t="s">
        <v>1213</v>
      </c>
      <c r="C942" s="597">
        <v>0.12</v>
      </c>
      <c r="D942" s="635">
        <v>0.12</v>
      </c>
      <c r="E942" s="635">
        <v>0.12</v>
      </c>
      <c r="F942" s="635">
        <v>0.12</v>
      </c>
      <c r="G942" s="635">
        <v>0.12</v>
      </c>
      <c r="H942" s="635">
        <v>0.12</v>
      </c>
      <c r="I942" s="635">
        <v>0.12</v>
      </c>
      <c r="J942" s="635">
        <v>0.12</v>
      </c>
      <c r="K942" s="635">
        <v>0.12</v>
      </c>
      <c r="L942" s="635">
        <v>0.12</v>
      </c>
      <c r="M942" s="635">
        <v>0.12</v>
      </c>
      <c r="N942" s="640">
        <v>0.12</v>
      </c>
      <c r="O942" s="640">
        <v>0.12</v>
      </c>
    </row>
    <row r="943" s="597" customFormat="1" spans="1:15">
      <c r="A943" s="618"/>
      <c r="B943" s="675" t="s">
        <v>1214</v>
      </c>
      <c r="C943" s="597">
        <v>0.12</v>
      </c>
      <c r="D943" s="635">
        <v>0.12</v>
      </c>
      <c r="E943" s="635">
        <v>0.12</v>
      </c>
      <c r="F943" s="635">
        <v>0.12</v>
      </c>
      <c r="G943" s="635">
        <v>0.12</v>
      </c>
      <c r="H943" s="635">
        <v>0.12</v>
      </c>
      <c r="I943" s="635">
        <v>0.12</v>
      </c>
      <c r="J943" s="635">
        <v>0.12</v>
      </c>
      <c r="K943" s="635">
        <v>0.12</v>
      </c>
      <c r="L943" s="635">
        <v>0.12</v>
      </c>
      <c r="M943" s="635">
        <v>0.12</v>
      </c>
      <c r="N943" s="640">
        <v>0.12</v>
      </c>
      <c r="O943" s="640">
        <v>0.12</v>
      </c>
    </row>
    <row r="944" s="597" customFormat="1" spans="1:15">
      <c r="A944" s="618"/>
      <c r="B944" s="675" t="s">
        <v>1215</v>
      </c>
      <c r="C944" s="597">
        <v>0.11</v>
      </c>
      <c r="D944" s="635">
        <v>0.11</v>
      </c>
      <c r="E944" s="635">
        <v>0.11</v>
      </c>
      <c r="F944" s="635">
        <v>0.11</v>
      </c>
      <c r="G944" s="635">
        <v>0.11</v>
      </c>
      <c r="H944" s="635">
        <v>0.11</v>
      </c>
      <c r="I944" s="635">
        <v>0.11</v>
      </c>
      <c r="J944" s="635">
        <v>0.11</v>
      </c>
      <c r="K944" s="635">
        <v>0.11</v>
      </c>
      <c r="L944" s="635">
        <v>0.11</v>
      </c>
      <c r="M944" s="635">
        <v>0.11</v>
      </c>
      <c r="N944" s="640">
        <v>0.11</v>
      </c>
      <c r="O944" s="640">
        <v>0.11</v>
      </c>
    </row>
    <row r="945" s="597" customFormat="1" spans="1:15">
      <c r="A945" s="618"/>
      <c r="B945" s="675" t="s">
        <v>1216</v>
      </c>
      <c r="C945" s="597">
        <v>0.07</v>
      </c>
      <c r="D945" s="663">
        <v>0.03</v>
      </c>
      <c r="E945" s="663">
        <v>0.03</v>
      </c>
      <c r="F945" s="663">
        <v>0.03</v>
      </c>
      <c r="G945" s="663">
        <v>0.03</v>
      </c>
      <c r="H945" s="663">
        <v>0.03</v>
      </c>
      <c r="I945" s="663">
        <v>0.03</v>
      </c>
      <c r="J945" s="663">
        <v>0.03</v>
      </c>
      <c r="K945" s="663">
        <v>0.03</v>
      </c>
      <c r="L945" s="663">
        <v>0.03</v>
      </c>
      <c r="M945" s="663">
        <v>0.03</v>
      </c>
      <c r="N945" s="666">
        <v>0.03</v>
      </c>
      <c r="O945" s="666">
        <v>0.03</v>
      </c>
    </row>
    <row r="946" s="597" customFormat="1" spans="1:15">
      <c r="A946" s="618"/>
      <c r="B946" s="675" t="s">
        <v>1217</v>
      </c>
      <c r="C946" s="597">
        <v>0.07</v>
      </c>
      <c r="D946" s="663">
        <v>0.03</v>
      </c>
      <c r="E946" s="663">
        <v>0.03</v>
      </c>
      <c r="F946" s="663">
        <v>0.03</v>
      </c>
      <c r="G946" s="663">
        <v>0.03</v>
      </c>
      <c r="H946" s="663">
        <v>0.03</v>
      </c>
      <c r="I946" s="663">
        <v>0.03</v>
      </c>
      <c r="J946" s="663">
        <v>0.03</v>
      </c>
      <c r="K946" s="663">
        <v>0.03</v>
      </c>
      <c r="L946" s="663">
        <v>0.03</v>
      </c>
      <c r="M946" s="663">
        <v>0.03</v>
      </c>
      <c r="N946" s="666">
        <v>0.03</v>
      </c>
      <c r="O946" s="666">
        <v>0.03</v>
      </c>
    </row>
    <row r="947" s="597" customFormat="1" spans="1:15">
      <c r="A947" s="618"/>
      <c r="B947" s="675" t="s">
        <v>1218</v>
      </c>
      <c r="C947" s="597">
        <v>0.05</v>
      </c>
      <c r="D947" s="663">
        <v>0.03</v>
      </c>
      <c r="E947" s="663">
        <v>0.03</v>
      </c>
      <c r="F947" s="663">
        <v>0.03</v>
      </c>
      <c r="G947" s="663">
        <v>0.03</v>
      </c>
      <c r="H947" s="663">
        <v>0.03</v>
      </c>
      <c r="I947" s="663">
        <v>0.03</v>
      </c>
      <c r="J947" s="663">
        <v>0.03</v>
      </c>
      <c r="K947" s="663">
        <v>0.03</v>
      </c>
      <c r="L947" s="663">
        <v>0.03</v>
      </c>
      <c r="M947" s="663">
        <v>0.03</v>
      </c>
      <c r="N947" s="666">
        <v>0.03</v>
      </c>
      <c r="O947" s="666">
        <v>0.03</v>
      </c>
    </row>
    <row r="948" s="597" customFormat="1" spans="1:15">
      <c r="A948" s="618"/>
      <c r="B948" s="675" t="s">
        <v>1219</v>
      </c>
      <c r="C948" s="597">
        <v>0.05</v>
      </c>
      <c r="D948" s="663">
        <v>0.03</v>
      </c>
      <c r="E948" s="663">
        <v>0.03</v>
      </c>
      <c r="F948" s="663">
        <v>0.03</v>
      </c>
      <c r="G948" s="663">
        <v>0.03</v>
      </c>
      <c r="H948" s="663">
        <v>0.03</v>
      </c>
      <c r="I948" s="663">
        <v>0.03</v>
      </c>
      <c r="J948" s="663">
        <v>0.03</v>
      </c>
      <c r="K948" s="663">
        <v>0.03</v>
      </c>
      <c r="L948" s="663">
        <v>0.03</v>
      </c>
      <c r="M948" s="663">
        <v>0.03</v>
      </c>
      <c r="N948" s="666">
        <v>0.03</v>
      </c>
      <c r="O948" s="666">
        <v>0.03</v>
      </c>
    </row>
    <row r="949" s="597" customFormat="1" spans="1:15">
      <c r="A949" s="618"/>
      <c r="B949" s="675" t="s">
        <v>1220</v>
      </c>
      <c r="C949" s="597">
        <v>0.06</v>
      </c>
      <c r="D949" s="663">
        <v>0.03</v>
      </c>
      <c r="E949" s="663">
        <v>0.03</v>
      </c>
      <c r="F949" s="663">
        <v>0.03</v>
      </c>
      <c r="G949" s="663">
        <v>0.03</v>
      </c>
      <c r="H949" s="663">
        <v>0.03</v>
      </c>
      <c r="I949" s="663">
        <v>0.03</v>
      </c>
      <c r="J949" s="663">
        <v>0.03</v>
      </c>
      <c r="K949" s="663">
        <v>0.03</v>
      </c>
      <c r="L949" s="663">
        <v>0.03</v>
      </c>
      <c r="M949" s="663">
        <v>0.03</v>
      </c>
      <c r="N949" s="666">
        <v>0.03</v>
      </c>
      <c r="O949" s="666">
        <v>0.03</v>
      </c>
    </row>
    <row r="950" s="597" customFormat="1" spans="1:15">
      <c r="A950" s="618"/>
      <c r="B950" s="675" t="s">
        <v>1221</v>
      </c>
      <c r="C950" s="597">
        <v>0.07</v>
      </c>
      <c r="D950" s="663">
        <v>0.11</v>
      </c>
      <c r="E950" s="663">
        <v>0.11</v>
      </c>
      <c r="F950" s="663">
        <v>0.11</v>
      </c>
      <c r="G950" s="663">
        <v>0.11</v>
      </c>
      <c r="H950" s="663">
        <v>0.11</v>
      </c>
      <c r="I950" s="663">
        <v>0.11</v>
      </c>
      <c r="J950" s="663">
        <v>0.11</v>
      </c>
      <c r="K950" s="663">
        <v>0.11</v>
      </c>
      <c r="L950" s="663">
        <v>0.11</v>
      </c>
      <c r="M950" s="663">
        <v>0.11</v>
      </c>
      <c r="N950" s="666">
        <v>0.11</v>
      </c>
      <c r="O950" s="666">
        <v>0.11</v>
      </c>
    </row>
    <row r="951" s="597" customFormat="1" spans="1:15">
      <c r="A951" s="618"/>
      <c r="B951" s="675" t="s">
        <v>1222</v>
      </c>
      <c r="C951" s="597">
        <v>0.08</v>
      </c>
      <c r="D951" s="663">
        <v>0.11</v>
      </c>
      <c r="E951" s="663">
        <v>0.11</v>
      </c>
      <c r="F951" s="663">
        <v>0.11</v>
      </c>
      <c r="G951" s="663">
        <v>0.11</v>
      </c>
      <c r="H951" s="663">
        <v>0.11</v>
      </c>
      <c r="I951" s="663">
        <v>0.11</v>
      </c>
      <c r="J951" s="663">
        <v>0.11</v>
      </c>
      <c r="K951" s="663">
        <v>0.11</v>
      </c>
      <c r="L951" s="663">
        <v>0.11</v>
      </c>
      <c r="M951" s="663">
        <v>0.11</v>
      </c>
      <c r="N951" s="666">
        <v>0.11</v>
      </c>
      <c r="O951" s="666">
        <v>0.11</v>
      </c>
    </row>
    <row r="952" s="597" customFormat="1" spans="1:15">
      <c r="A952" s="618"/>
      <c r="B952" s="675" t="s">
        <v>1223</v>
      </c>
      <c r="C952" s="597">
        <v>0.1</v>
      </c>
      <c r="D952" s="663">
        <v>0.14</v>
      </c>
      <c r="E952" s="663">
        <v>0.14</v>
      </c>
      <c r="F952" s="663">
        <v>0.14</v>
      </c>
      <c r="G952" s="663">
        <v>0.14</v>
      </c>
      <c r="H952" s="663">
        <v>0.14</v>
      </c>
      <c r="I952" s="663">
        <v>0.14</v>
      </c>
      <c r="J952" s="663">
        <v>0.14</v>
      </c>
      <c r="K952" s="663">
        <v>0.14</v>
      </c>
      <c r="L952" s="663">
        <v>0.14</v>
      </c>
      <c r="M952" s="663">
        <v>0.14</v>
      </c>
      <c r="N952" s="666">
        <v>0.14</v>
      </c>
      <c r="O952" s="666">
        <v>0.14</v>
      </c>
    </row>
    <row r="953" s="597" customFormat="1" spans="1:15">
      <c r="A953" s="618"/>
      <c r="B953" s="675" t="s">
        <v>1224</v>
      </c>
      <c r="C953" s="597">
        <v>0.1</v>
      </c>
      <c r="D953" s="663">
        <v>0.14</v>
      </c>
      <c r="E953" s="663">
        <v>0.14</v>
      </c>
      <c r="F953" s="663">
        <v>0.14</v>
      </c>
      <c r="G953" s="663">
        <v>0.14</v>
      </c>
      <c r="H953" s="663">
        <v>0.14</v>
      </c>
      <c r="I953" s="663">
        <v>0.14</v>
      </c>
      <c r="J953" s="663">
        <v>0.14</v>
      </c>
      <c r="K953" s="663">
        <v>0.14</v>
      </c>
      <c r="L953" s="663">
        <v>0.14</v>
      </c>
      <c r="M953" s="663">
        <v>0.14</v>
      </c>
      <c r="N953" s="666">
        <v>0.14</v>
      </c>
      <c r="O953" s="666">
        <v>0.14</v>
      </c>
    </row>
    <row r="954" s="597" customFormat="1" spans="1:15">
      <c r="A954" s="618"/>
      <c r="B954" s="675" t="s">
        <v>1225</v>
      </c>
      <c r="C954" s="597">
        <v>0.12</v>
      </c>
      <c r="D954" s="635">
        <v>0.12</v>
      </c>
      <c r="E954" s="635">
        <v>0.12</v>
      </c>
      <c r="F954" s="635">
        <v>0.12</v>
      </c>
      <c r="G954" s="635">
        <v>0.12</v>
      </c>
      <c r="H954" s="635">
        <v>0.12</v>
      </c>
      <c r="I954" s="635">
        <v>0.12</v>
      </c>
      <c r="J954" s="635">
        <v>0.12</v>
      </c>
      <c r="K954" s="635">
        <v>0.12</v>
      </c>
      <c r="L954" s="635">
        <v>0.12</v>
      </c>
      <c r="M954" s="635">
        <v>0.12</v>
      </c>
      <c r="N954" s="640">
        <v>0.12</v>
      </c>
      <c r="O954" s="640">
        <v>0.12</v>
      </c>
    </row>
    <row r="955" s="597" customFormat="1" spans="1:15">
      <c r="A955" s="618"/>
      <c r="B955" s="675" t="s">
        <v>1226</v>
      </c>
      <c r="C955" s="597">
        <v>0.12</v>
      </c>
      <c r="D955" s="635">
        <v>0.12</v>
      </c>
      <c r="E955" s="635">
        <v>0.12</v>
      </c>
      <c r="F955" s="635">
        <v>0.12</v>
      </c>
      <c r="G955" s="635">
        <v>0.12</v>
      </c>
      <c r="H955" s="635">
        <v>0.12</v>
      </c>
      <c r="I955" s="635">
        <v>0.12</v>
      </c>
      <c r="J955" s="635">
        <v>0.12</v>
      </c>
      <c r="K955" s="635">
        <v>0.12</v>
      </c>
      <c r="L955" s="635">
        <v>0.12</v>
      </c>
      <c r="M955" s="635">
        <v>0.12</v>
      </c>
      <c r="N955" s="640">
        <v>0.12</v>
      </c>
      <c r="O955" s="640">
        <v>0.12</v>
      </c>
    </row>
    <row r="956" s="597" customFormat="1" spans="1:15">
      <c r="A956" s="618"/>
      <c r="B956" s="675" t="s">
        <v>1227</v>
      </c>
      <c r="C956" s="597">
        <v>0.11</v>
      </c>
      <c r="D956" s="635">
        <v>0.11</v>
      </c>
      <c r="E956" s="635">
        <v>0.11</v>
      </c>
      <c r="F956" s="635">
        <v>0.11</v>
      </c>
      <c r="G956" s="635">
        <v>0.11</v>
      </c>
      <c r="H956" s="635">
        <v>0.11</v>
      </c>
      <c r="I956" s="635">
        <v>0.11</v>
      </c>
      <c r="J956" s="635">
        <v>0.11</v>
      </c>
      <c r="K956" s="635">
        <v>0.11</v>
      </c>
      <c r="L956" s="635">
        <v>0.11</v>
      </c>
      <c r="M956" s="635">
        <v>0.11</v>
      </c>
      <c r="N956" s="640">
        <v>0.11</v>
      </c>
      <c r="O956" s="640">
        <v>0.11</v>
      </c>
    </row>
    <row r="957" s="597" customFormat="1" spans="1:15">
      <c r="A957" s="618"/>
      <c r="B957" s="675" t="s">
        <v>1228</v>
      </c>
      <c r="C957" s="597">
        <v>0.07</v>
      </c>
      <c r="D957" s="663">
        <v>0.03</v>
      </c>
      <c r="E957" s="663">
        <v>0.03</v>
      </c>
      <c r="F957" s="663">
        <v>0.03</v>
      </c>
      <c r="G957" s="663">
        <v>0.03</v>
      </c>
      <c r="H957" s="663">
        <v>0.03</v>
      </c>
      <c r="I957" s="663">
        <v>0.03</v>
      </c>
      <c r="J957" s="663">
        <v>0.03</v>
      </c>
      <c r="K957" s="663">
        <v>0.03</v>
      </c>
      <c r="L957" s="663">
        <v>0.03</v>
      </c>
      <c r="M957" s="663">
        <v>0.03</v>
      </c>
      <c r="N957" s="666">
        <v>0.03</v>
      </c>
      <c r="O957" s="666">
        <v>0.03</v>
      </c>
    </row>
    <row r="958" s="597" customFormat="1" spans="1:15">
      <c r="A958" s="618"/>
      <c r="B958" s="675" t="s">
        <v>1229</v>
      </c>
      <c r="C958" s="597">
        <v>0.07</v>
      </c>
      <c r="D958" s="663">
        <v>0.03</v>
      </c>
      <c r="E958" s="663">
        <v>0.03</v>
      </c>
      <c r="F958" s="663">
        <v>0.03</v>
      </c>
      <c r="G958" s="663">
        <v>0.03</v>
      </c>
      <c r="H958" s="663">
        <v>0.03</v>
      </c>
      <c r="I958" s="663">
        <v>0.03</v>
      </c>
      <c r="J958" s="663">
        <v>0.03</v>
      </c>
      <c r="K958" s="663">
        <v>0.03</v>
      </c>
      <c r="L958" s="663">
        <v>0.03</v>
      </c>
      <c r="M958" s="663">
        <v>0.03</v>
      </c>
      <c r="N958" s="666">
        <v>0.03</v>
      </c>
      <c r="O958" s="666">
        <v>0.03</v>
      </c>
    </row>
    <row r="959" spans="1:2">
      <c r="A959" s="518"/>
      <c r="B959" s="537"/>
    </row>
    <row r="960" spans="1:15">
      <c r="A960" s="518">
        <v>6.23</v>
      </c>
      <c r="B960" s="675" t="s">
        <v>1231</v>
      </c>
      <c r="D960" s="623"/>
      <c r="E960" s="623"/>
      <c r="F960" s="623"/>
      <c r="G960" s="623"/>
      <c r="H960" s="623"/>
      <c r="I960" s="623"/>
      <c r="J960" s="623"/>
      <c r="K960" s="623"/>
      <c r="L960" s="623"/>
      <c r="M960" s="623"/>
      <c r="N960" s="626"/>
      <c r="O960" s="626"/>
    </row>
    <row r="961" s="597" customFormat="1" spans="1:15">
      <c r="A961" s="618"/>
      <c r="B961" s="675" t="s">
        <v>1134</v>
      </c>
      <c r="C961" s="597">
        <v>0.07</v>
      </c>
      <c r="D961" s="663">
        <v>0.04</v>
      </c>
      <c r="E961" s="663">
        <v>0.04</v>
      </c>
      <c r="F961" s="663">
        <v>0.04</v>
      </c>
      <c r="G961" s="663">
        <v>0.04</v>
      </c>
      <c r="H961" s="663">
        <v>0.04</v>
      </c>
      <c r="I961" s="663">
        <v>0.04</v>
      </c>
      <c r="J961" s="663">
        <v>0.04</v>
      </c>
      <c r="K961" s="663">
        <v>0.04</v>
      </c>
      <c r="L961" s="663">
        <v>0.04</v>
      </c>
      <c r="M961" s="663">
        <v>0.04</v>
      </c>
      <c r="N961" s="666">
        <v>0.04</v>
      </c>
      <c r="O961" s="666">
        <v>0.04</v>
      </c>
    </row>
    <row r="962" s="597" customFormat="1" spans="1:15">
      <c r="A962" s="618"/>
      <c r="B962" s="675" t="s">
        <v>1135</v>
      </c>
      <c r="C962" s="597">
        <v>0.07</v>
      </c>
      <c r="D962" s="663">
        <v>0.04</v>
      </c>
      <c r="E962" s="663">
        <v>0.04</v>
      </c>
      <c r="F962" s="663">
        <v>0.04</v>
      </c>
      <c r="G962" s="663">
        <v>0.04</v>
      </c>
      <c r="H962" s="663">
        <v>0.04</v>
      </c>
      <c r="I962" s="663">
        <v>0.04</v>
      </c>
      <c r="J962" s="663">
        <v>0.04</v>
      </c>
      <c r="K962" s="663">
        <v>0.04</v>
      </c>
      <c r="L962" s="663">
        <v>0.04</v>
      </c>
      <c r="M962" s="663">
        <v>0.04</v>
      </c>
      <c r="N962" s="666">
        <v>0.04</v>
      </c>
      <c r="O962" s="666">
        <v>0.04</v>
      </c>
    </row>
    <row r="963" s="597" customFormat="1" spans="1:15">
      <c r="A963" s="618"/>
      <c r="B963" s="675" t="s">
        <v>1136</v>
      </c>
      <c r="C963" s="597">
        <v>0.07</v>
      </c>
      <c r="D963" s="663">
        <v>0.04</v>
      </c>
      <c r="E963" s="663">
        <v>0.04</v>
      </c>
      <c r="F963" s="663">
        <v>0.04</v>
      </c>
      <c r="G963" s="663">
        <v>0.04</v>
      </c>
      <c r="H963" s="663">
        <v>0.04</v>
      </c>
      <c r="I963" s="663">
        <v>0.04</v>
      </c>
      <c r="J963" s="663">
        <v>0.04</v>
      </c>
      <c r="K963" s="663">
        <v>0.04</v>
      </c>
      <c r="L963" s="663">
        <v>0.04</v>
      </c>
      <c r="M963" s="663">
        <v>0.04</v>
      </c>
      <c r="N963" s="666">
        <v>0.04</v>
      </c>
      <c r="O963" s="666">
        <v>0.04</v>
      </c>
    </row>
    <row r="964" s="597" customFormat="1" spans="1:15">
      <c r="A964" s="618"/>
      <c r="B964" s="675" t="s">
        <v>1137</v>
      </c>
      <c r="C964" s="597">
        <v>0.07</v>
      </c>
      <c r="D964" s="663">
        <v>0.04</v>
      </c>
      <c r="E964" s="663">
        <v>0.04</v>
      </c>
      <c r="F964" s="663">
        <v>0.04</v>
      </c>
      <c r="G964" s="663">
        <v>0.04</v>
      </c>
      <c r="H964" s="663">
        <v>0.04</v>
      </c>
      <c r="I964" s="663">
        <v>0.04</v>
      </c>
      <c r="J964" s="663">
        <v>0.04</v>
      </c>
      <c r="K964" s="663">
        <v>0.04</v>
      </c>
      <c r="L964" s="663">
        <v>0.04</v>
      </c>
      <c r="M964" s="663">
        <v>0.04</v>
      </c>
      <c r="N964" s="666">
        <v>0.04</v>
      </c>
      <c r="O964" s="666">
        <v>0.04</v>
      </c>
    </row>
    <row r="965" s="597" customFormat="1" spans="1:15">
      <c r="A965" s="618"/>
      <c r="B965" s="675" t="s">
        <v>1138</v>
      </c>
      <c r="C965" s="597">
        <v>0.08</v>
      </c>
      <c r="D965" s="663">
        <v>0.12</v>
      </c>
      <c r="E965" s="663">
        <v>0.12</v>
      </c>
      <c r="F965" s="663">
        <v>0.12</v>
      </c>
      <c r="G965" s="663">
        <v>0.12</v>
      </c>
      <c r="H965" s="663">
        <v>0.12</v>
      </c>
      <c r="I965" s="663">
        <v>0.12</v>
      </c>
      <c r="J965" s="663">
        <v>0.12</v>
      </c>
      <c r="K965" s="663">
        <v>0.12</v>
      </c>
      <c r="L965" s="663">
        <v>0.12</v>
      </c>
      <c r="M965" s="663">
        <v>0.12</v>
      </c>
      <c r="N965" s="666">
        <v>0.12</v>
      </c>
      <c r="O965" s="666">
        <v>0.12</v>
      </c>
    </row>
    <row r="966" s="597" customFormat="1" spans="1:15">
      <c r="A966" s="618"/>
      <c r="B966" s="675" t="s">
        <v>1139</v>
      </c>
      <c r="C966" s="597">
        <v>0.1</v>
      </c>
      <c r="D966" s="663">
        <v>0.12</v>
      </c>
      <c r="E966" s="663">
        <v>0.12</v>
      </c>
      <c r="F966" s="663">
        <v>0.12</v>
      </c>
      <c r="G966" s="663">
        <v>0.12</v>
      </c>
      <c r="H966" s="663">
        <v>0.12</v>
      </c>
      <c r="I966" s="663">
        <v>0.12</v>
      </c>
      <c r="J966" s="663">
        <v>0.12</v>
      </c>
      <c r="K966" s="663">
        <v>0.12</v>
      </c>
      <c r="L966" s="663">
        <v>0.12</v>
      </c>
      <c r="M966" s="663">
        <v>0.12</v>
      </c>
      <c r="N966" s="666">
        <v>0.12</v>
      </c>
      <c r="O966" s="666">
        <v>0.12</v>
      </c>
    </row>
    <row r="967" s="597" customFormat="1" spans="1:15">
      <c r="A967" s="618"/>
      <c r="B967" s="675" t="s">
        <v>1140</v>
      </c>
      <c r="C967" s="597">
        <v>0.1</v>
      </c>
      <c r="D967" s="663">
        <v>0.12</v>
      </c>
      <c r="E967" s="663">
        <v>0.12</v>
      </c>
      <c r="F967" s="663">
        <v>0.12</v>
      </c>
      <c r="G967" s="663">
        <v>0.12</v>
      </c>
      <c r="H967" s="663">
        <v>0.12</v>
      </c>
      <c r="I967" s="663">
        <v>0.12</v>
      </c>
      <c r="J967" s="663">
        <v>0.12</v>
      </c>
      <c r="K967" s="663">
        <v>0.12</v>
      </c>
      <c r="L967" s="663">
        <v>0.12</v>
      </c>
      <c r="M967" s="663">
        <v>0.12</v>
      </c>
      <c r="N967" s="666">
        <v>0.12</v>
      </c>
      <c r="O967" s="666">
        <v>0.12</v>
      </c>
    </row>
    <row r="968" s="597" customFormat="1" spans="1:15">
      <c r="A968" s="618"/>
      <c r="B968" s="675" t="s">
        <v>1141</v>
      </c>
      <c r="C968" s="597">
        <v>0.1</v>
      </c>
      <c r="D968" s="663">
        <v>0.12</v>
      </c>
      <c r="E968" s="663">
        <v>0.12</v>
      </c>
      <c r="F968" s="663">
        <v>0.12</v>
      </c>
      <c r="G968" s="663">
        <v>0.12</v>
      </c>
      <c r="H968" s="663">
        <v>0.12</v>
      </c>
      <c r="I968" s="663">
        <v>0.12</v>
      </c>
      <c r="J968" s="663">
        <v>0.12</v>
      </c>
      <c r="K968" s="663">
        <v>0.12</v>
      </c>
      <c r="L968" s="663">
        <v>0.12</v>
      </c>
      <c r="M968" s="663">
        <v>0.12</v>
      </c>
      <c r="N968" s="666">
        <v>0.12</v>
      </c>
      <c r="O968" s="666">
        <v>0.12</v>
      </c>
    </row>
    <row r="969" s="597" customFormat="1" spans="1:15">
      <c r="A969" s="618"/>
      <c r="B969" s="675" t="s">
        <v>1142</v>
      </c>
      <c r="C969" s="597">
        <v>0.1</v>
      </c>
      <c r="D969" s="663">
        <v>0.12</v>
      </c>
      <c r="E969" s="663">
        <v>0.12</v>
      </c>
      <c r="F969" s="663">
        <v>0.12</v>
      </c>
      <c r="G969" s="663">
        <v>0.12</v>
      </c>
      <c r="H969" s="663">
        <v>0.12</v>
      </c>
      <c r="I969" s="663">
        <v>0.12</v>
      </c>
      <c r="J969" s="663">
        <v>0.12</v>
      </c>
      <c r="K969" s="663">
        <v>0.12</v>
      </c>
      <c r="L969" s="663">
        <v>0.12</v>
      </c>
      <c r="M969" s="663">
        <v>0.12</v>
      </c>
      <c r="N969" s="666">
        <v>0.12</v>
      </c>
      <c r="O969" s="666">
        <v>0.12</v>
      </c>
    </row>
    <row r="970" s="597" customFormat="1" spans="1:15">
      <c r="A970" s="618"/>
      <c r="B970" s="675" t="s">
        <v>1143</v>
      </c>
      <c r="C970" s="597">
        <v>0.1</v>
      </c>
      <c r="D970" s="635">
        <v>0.1</v>
      </c>
      <c r="E970" s="635">
        <v>0.1</v>
      </c>
      <c r="F970" s="635">
        <v>0.1</v>
      </c>
      <c r="G970" s="635">
        <v>0.1</v>
      </c>
      <c r="H970" s="635">
        <v>0.1</v>
      </c>
      <c r="I970" s="635">
        <v>0.1</v>
      </c>
      <c r="J970" s="635">
        <v>0.1</v>
      </c>
      <c r="K970" s="635">
        <v>0.1</v>
      </c>
      <c r="L970" s="635">
        <v>0.1</v>
      </c>
      <c r="M970" s="635">
        <v>0.1</v>
      </c>
      <c r="N970" s="640">
        <v>0.1</v>
      </c>
      <c r="O970" s="640">
        <v>0.1</v>
      </c>
    </row>
    <row r="971" s="597" customFormat="1" spans="1:15">
      <c r="A971" s="618"/>
      <c r="B971" s="675" t="s">
        <v>1144</v>
      </c>
      <c r="C971" s="597">
        <v>0.07</v>
      </c>
      <c r="D971" s="635">
        <v>0.07</v>
      </c>
      <c r="E971" s="635">
        <v>0.07</v>
      </c>
      <c r="F971" s="635">
        <v>0.07</v>
      </c>
      <c r="G971" s="635">
        <v>0.07</v>
      </c>
      <c r="H971" s="635">
        <v>0.07</v>
      </c>
      <c r="I971" s="635">
        <v>0.07</v>
      </c>
      <c r="J971" s="635">
        <v>0.07</v>
      </c>
      <c r="K971" s="635">
        <v>0.07</v>
      </c>
      <c r="L971" s="635">
        <v>0.07</v>
      </c>
      <c r="M971" s="635">
        <v>0.07</v>
      </c>
      <c r="N971" s="640">
        <v>0.07</v>
      </c>
      <c r="O971" s="640">
        <v>0.07</v>
      </c>
    </row>
    <row r="972" s="597" customFormat="1" spans="1:15">
      <c r="A972" s="618"/>
      <c r="B972" s="675" t="s">
        <v>1145</v>
      </c>
      <c r="C972" s="597">
        <v>0.07</v>
      </c>
      <c r="D972" s="635">
        <v>0.07</v>
      </c>
      <c r="E972" s="635">
        <v>0.07</v>
      </c>
      <c r="F972" s="635">
        <v>0.07</v>
      </c>
      <c r="G972" s="635">
        <v>0.07</v>
      </c>
      <c r="H972" s="635">
        <v>0.07</v>
      </c>
      <c r="I972" s="635">
        <v>0.07</v>
      </c>
      <c r="J972" s="635">
        <v>0.07</v>
      </c>
      <c r="K972" s="635">
        <v>0.07</v>
      </c>
      <c r="L972" s="635">
        <v>0.07</v>
      </c>
      <c r="M972" s="635">
        <v>0.07</v>
      </c>
      <c r="N972" s="640">
        <v>0.07</v>
      </c>
      <c r="O972" s="640">
        <v>0.07</v>
      </c>
    </row>
    <row r="973" s="597" customFormat="1" spans="1:15">
      <c r="A973" s="618"/>
      <c r="B973" s="675" t="s">
        <v>1146</v>
      </c>
      <c r="C973" s="597">
        <v>0.06</v>
      </c>
      <c r="D973" s="635">
        <v>0.06</v>
      </c>
      <c r="E973" s="635">
        <v>0.06</v>
      </c>
      <c r="F973" s="635">
        <v>0.06</v>
      </c>
      <c r="G973" s="635">
        <v>0.06</v>
      </c>
      <c r="H973" s="635">
        <v>0.06</v>
      </c>
      <c r="I973" s="635">
        <v>0.06</v>
      </c>
      <c r="J973" s="635">
        <v>0.06</v>
      </c>
      <c r="K973" s="635">
        <v>0.06</v>
      </c>
      <c r="L973" s="635">
        <v>0.06</v>
      </c>
      <c r="M973" s="635">
        <v>0.06</v>
      </c>
      <c r="N973" s="640">
        <v>0.06</v>
      </c>
      <c r="O973" s="640">
        <v>0.06</v>
      </c>
    </row>
    <row r="974" s="597" customFormat="1" spans="1:15">
      <c r="A974" s="618"/>
      <c r="B974" s="675" t="s">
        <v>1147</v>
      </c>
      <c r="C974" s="597">
        <v>0.06</v>
      </c>
      <c r="D974" s="663">
        <v>0.05</v>
      </c>
      <c r="E974" s="663">
        <v>0.05</v>
      </c>
      <c r="F974" s="663">
        <v>0.05</v>
      </c>
      <c r="G974" s="663">
        <v>0.05</v>
      </c>
      <c r="H974" s="663">
        <v>0.05</v>
      </c>
      <c r="I974" s="663">
        <v>0.05</v>
      </c>
      <c r="J974" s="663">
        <v>0.05</v>
      </c>
      <c r="K974" s="663">
        <v>0.05</v>
      </c>
      <c r="L974" s="663">
        <v>0.05</v>
      </c>
      <c r="M974" s="663">
        <v>0.05</v>
      </c>
      <c r="N974" s="666">
        <v>0.05</v>
      </c>
      <c r="O974" s="666">
        <v>0.05</v>
      </c>
    </row>
    <row r="975" s="597" customFormat="1" spans="1:15">
      <c r="A975" s="618"/>
      <c r="B975" s="675" t="s">
        <v>1148</v>
      </c>
      <c r="C975" s="597">
        <v>0.06</v>
      </c>
      <c r="D975" s="635">
        <v>0.06</v>
      </c>
      <c r="E975" s="635">
        <v>0.06</v>
      </c>
      <c r="F975" s="635">
        <v>0.06</v>
      </c>
      <c r="G975" s="635">
        <v>0.06</v>
      </c>
      <c r="H975" s="635">
        <v>0.06</v>
      </c>
      <c r="I975" s="635">
        <v>0.06</v>
      </c>
      <c r="J975" s="635">
        <v>0.06</v>
      </c>
      <c r="K975" s="635">
        <v>0.06</v>
      </c>
      <c r="L975" s="635">
        <v>0.06</v>
      </c>
      <c r="M975" s="635">
        <v>0.06</v>
      </c>
      <c r="N975" s="640">
        <v>0.06</v>
      </c>
      <c r="O975" s="640">
        <v>0.06</v>
      </c>
    </row>
    <row r="976" s="597" customFormat="1" spans="1:15">
      <c r="A976" s="618"/>
      <c r="B976" s="675" t="s">
        <v>1149</v>
      </c>
      <c r="C976" s="597">
        <v>0.07</v>
      </c>
      <c r="D976" s="663">
        <v>0.06</v>
      </c>
      <c r="E976" s="663">
        <v>0.06</v>
      </c>
      <c r="F976" s="663">
        <v>0.06</v>
      </c>
      <c r="G976" s="663">
        <v>0.06</v>
      </c>
      <c r="H976" s="663">
        <v>0.06</v>
      </c>
      <c r="I976" s="663">
        <v>0.06</v>
      </c>
      <c r="J976" s="663">
        <v>0.06</v>
      </c>
      <c r="K976" s="663">
        <v>0.06</v>
      </c>
      <c r="L976" s="663">
        <v>0.06</v>
      </c>
      <c r="M976" s="663">
        <v>0.06</v>
      </c>
      <c r="N976" s="666">
        <v>0.06</v>
      </c>
      <c r="O976" s="666">
        <v>0.06</v>
      </c>
    </row>
    <row r="977" s="597" customFormat="1" spans="1:15">
      <c r="A977" s="618"/>
      <c r="B977" s="675" t="s">
        <v>1150</v>
      </c>
      <c r="C977" s="597">
        <v>0.08</v>
      </c>
      <c r="D977" s="663">
        <v>0.11</v>
      </c>
      <c r="E977" s="663">
        <v>0.11</v>
      </c>
      <c r="F977" s="663">
        <v>0.11</v>
      </c>
      <c r="G977" s="663">
        <v>0.11</v>
      </c>
      <c r="H977" s="663">
        <v>0.11</v>
      </c>
      <c r="I977" s="663">
        <v>0.11</v>
      </c>
      <c r="J977" s="663">
        <v>0.11</v>
      </c>
      <c r="K977" s="663">
        <v>0.11</v>
      </c>
      <c r="L977" s="663">
        <v>0.11</v>
      </c>
      <c r="M977" s="663">
        <v>0.11</v>
      </c>
      <c r="N977" s="666">
        <v>0.11</v>
      </c>
      <c r="O977" s="666">
        <v>0.11</v>
      </c>
    </row>
    <row r="978" s="597" customFormat="1" spans="1:15">
      <c r="A978" s="618"/>
      <c r="B978" s="675" t="s">
        <v>1151</v>
      </c>
      <c r="C978" s="597">
        <v>0.1</v>
      </c>
      <c r="D978" s="663">
        <v>0.11</v>
      </c>
      <c r="E978" s="663">
        <v>0.11</v>
      </c>
      <c r="F978" s="663">
        <v>0.11</v>
      </c>
      <c r="G978" s="663">
        <v>0.11</v>
      </c>
      <c r="H978" s="663">
        <v>0.11</v>
      </c>
      <c r="I978" s="663">
        <v>0.11</v>
      </c>
      <c r="J978" s="663">
        <v>0.11</v>
      </c>
      <c r="K978" s="663">
        <v>0.11</v>
      </c>
      <c r="L978" s="663">
        <v>0.11</v>
      </c>
      <c r="M978" s="663">
        <v>0.11</v>
      </c>
      <c r="N978" s="666">
        <v>0.11</v>
      </c>
      <c r="O978" s="666">
        <v>0.11</v>
      </c>
    </row>
    <row r="979" s="597" customFormat="1" spans="1:15">
      <c r="A979" s="618"/>
      <c r="B979" s="675" t="s">
        <v>1152</v>
      </c>
      <c r="C979" s="597">
        <v>0.1</v>
      </c>
      <c r="D979" s="663">
        <v>0.11</v>
      </c>
      <c r="E979" s="663">
        <v>0.11</v>
      </c>
      <c r="F979" s="663">
        <v>0.11</v>
      </c>
      <c r="G979" s="663">
        <v>0.11</v>
      </c>
      <c r="H979" s="663">
        <v>0.11</v>
      </c>
      <c r="I979" s="663">
        <v>0.11</v>
      </c>
      <c r="J979" s="663">
        <v>0.11</v>
      </c>
      <c r="K979" s="663">
        <v>0.11</v>
      </c>
      <c r="L979" s="663">
        <v>0.11</v>
      </c>
      <c r="M979" s="663">
        <v>0.11</v>
      </c>
      <c r="N979" s="666">
        <v>0.11</v>
      </c>
      <c r="O979" s="666">
        <v>0.11</v>
      </c>
    </row>
    <row r="980" s="597" customFormat="1" spans="1:15">
      <c r="A980" s="618"/>
      <c r="B980" s="675" t="s">
        <v>1153</v>
      </c>
      <c r="C980" s="597">
        <v>0.11</v>
      </c>
      <c r="D980" s="635">
        <v>0.11</v>
      </c>
      <c r="E980" s="635">
        <v>0.11</v>
      </c>
      <c r="F980" s="635">
        <v>0.11</v>
      </c>
      <c r="G980" s="635">
        <v>0.11</v>
      </c>
      <c r="H980" s="635">
        <v>0.11</v>
      </c>
      <c r="I980" s="635">
        <v>0.11</v>
      </c>
      <c r="J980" s="635">
        <v>0.11</v>
      </c>
      <c r="K980" s="635">
        <v>0.11</v>
      </c>
      <c r="L980" s="635">
        <v>0.11</v>
      </c>
      <c r="M980" s="635">
        <v>0.11</v>
      </c>
      <c r="N980" s="640">
        <v>0.11</v>
      </c>
      <c r="O980" s="640">
        <v>0.11</v>
      </c>
    </row>
    <row r="981" s="597" customFormat="1" spans="1:15">
      <c r="A981" s="618"/>
      <c r="B981" s="675" t="s">
        <v>1154</v>
      </c>
      <c r="C981" s="597">
        <v>0.11</v>
      </c>
      <c r="D981" s="635">
        <v>0.11</v>
      </c>
      <c r="E981" s="635">
        <v>0.11</v>
      </c>
      <c r="F981" s="635">
        <v>0.11</v>
      </c>
      <c r="G981" s="635">
        <v>0.11</v>
      </c>
      <c r="H981" s="635">
        <v>0.11</v>
      </c>
      <c r="I981" s="635">
        <v>0.11</v>
      </c>
      <c r="J981" s="635">
        <v>0.11</v>
      </c>
      <c r="K981" s="635">
        <v>0.11</v>
      </c>
      <c r="L981" s="635">
        <v>0.11</v>
      </c>
      <c r="M981" s="635">
        <v>0.11</v>
      </c>
      <c r="N981" s="640">
        <v>0.11</v>
      </c>
      <c r="O981" s="640">
        <v>0.11</v>
      </c>
    </row>
    <row r="982" s="597" customFormat="1" spans="1:15">
      <c r="A982" s="618"/>
      <c r="B982" s="675" t="s">
        <v>1155</v>
      </c>
      <c r="C982" s="597">
        <v>0.11</v>
      </c>
      <c r="D982" s="635">
        <v>0.11</v>
      </c>
      <c r="E982" s="635">
        <v>0.11</v>
      </c>
      <c r="F982" s="635">
        <v>0.11</v>
      </c>
      <c r="G982" s="635">
        <v>0.11</v>
      </c>
      <c r="H982" s="635">
        <v>0.11</v>
      </c>
      <c r="I982" s="635">
        <v>0.11</v>
      </c>
      <c r="J982" s="635">
        <v>0.11</v>
      </c>
      <c r="K982" s="635">
        <v>0.11</v>
      </c>
      <c r="L982" s="635">
        <v>0.11</v>
      </c>
      <c r="M982" s="635">
        <v>0.11</v>
      </c>
      <c r="N982" s="640">
        <v>0.11</v>
      </c>
      <c r="O982" s="640">
        <v>0.11</v>
      </c>
    </row>
    <row r="983" s="597" customFormat="1" spans="1:15">
      <c r="A983" s="618"/>
      <c r="B983" s="675" t="s">
        <v>1156</v>
      </c>
      <c r="C983" s="597">
        <v>0.07</v>
      </c>
      <c r="D983" s="663">
        <v>0.06</v>
      </c>
      <c r="E983" s="663">
        <v>0.06</v>
      </c>
      <c r="F983" s="663">
        <v>0.06</v>
      </c>
      <c r="G983" s="663">
        <v>0.06</v>
      </c>
      <c r="H983" s="663">
        <v>0.06</v>
      </c>
      <c r="I983" s="663">
        <v>0.06</v>
      </c>
      <c r="J983" s="663">
        <v>0.06</v>
      </c>
      <c r="K983" s="663">
        <v>0.06</v>
      </c>
      <c r="L983" s="663">
        <v>0.06</v>
      </c>
      <c r="M983" s="663">
        <v>0.06</v>
      </c>
      <c r="N983" s="666">
        <v>0.06</v>
      </c>
      <c r="O983" s="666">
        <v>0.06</v>
      </c>
    </row>
    <row r="984" s="597" customFormat="1" spans="1:15">
      <c r="A984" s="618"/>
      <c r="B984" s="675" t="s">
        <v>1157</v>
      </c>
      <c r="C984" s="597">
        <v>0.07</v>
      </c>
      <c r="D984" s="663">
        <v>0.05</v>
      </c>
      <c r="E984" s="663">
        <v>0.05</v>
      </c>
      <c r="F984" s="663">
        <v>0.05</v>
      </c>
      <c r="G984" s="663">
        <v>0.05</v>
      </c>
      <c r="H984" s="663">
        <v>0.05</v>
      </c>
      <c r="I984" s="663">
        <v>0.05</v>
      </c>
      <c r="J984" s="663">
        <v>0.05</v>
      </c>
      <c r="K984" s="663">
        <v>0.05</v>
      </c>
      <c r="L984" s="663">
        <v>0.05</v>
      </c>
      <c r="M984" s="663">
        <v>0.05</v>
      </c>
      <c r="N984" s="666">
        <v>0.05</v>
      </c>
      <c r="O984" s="666">
        <v>0.05</v>
      </c>
    </row>
    <row r="985" s="597" customFormat="1" spans="1:15">
      <c r="A985" s="618"/>
      <c r="B985" s="675" t="s">
        <v>1158</v>
      </c>
      <c r="C985" s="597">
        <v>0.05</v>
      </c>
      <c r="D985" s="663">
        <v>0.02</v>
      </c>
      <c r="E985" s="663">
        <v>0.02</v>
      </c>
      <c r="F985" s="663">
        <v>0.02</v>
      </c>
      <c r="G985" s="665">
        <v>0.06</v>
      </c>
      <c r="H985" s="665">
        <v>0.06</v>
      </c>
      <c r="I985" s="665">
        <v>0.06</v>
      </c>
      <c r="J985" s="665">
        <v>0.06</v>
      </c>
      <c r="K985" s="665">
        <v>0.06</v>
      </c>
      <c r="L985" s="665">
        <v>0.06</v>
      </c>
      <c r="M985" s="665">
        <v>0.06</v>
      </c>
      <c r="N985" s="668">
        <v>0.06</v>
      </c>
      <c r="O985" s="668">
        <v>0.06</v>
      </c>
    </row>
    <row r="986" s="597" customFormat="1" spans="1:15">
      <c r="A986" s="618"/>
      <c r="B986" s="675" t="s">
        <v>1159</v>
      </c>
      <c r="C986" s="597">
        <v>0.05</v>
      </c>
      <c r="D986" s="663">
        <v>0.03</v>
      </c>
      <c r="E986" s="663">
        <v>0.03</v>
      </c>
      <c r="F986" s="663">
        <v>0.03</v>
      </c>
      <c r="G986" s="665">
        <v>0.06</v>
      </c>
      <c r="H986" s="665">
        <v>0.06</v>
      </c>
      <c r="I986" s="665">
        <v>0.06</v>
      </c>
      <c r="J986" s="665">
        <v>0.06</v>
      </c>
      <c r="K986" s="665">
        <v>0.06</v>
      </c>
      <c r="L986" s="665">
        <v>0.06</v>
      </c>
      <c r="M986" s="665">
        <v>0.06</v>
      </c>
      <c r="N986" s="668">
        <v>0.06</v>
      </c>
      <c r="O986" s="668">
        <v>0.06</v>
      </c>
    </row>
    <row r="987" s="597" customFormat="1" spans="1:15">
      <c r="A987" s="618"/>
      <c r="B987" s="675" t="s">
        <v>1160</v>
      </c>
      <c r="C987" s="597">
        <v>0.06</v>
      </c>
      <c r="D987" s="663">
        <v>0.03</v>
      </c>
      <c r="E987" s="663">
        <v>0.03</v>
      </c>
      <c r="F987" s="663">
        <v>0.03</v>
      </c>
      <c r="G987" s="665">
        <v>0.06</v>
      </c>
      <c r="H987" s="665">
        <v>0.06</v>
      </c>
      <c r="I987" s="665">
        <v>0.06</v>
      </c>
      <c r="J987" s="665">
        <v>0.06</v>
      </c>
      <c r="K987" s="665">
        <v>0.06</v>
      </c>
      <c r="L987" s="665">
        <v>0.06</v>
      </c>
      <c r="M987" s="665">
        <v>0.06</v>
      </c>
      <c r="N987" s="668">
        <v>0.06</v>
      </c>
      <c r="O987" s="668">
        <v>0.06</v>
      </c>
    </row>
    <row r="988" s="597" customFormat="1" spans="1:15">
      <c r="A988" s="618"/>
      <c r="B988" s="675" t="s">
        <v>1161</v>
      </c>
      <c r="C988" s="597">
        <v>0.07</v>
      </c>
      <c r="D988" s="663">
        <v>0.04</v>
      </c>
      <c r="E988" s="663">
        <v>0.04</v>
      </c>
      <c r="F988" s="663">
        <v>0.04</v>
      </c>
      <c r="G988" s="665">
        <v>0.06</v>
      </c>
      <c r="H988" s="665">
        <v>0.06</v>
      </c>
      <c r="I988" s="665">
        <v>0.06</v>
      </c>
      <c r="J988" s="665">
        <v>0.06</v>
      </c>
      <c r="K988" s="665">
        <v>0.06</v>
      </c>
      <c r="L988" s="665">
        <v>0.06</v>
      </c>
      <c r="M988" s="665">
        <v>0.06</v>
      </c>
      <c r="N988" s="668">
        <v>0.06</v>
      </c>
      <c r="O988" s="668">
        <v>0.06</v>
      </c>
    </row>
    <row r="989" s="597" customFormat="1" spans="1:15">
      <c r="A989" s="618"/>
      <c r="B989" s="675" t="s">
        <v>1162</v>
      </c>
      <c r="C989" s="597">
        <v>0.08</v>
      </c>
      <c r="D989" s="663">
        <v>0.11</v>
      </c>
      <c r="E989" s="663">
        <v>0.11</v>
      </c>
      <c r="F989" s="663">
        <v>0.11</v>
      </c>
      <c r="G989" s="663">
        <v>0.11</v>
      </c>
      <c r="H989" s="663">
        <v>0.11</v>
      </c>
      <c r="I989" s="663">
        <v>0.11</v>
      </c>
      <c r="J989" s="663">
        <v>0.11</v>
      </c>
      <c r="K989" s="663">
        <v>0.11</v>
      </c>
      <c r="L989" s="663">
        <v>0.11</v>
      </c>
      <c r="M989" s="663">
        <v>0.11</v>
      </c>
      <c r="N989" s="666">
        <v>0.11</v>
      </c>
      <c r="O989" s="666">
        <v>0.11</v>
      </c>
    </row>
    <row r="990" s="597" customFormat="1" spans="1:15">
      <c r="A990" s="618"/>
      <c r="B990" s="675" t="s">
        <v>1163</v>
      </c>
      <c r="C990" s="597">
        <v>0.1</v>
      </c>
      <c r="D990" s="663">
        <v>0.12</v>
      </c>
      <c r="E990" s="663">
        <v>0.12</v>
      </c>
      <c r="F990" s="663">
        <v>0.12</v>
      </c>
      <c r="G990" s="665">
        <v>0.1</v>
      </c>
      <c r="H990" s="665">
        <v>0.1</v>
      </c>
      <c r="I990" s="665">
        <v>0.1</v>
      </c>
      <c r="J990" s="665">
        <v>0.1</v>
      </c>
      <c r="K990" s="665">
        <v>0.1</v>
      </c>
      <c r="L990" s="665">
        <v>0.1</v>
      </c>
      <c r="M990" s="665">
        <v>0.1</v>
      </c>
      <c r="N990" s="668">
        <v>0.1</v>
      </c>
      <c r="O990" s="668">
        <v>0.1</v>
      </c>
    </row>
    <row r="991" s="597" customFormat="1" spans="1:15">
      <c r="A991" s="618"/>
      <c r="B991" s="675" t="s">
        <v>1164</v>
      </c>
      <c r="C991" s="597">
        <v>0.1</v>
      </c>
      <c r="D991" s="663">
        <v>0.12</v>
      </c>
      <c r="E991" s="663">
        <v>0.12</v>
      </c>
      <c r="F991" s="663">
        <v>0.12</v>
      </c>
      <c r="G991" s="665">
        <v>0.1</v>
      </c>
      <c r="H991" s="665">
        <v>0.1</v>
      </c>
      <c r="I991" s="665">
        <v>0.1</v>
      </c>
      <c r="J991" s="665">
        <v>0.1</v>
      </c>
      <c r="K991" s="665">
        <v>0.1</v>
      </c>
      <c r="L991" s="665">
        <v>0.1</v>
      </c>
      <c r="M991" s="665">
        <v>0.1</v>
      </c>
      <c r="N991" s="668">
        <v>0.1</v>
      </c>
      <c r="O991" s="668">
        <v>0.1</v>
      </c>
    </row>
    <row r="992" s="597" customFormat="1" spans="1:15">
      <c r="A992" s="618"/>
      <c r="B992" s="675" t="s">
        <v>1165</v>
      </c>
      <c r="C992" s="597">
        <v>0.12</v>
      </c>
      <c r="D992" s="635">
        <v>0.12</v>
      </c>
      <c r="E992" s="635">
        <v>0.12</v>
      </c>
      <c r="F992" s="635">
        <v>0.12</v>
      </c>
      <c r="G992" s="665">
        <v>0.1</v>
      </c>
      <c r="H992" s="665">
        <v>0.1</v>
      </c>
      <c r="I992" s="665">
        <v>0.1</v>
      </c>
      <c r="J992" s="665">
        <v>0.1</v>
      </c>
      <c r="K992" s="665">
        <v>0.1</v>
      </c>
      <c r="L992" s="665">
        <v>0.1</v>
      </c>
      <c r="M992" s="665">
        <v>0.1</v>
      </c>
      <c r="N992" s="668">
        <v>0.1</v>
      </c>
      <c r="O992" s="668">
        <v>0.1</v>
      </c>
    </row>
    <row r="993" s="597" customFormat="1" spans="1:15">
      <c r="A993" s="618"/>
      <c r="B993" s="675" t="s">
        <v>1166</v>
      </c>
      <c r="C993" s="597">
        <v>0.12</v>
      </c>
      <c r="D993" s="635">
        <v>0.12</v>
      </c>
      <c r="E993" s="635">
        <v>0.12</v>
      </c>
      <c r="F993" s="635">
        <v>0.12</v>
      </c>
      <c r="G993" s="665">
        <v>0.1</v>
      </c>
      <c r="H993" s="665">
        <v>0.1</v>
      </c>
      <c r="I993" s="665">
        <v>0.1</v>
      </c>
      <c r="J993" s="665">
        <v>0.1</v>
      </c>
      <c r="K993" s="665">
        <v>0.1</v>
      </c>
      <c r="L993" s="665">
        <v>0.1</v>
      </c>
      <c r="M993" s="665">
        <v>0.1</v>
      </c>
      <c r="N993" s="668">
        <v>0.1</v>
      </c>
      <c r="O993" s="668">
        <v>0.1</v>
      </c>
    </row>
    <row r="994" s="597" customFormat="1" spans="1:15">
      <c r="A994" s="618"/>
      <c r="B994" s="675" t="s">
        <v>1167</v>
      </c>
      <c r="C994" s="597">
        <v>0.11</v>
      </c>
      <c r="D994" s="635">
        <v>0.11</v>
      </c>
      <c r="E994" s="635">
        <v>0.11</v>
      </c>
      <c r="F994" s="635">
        <v>0.11</v>
      </c>
      <c r="G994" s="665">
        <v>0.1</v>
      </c>
      <c r="H994" s="665">
        <v>0.1</v>
      </c>
      <c r="I994" s="665">
        <v>0.1</v>
      </c>
      <c r="J994" s="665">
        <v>0.1</v>
      </c>
      <c r="K994" s="665">
        <v>0.1</v>
      </c>
      <c r="L994" s="665">
        <v>0.1</v>
      </c>
      <c r="M994" s="665">
        <v>0.1</v>
      </c>
      <c r="N994" s="668">
        <v>0.1</v>
      </c>
      <c r="O994" s="668">
        <v>0.1</v>
      </c>
    </row>
    <row r="995" s="597" customFormat="1" spans="1:15">
      <c r="A995" s="618"/>
      <c r="B995" s="675" t="s">
        <v>1168</v>
      </c>
      <c r="C995" s="597">
        <v>0.07</v>
      </c>
      <c r="D995" s="663">
        <v>0.15</v>
      </c>
      <c r="E995" s="663">
        <v>0.15</v>
      </c>
      <c r="F995" s="663">
        <v>0.15</v>
      </c>
      <c r="G995" s="665">
        <v>0.12</v>
      </c>
      <c r="H995" s="665">
        <v>0.12</v>
      </c>
      <c r="I995" s="665">
        <v>0.12</v>
      </c>
      <c r="J995" s="665">
        <v>0.12</v>
      </c>
      <c r="K995" s="665">
        <v>0.12</v>
      </c>
      <c r="L995" s="665">
        <v>0.12</v>
      </c>
      <c r="M995" s="665">
        <v>0.12</v>
      </c>
      <c r="N995" s="668">
        <v>0.12</v>
      </c>
      <c r="O995" s="668">
        <v>0.12</v>
      </c>
    </row>
    <row r="996" s="597" customFormat="1" spans="1:15">
      <c r="A996" s="618"/>
      <c r="B996" s="675" t="s">
        <v>1169</v>
      </c>
      <c r="C996" s="597">
        <v>0.07</v>
      </c>
      <c r="D996" s="663">
        <v>0.03</v>
      </c>
      <c r="E996" s="663">
        <v>0.03</v>
      </c>
      <c r="F996" s="663">
        <v>0.03</v>
      </c>
      <c r="G996" s="663">
        <v>0.03</v>
      </c>
      <c r="H996" s="663">
        <v>0.03</v>
      </c>
      <c r="I996" s="663">
        <v>0.03</v>
      </c>
      <c r="J996" s="663">
        <v>0.03</v>
      </c>
      <c r="K996" s="663">
        <v>0.03</v>
      </c>
      <c r="L996" s="663">
        <v>0.03</v>
      </c>
      <c r="M996" s="663">
        <v>0.03</v>
      </c>
      <c r="N996" s="666">
        <v>0.03</v>
      </c>
      <c r="O996" s="666">
        <v>0.03</v>
      </c>
    </row>
    <row r="997" s="597" customFormat="1" spans="1:15">
      <c r="A997" s="618"/>
      <c r="B997" s="675" t="s">
        <v>1170</v>
      </c>
      <c r="C997" s="597">
        <v>0.05</v>
      </c>
      <c r="D997" s="635">
        <v>0.05</v>
      </c>
      <c r="E997" s="635">
        <v>0.05</v>
      </c>
      <c r="F997" s="635">
        <v>0.05</v>
      </c>
      <c r="G997" s="635">
        <v>0.05</v>
      </c>
      <c r="H997" s="635">
        <v>0.05</v>
      </c>
      <c r="I997" s="635">
        <v>0.05</v>
      </c>
      <c r="J997" s="635">
        <v>0.05</v>
      </c>
      <c r="K997" s="635">
        <v>0.05</v>
      </c>
      <c r="L997" s="635">
        <v>0.05</v>
      </c>
      <c r="M997" s="635">
        <v>0.05</v>
      </c>
      <c r="N997" s="640">
        <v>0.05</v>
      </c>
      <c r="O997" s="640">
        <v>0.05</v>
      </c>
    </row>
    <row r="998" s="597" customFormat="1" spans="1:15">
      <c r="A998" s="618"/>
      <c r="B998" s="675" t="s">
        <v>1171</v>
      </c>
      <c r="C998" s="597">
        <v>0.05</v>
      </c>
      <c r="D998" s="635">
        <v>0.05</v>
      </c>
      <c r="E998" s="635">
        <v>0.05</v>
      </c>
      <c r="F998" s="635">
        <v>0.05</v>
      </c>
      <c r="G998" s="635">
        <v>0.05</v>
      </c>
      <c r="H998" s="635">
        <v>0.05</v>
      </c>
      <c r="I998" s="635">
        <v>0.05</v>
      </c>
      <c r="J998" s="635">
        <v>0.05</v>
      </c>
      <c r="K998" s="635">
        <v>0.05</v>
      </c>
      <c r="L998" s="635">
        <v>0.05</v>
      </c>
      <c r="M998" s="635">
        <v>0.05</v>
      </c>
      <c r="N998" s="640">
        <v>0.05</v>
      </c>
      <c r="O998" s="640">
        <v>0.05</v>
      </c>
    </row>
    <row r="999" s="597" customFormat="1" spans="1:15">
      <c r="A999" s="618"/>
      <c r="B999" s="675" t="s">
        <v>1172</v>
      </c>
      <c r="C999" s="597">
        <v>0.06</v>
      </c>
      <c r="D999" s="635">
        <v>0.06</v>
      </c>
      <c r="E999" s="635">
        <v>0.06</v>
      </c>
      <c r="F999" s="635">
        <v>0.06</v>
      </c>
      <c r="G999" s="635">
        <v>0.06</v>
      </c>
      <c r="H999" s="635">
        <v>0.06</v>
      </c>
      <c r="I999" s="635">
        <v>0.06</v>
      </c>
      <c r="J999" s="635">
        <v>0.06</v>
      </c>
      <c r="K999" s="635">
        <v>0.06</v>
      </c>
      <c r="L999" s="635">
        <v>0.06</v>
      </c>
      <c r="M999" s="635">
        <v>0.06</v>
      </c>
      <c r="N999" s="640">
        <v>0.06</v>
      </c>
      <c r="O999" s="640">
        <v>0.06</v>
      </c>
    </row>
    <row r="1000" s="597" customFormat="1" spans="1:15">
      <c r="A1000" s="618"/>
      <c r="B1000" s="675" t="s">
        <v>1173</v>
      </c>
      <c r="C1000" s="597">
        <v>0.07</v>
      </c>
      <c r="D1000" s="635">
        <v>0.07</v>
      </c>
      <c r="E1000" s="635">
        <v>0.07</v>
      </c>
      <c r="F1000" s="635">
        <v>0.07</v>
      </c>
      <c r="G1000" s="635">
        <v>0.07</v>
      </c>
      <c r="H1000" s="635">
        <v>0.07</v>
      </c>
      <c r="I1000" s="635">
        <v>0.07</v>
      </c>
      <c r="J1000" s="635">
        <v>0.07</v>
      </c>
      <c r="K1000" s="635">
        <v>0.07</v>
      </c>
      <c r="L1000" s="635">
        <v>0.07</v>
      </c>
      <c r="M1000" s="635">
        <v>0.07</v>
      </c>
      <c r="N1000" s="640">
        <v>0.07</v>
      </c>
      <c r="O1000" s="640">
        <v>0.07</v>
      </c>
    </row>
    <row r="1001" s="597" customFormat="1" spans="1:15">
      <c r="A1001" s="618"/>
      <c r="B1001" s="675" t="s">
        <v>1174</v>
      </c>
      <c r="C1001" s="597">
        <v>0.08</v>
      </c>
      <c r="D1001" s="635">
        <v>0.08</v>
      </c>
      <c r="E1001" s="635">
        <v>0.08</v>
      </c>
      <c r="F1001" s="635">
        <v>0.08</v>
      </c>
      <c r="G1001" s="635">
        <v>0.08</v>
      </c>
      <c r="H1001" s="635">
        <v>0.08</v>
      </c>
      <c r="I1001" s="635">
        <v>0.08</v>
      </c>
      <c r="J1001" s="635">
        <v>0.08</v>
      </c>
      <c r="K1001" s="635">
        <v>0.08</v>
      </c>
      <c r="L1001" s="635">
        <v>0.08</v>
      </c>
      <c r="M1001" s="635">
        <v>0.08</v>
      </c>
      <c r="N1001" s="640">
        <v>0.08</v>
      </c>
      <c r="O1001" s="640">
        <v>0.08</v>
      </c>
    </row>
    <row r="1002" s="597" customFormat="1" spans="1:15">
      <c r="A1002" s="618"/>
      <c r="B1002" s="675" t="s">
        <v>1175</v>
      </c>
      <c r="C1002" s="597">
        <v>0.1</v>
      </c>
      <c r="D1002" s="635">
        <v>0.1</v>
      </c>
      <c r="E1002" s="635">
        <v>0.1</v>
      </c>
      <c r="F1002" s="635">
        <v>0.1</v>
      </c>
      <c r="G1002" s="635">
        <v>0.1</v>
      </c>
      <c r="H1002" s="635">
        <v>0.1</v>
      </c>
      <c r="I1002" s="635">
        <v>0.1</v>
      </c>
      <c r="J1002" s="635">
        <v>0.1</v>
      </c>
      <c r="K1002" s="635">
        <v>0.1</v>
      </c>
      <c r="L1002" s="635">
        <v>0.1</v>
      </c>
      <c r="M1002" s="635">
        <v>0.1</v>
      </c>
      <c r="N1002" s="640">
        <v>0.1</v>
      </c>
      <c r="O1002" s="640">
        <v>0.1</v>
      </c>
    </row>
    <row r="1003" s="597" customFormat="1" spans="1:15">
      <c r="A1003" s="618"/>
      <c r="B1003" s="675" t="s">
        <v>1176</v>
      </c>
      <c r="C1003" s="597">
        <v>0.1</v>
      </c>
      <c r="D1003" s="635">
        <v>0.1</v>
      </c>
      <c r="E1003" s="635">
        <v>0.1</v>
      </c>
      <c r="F1003" s="635">
        <v>0.1</v>
      </c>
      <c r="G1003" s="635">
        <v>0.1</v>
      </c>
      <c r="H1003" s="635">
        <v>0.1</v>
      </c>
      <c r="I1003" s="635">
        <v>0.1</v>
      </c>
      <c r="J1003" s="635">
        <v>0.1</v>
      </c>
      <c r="K1003" s="635">
        <v>0.1</v>
      </c>
      <c r="L1003" s="635">
        <v>0.1</v>
      </c>
      <c r="M1003" s="635">
        <v>0.1</v>
      </c>
      <c r="N1003" s="640">
        <v>0.1</v>
      </c>
      <c r="O1003" s="640">
        <v>0.1</v>
      </c>
    </row>
    <row r="1004" s="597" customFormat="1" spans="1:15">
      <c r="A1004" s="618"/>
      <c r="B1004" s="675" t="s">
        <v>1177</v>
      </c>
      <c r="C1004" s="597">
        <v>0.12</v>
      </c>
      <c r="D1004" s="635">
        <v>0.12</v>
      </c>
      <c r="E1004" s="635">
        <v>0.12</v>
      </c>
      <c r="F1004" s="635">
        <v>0.12</v>
      </c>
      <c r="G1004" s="635">
        <v>0.12</v>
      </c>
      <c r="H1004" s="635">
        <v>0.12</v>
      </c>
      <c r="I1004" s="635">
        <v>0.12</v>
      </c>
      <c r="J1004" s="635">
        <v>0.12</v>
      </c>
      <c r="K1004" s="635">
        <v>0.12</v>
      </c>
      <c r="L1004" s="635">
        <v>0.12</v>
      </c>
      <c r="M1004" s="635">
        <v>0.12</v>
      </c>
      <c r="N1004" s="640">
        <v>0.12</v>
      </c>
      <c r="O1004" s="640">
        <v>0.12</v>
      </c>
    </row>
    <row r="1005" s="597" customFormat="1" spans="1:15">
      <c r="A1005" s="618"/>
      <c r="B1005" s="675" t="s">
        <v>1178</v>
      </c>
      <c r="C1005" s="597">
        <v>0.12</v>
      </c>
      <c r="D1005" s="635">
        <v>0.12</v>
      </c>
      <c r="E1005" s="635">
        <v>0.12</v>
      </c>
      <c r="F1005" s="635">
        <v>0.12</v>
      </c>
      <c r="G1005" s="635">
        <v>0.12</v>
      </c>
      <c r="H1005" s="635">
        <v>0.12</v>
      </c>
      <c r="I1005" s="635">
        <v>0.12</v>
      </c>
      <c r="J1005" s="635">
        <v>0.12</v>
      </c>
      <c r="K1005" s="635">
        <v>0.12</v>
      </c>
      <c r="L1005" s="635">
        <v>0.12</v>
      </c>
      <c r="M1005" s="635">
        <v>0.12</v>
      </c>
      <c r="N1005" s="640">
        <v>0.12</v>
      </c>
      <c r="O1005" s="640">
        <v>0.12</v>
      </c>
    </row>
    <row r="1006" s="597" customFormat="1" spans="1:15">
      <c r="A1006" s="618"/>
      <c r="B1006" s="675" t="s">
        <v>1179</v>
      </c>
      <c r="C1006" s="597">
        <v>0.11</v>
      </c>
      <c r="D1006" s="635">
        <v>0.11</v>
      </c>
      <c r="E1006" s="635">
        <v>0.11</v>
      </c>
      <c r="F1006" s="635">
        <v>0.11</v>
      </c>
      <c r="G1006" s="635">
        <v>0.11</v>
      </c>
      <c r="H1006" s="635">
        <v>0.11</v>
      </c>
      <c r="I1006" s="635">
        <v>0.11</v>
      </c>
      <c r="J1006" s="635">
        <v>0.11</v>
      </c>
      <c r="K1006" s="635">
        <v>0.11</v>
      </c>
      <c r="L1006" s="635">
        <v>0.11</v>
      </c>
      <c r="M1006" s="635">
        <v>0.11</v>
      </c>
      <c r="N1006" s="640">
        <v>0.11</v>
      </c>
      <c r="O1006" s="640">
        <v>0.11</v>
      </c>
    </row>
    <row r="1007" s="597" customFormat="1" spans="1:15">
      <c r="A1007" s="618"/>
      <c r="B1007" s="675" t="s">
        <v>1180</v>
      </c>
      <c r="C1007" s="597">
        <v>0.07</v>
      </c>
      <c r="D1007" s="635">
        <v>0.07</v>
      </c>
      <c r="E1007" s="635">
        <v>0.07</v>
      </c>
      <c r="F1007" s="635">
        <v>0.07</v>
      </c>
      <c r="G1007" s="635">
        <v>0.07</v>
      </c>
      <c r="H1007" s="635">
        <v>0.07</v>
      </c>
      <c r="I1007" s="635">
        <v>0.07</v>
      </c>
      <c r="J1007" s="635">
        <v>0.07</v>
      </c>
      <c r="K1007" s="635">
        <v>0.07</v>
      </c>
      <c r="L1007" s="635">
        <v>0.07</v>
      </c>
      <c r="M1007" s="635">
        <v>0.07</v>
      </c>
      <c r="N1007" s="640">
        <v>0.07</v>
      </c>
      <c r="O1007" s="640">
        <v>0.07</v>
      </c>
    </row>
    <row r="1008" s="597" customFormat="1" spans="1:15">
      <c r="A1008" s="618"/>
      <c r="B1008" s="675" t="s">
        <v>1181</v>
      </c>
      <c r="C1008" s="597">
        <v>0.07</v>
      </c>
      <c r="D1008" s="635">
        <v>0.07</v>
      </c>
      <c r="E1008" s="635">
        <v>0.07</v>
      </c>
      <c r="F1008" s="635">
        <v>0.07</v>
      </c>
      <c r="G1008" s="635">
        <v>0.07</v>
      </c>
      <c r="H1008" s="635">
        <v>0.07</v>
      </c>
      <c r="I1008" s="635">
        <v>0.07</v>
      </c>
      <c r="J1008" s="635">
        <v>0.07</v>
      </c>
      <c r="K1008" s="635">
        <v>0.07</v>
      </c>
      <c r="L1008" s="635">
        <v>0.07</v>
      </c>
      <c r="M1008" s="635">
        <v>0.07</v>
      </c>
      <c r="N1008" s="640">
        <v>0.07</v>
      </c>
      <c r="O1008" s="640">
        <v>0.07</v>
      </c>
    </row>
    <row r="1009" s="597" customFormat="1" spans="1:15">
      <c r="A1009" s="618"/>
      <c r="B1009" s="675" t="s">
        <v>1182</v>
      </c>
      <c r="C1009" s="597">
        <v>0.05</v>
      </c>
      <c r="D1009" s="635">
        <v>0.05</v>
      </c>
      <c r="E1009" s="635">
        <v>0.05</v>
      </c>
      <c r="F1009" s="635">
        <v>0.05</v>
      </c>
      <c r="G1009" s="635">
        <v>0.05</v>
      </c>
      <c r="H1009" s="635">
        <v>0.05</v>
      </c>
      <c r="I1009" s="635">
        <v>0.05</v>
      </c>
      <c r="J1009" s="635">
        <v>0.05</v>
      </c>
      <c r="K1009" s="635">
        <v>0.05</v>
      </c>
      <c r="L1009" s="635">
        <v>0.05</v>
      </c>
      <c r="M1009" s="635">
        <v>0.05</v>
      </c>
      <c r="N1009" s="640">
        <v>0.05</v>
      </c>
      <c r="O1009" s="640">
        <v>0.05</v>
      </c>
    </row>
    <row r="1010" s="597" customFormat="1" spans="1:15">
      <c r="A1010" s="618"/>
      <c r="B1010" s="675" t="s">
        <v>1183</v>
      </c>
      <c r="C1010" s="597">
        <v>0.05</v>
      </c>
      <c r="D1010" s="635">
        <v>0.05</v>
      </c>
      <c r="E1010" s="635">
        <v>0.05</v>
      </c>
      <c r="F1010" s="635">
        <v>0.05</v>
      </c>
      <c r="G1010" s="635">
        <v>0.05</v>
      </c>
      <c r="H1010" s="635">
        <v>0.05</v>
      </c>
      <c r="I1010" s="635">
        <v>0.05</v>
      </c>
      <c r="J1010" s="635">
        <v>0.05</v>
      </c>
      <c r="K1010" s="635">
        <v>0.05</v>
      </c>
      <c r="L1010" s="635">
        <v>0.05</v>
      </c>
      <c r="M1010" s="635">
        <v>0.05</v>
      </c>
      <c r="N1010" s="640">
        <v>0.05</v>
      </c>
      <c r="O1010" s="640">
        <v>0.05</v>
      </c>
    </row>
    <row r="1011" s="597" customFormat="1" spans="1:15">
      <c r="A1011" s="618"/>
      <c r="B1011" s="675" t="s">
        <v>1184</v>
      </c>
      <c r="C1011" s="597">
        <v>0.06</v>
      </c>
      <c r="D1011" s="635">
        <v>0.06</v>
      </c>
      <c r="E1011" s="635">
        <v>0.06</v>
      </c>
      <c r="F1011" s="635">
        <v>0.06</v>
      </c>
      <c r="G1011" s="635">
        <v>0.06</v>
      </c>
      <c r="H1011" s="635">
        <v>0.06</v>
      </c>
      <c r="I1011" s="635">
        <v>0.06</v>
      </c>
      <c r="J1011" s="635">
        <v>0.06</v>
      </c>
      <c r="K1011" s="635">
        <v>0.06</v>
      </c>
      <c r="L1011" s="635">
        <v>0.06</v>
      </c>
      <c r="M1011" s="635">
        <v>0.06</v>
      </c>
      <c r="N1011" s="640">
        <v>0.06</v>
      </c>
      <c r="O1011" s="640">
        <v>0.06</v>
      </c>
    </row>
    <row r="1012" s="597" customFormat="1" spans="1:15">
      <c r="A1012" s="618"/>
      <c r="B1012" s="675" t="s">
        <v>1185</v>
      </c>
      <c r="C1012" s="597">
        <v>0.07</v>
      </c>
      <c r="D1012" s="635">
        <v>0.07</v>
      </c>
      <c r="E1012" s="635">
        <v>0.07</v>
      </c>
      <c r="F1012" s="635">
        <v>0.07</v>
      </c>
      <c r="G1012" s="635">
        <v>0.07</v>
      </c>
      <c r="H1012" s="635">
        <v>0.07</v>
      </c>
      <c r="I1012" s="635">
        <v>0.07</v>
      </c>
      <c r="J1012" s="635">
        <v>0.07</v>
      </c>
      <c r="K1012" s="635">
        <v>0.07</v>
      </c>
      <c r="L1012" s="635">
        <v>0.07</v>
      </c>
      <c r="M1012" s="635">
        <v>0.07</v>
      </c>
      <c r="N1012" s="640">
        <v>0.07</v>
      </c>
      <c r="O1012" s="640">
        <v>0.07</v>
      </c>
    </row>
    <row r="1013" s="597" customFormat="1" spans="1:15">
      <c r="A1013" s="618"/>
      <c r="B1013" s="675" t="s">
        <v>1186</v>
      </c>
      <c r="C1013" s="597">
        <v>0.08</v>
      </c>
      <c r="D1013" s="635">
        <v>0.08</v>
      </c>
      <c r="E1013" s="635">
        <v>0.08</v>
      </c>
      <c r="F1013" s="635">
        <v>0.08</v>
      </c>
      <c r="G1013" s="635">
        <v>0.08</v>
      </c>
      <c r="H1013" s="635">
        <v>0.08</v>
      </c>
      <c r="I1013" s="635">
        <v>0.08</v>
      </c>
      <c r="J1013" s="635">
        <v>0.08</v>
      </c>
      <c r="K1013" s="635">
        <v>0.08</v>
      </c>
      <c r="L1013" s="635">
        <v>0.08</v>
      </c>
      <c r="M1013" s="635">
        <v>0.08</v>
      </c>
      <c r="N1013" s="640">
        <v>0.08</v>
      </c>
      <c r="O1013" s="640">
        <v>0.08</v>
      </c>
    </row>
    <row r="1014" s="597" customFormat="1" spans="1:15">
      <c r="A1014" s="618"/>
      <c r="B1014" s="675" t="s">
        <v>1187</v>
      </c>
      <c r="C1014" s="597">
        <v>0.1</v>
      </c>
      <c r="D1014" s="635">
        <v>0.1</v>
      </c>
      <c r="E1014" s="635">
        <v>0.1</v>
      </c>
      <c r="F1014" s="635">
        <v>0.1</v>
      </c>
      <c r="G1014" s="635">
        <v>0.1</v>
      </c>
      <c r="H1014" s="635">
        <v>0.1</v>
      </c>
      <c r="I1014" s="635">
        <v>0.1</v>
      </c>
      <c r="J1014" s="635">
        <v>0.1</v>
      </c>
      <c r="K1014" s="635">
        <v>0.1</v>
      </c>
      <c r="L1014" s="635">
        <v>0.1</v>
      </c>
      <c r="M1014" s="635">
        <v>0.1</v>
      </c>
      <c r="N1014" s="640">
        <v>0.1</v>
      </c>
      <c r="O1014" s="640">
        <v>0.1</v>
      </c>
    </row>
    <row r="1015" s="597" customFormat="1" spans="1:15">
      <c r="A1015" s="618"/>
      <c r="B1015" s="675" t="s">
        <v>1188</v>
      </c>
      <c r="C1015" s="597">
        <v>0.1</v>
      </c>
      <c r="D1015" s="635">
        <v>0.1</v>
      </c>
      <c r="E1015" s="635">
        <v>0.1</v>
      </c>
      <c r="F1015" s="635">
        <v>0.1</v>
      </c>
      <c r="G1015" s="635">
        <v>0.1</v>
      </c>
      <c r="H1015" s="635">
        <v>0.1</v>
      </c>
      <c r="I1015" s="635">
        <v>0.1</v>
      </c>
      <c r="J1015" s="635">
        <v>0.1</v>
      </c>
      <c r="K1015" s="635">
        <v>0.1</v>
      </c>
      <c r="L1015" s="635">
        <v>0.1</v>
      </c>
      <c r="M1015" s="635">
        <v>0.1</v>
      </c>
      <c r="N1015" s="640">
        <v>0.1</v>
      </c>
      <c r="O1015" s="640">
        <v>0.1</v>
      </c>
    </row>
    <row r="1016" s="597" customFormat="1" spans="1:15">
      <c r="A1016" s="618"/>
      <c r="B1016" s="675" t="s">
        <v>1189</v>
      </c>
      <c r="C1016" s="597">
        <v>0.12</v>
      </c>
      <c r="D1016" s="635">
        <v>0.12</v>
      </c>
      <c r="E1016" s="635">
        <v>0.12</v>
      </c>
      <c r="F1016" s="635">
        <v>0.12</v>
      </c>
      <c r="G1016" s="635">
        <v>0.12</v>
      </c>
      <c r="H1016" s="635">
        <v>0.12</v>
      </c>
      <c r="I1016" s="635">
        <v>0.12</v>
      </c>
      <c r="J1016" s="635">
        <v>0.12</v>
      </c>
      <c r="K1016" s="635">
        <v>0.12</v>
      </c>
      <c r="L1016" s="635">
        <v>0.12</v>
      </c>
      <c r="M1016" s="635">
        <v>0.12</v>
      </c>
      <c r="N1016" s="640">
        <v>0.12</v>
      </c>
      <c r="O1016" s="640">
        <v>0.12</v>
      </c>
    </row>
    <row r="1017" s="597" customFormat="1" spans="1:15">
      <c r="A1017" s="618"/>
      <c r="B1017" s="675" t="s">
        <v>1190</v>
      </c>
      <c r="C1017" s="597">
        <v>0.12</v>
      </c>
      <c r="D1017" s="635">
        <v>0.12</v>
      </c>
      <c r="E1017" s="635">
        <v>0.12</v>
      </c>
      <c r="F1017" s="635">
        <v>0.12</v>
      </c>
      <c r="G1017" s="635">
        <v>0.12</v>
      </c>
      <c r="H1017" s="635">
        <v>0.12</v>
      </c>
      <c r="I1017" s="635">
        <v>0.12</v>
      </c>
      <c r="J1017" s="635">
        <v>0.12</v>
      </c>
      <c r="K1017" s="635">
        <v>0.12</v>
      </c>
      <c r="L1017" s="635">
        <v>0.12</v>
      </c>
      <c r="M1017" s="635">
        <v>0.12</v>
      </c>
      <c r="N1017" s="640">
        <v>0.12</v>
      </c>
      <c r="O1017" s="640">
        <v>0.12</v>
      </c>
    </row>
    <row r="1018" s="597" customFormat="1" spans="1:15">
      <c r="A1018" s="618"/>
      <c r="B1018" s="675" t="s">
        <v>1191</v>
      </c>
      <c r="C1018" s="597">
        <v>0.11</v>
      </c>
      <c r="D1018" s="635">
        <v>0.11</v>
      </c>
      <c r="E1018" s="635">
        <v>0.11</v>
      </c>
      <c r="F1018" s="635">
        <v>0.11</v>
      </c>
      <c r="G1018" s="635">
        <v>0.11</v>
      </c>
      <c r="H1018" s="635">
        <v>0.11</v>
      </c>
      <c r="I1018" s="635">
        <v>0.11</v>
      </c>
      <c r="J1018" s="635">
        <v>0.11</v>
      </c>
      <c r="K1018" s="635">
        <v>0.11</v>
      </c>
      <c r="L1018" s="635">
        <v>0.11</v>
      </c>
      <c r="M1018" s="635">
        <v>0.11</v>
      </c>
      <c r="N1018" s="640">
        <v>0.11</v>
      </c>
      <c r="O1018" s="640">
        <v>0.11</v>
      </c>
    </row>
    <row r="1019" s="597" customFormat="1" spans="1:15">
      <c r="A1019" s="618"/>
      <c r="B1019" s="675" t="s">
        <v>1192</v>
      </c>
      <c r="C1019" s="597">
        <v>0.07</v>
      </c>
      <c r="D1019" s="635">
        <v>0.07</v>
      </c>
      <c r="E1019" s="635">
        <v>0.07</v>
      </c>
      <c r="F1019" s="635">
        <v>0.07</v>
      </c>
      <c r="G1019" s="635">
        <v>0.07</v>
      </c>
      <c r="H1019" s="635">
        <v>0.07</v>
      </c>
      <c r="I1019" s="635">
        <v>0.07</v>
      </c>
      <c r="J1019" s="635">
        <v>0.07</v>
      </c>
      <c r="K1019" s="635">
        <v>0.07</v>
      </c>
      <c r="L1019" s="635">
        <v>0.07</v>
      </c>
      <c r="M1019" s="635">
        <v>0.07</v>
      </c>
      <c r="N1019" s="640">
        <v>0.07</v>
      </c>
      <c r="O1019" s="640">
        <v>0.07</v>
      </c>
    </row>
    <row r="1020" s="597" customFormat="1" spans="1:15">
      <c r="A1020" s="618"/>
      <c r="B1020" s="675" t="s">
        <v>1193</v>
      </c>
      <c r="C1020" s="597">
        <v>0.07</v>
      </c>
      <c r="D1020" s="635">
        <v>0.07</v>
      </c>
      <c r="E1020" s="635">
        <v>0.07</v>
      </c>
      <c r="F1020" s="635">
        <v>0.07</v>
      </c>
      <c r="G1020" s="635">
        <v>0.07</v>
      </c>
      <c r="H1020" s="635">
        <v>0.07</v>
      </c>
      <c r="I1020" s="635">
        <v>0.07</v>
      </c>
      <c r="J1020" s="635">
        <v>0.07</v>
      </c>
      <c r="K1020" s="635">
        <v>0.07</v>
      </c>
      <c r="L1020" s="635">
        <v>0.07</v>
      </c>
      <c r="M1020" s="635">
        <v>0.07</v>
      </c>
      <c r="N1020" s="640">
        <v>0.07</v>
      </c>
      <c r="O1020" s="640">
        <v>0.07</v>
      </c>
    </row>
    <row r="1021" s="597" customFormat="1" spans="1:15">
      <c r="A1021" s="618"/>
      <c r="B1021" s="675" t="s">
        <v>1194</v>
      </c>
      <c r="C1021" s="597">
        <v>0.05</v>
      </c>
      <c r="D1021" s="635">
        <v>0.05</v>
      </c>
      <c r="E1021" s="635">
        <v>0.05</v>
      </c>
      <c r="F1021" s="635">
        <v>0.05</v>
      </c>
      <c r="G1021" s="635">
        <v>0.05</v>
      </c>
      <c r="H1021" s="635">
        <v>0.05</v>
      </c>
      <c r="I1021" s="635">
        <v>0.05</v>
      </c>
      <c r="J1021" s="635">
        <v>0.05</v>
      </c>
      <c r="K1021" s="635">
        <v>0.05</v>
      </c>
      <c r="L1021" s="635">
        <v>0.05</v>
      </c>
      <c r="M1021" s="635">
        <v>0.05</v>
      </c>
      <c r="N1021" s="640">
        <v>0.05</v>
      </c>
      <c r="O1021" s="640">
        <v>0.05</v>
      </c>
    </row>
    <row r="1022" s="597" customFormat="1" spans="1:15">
      <c r="A1022" s="618"/>
      <c r="B1022" s="675" t="s">
        <v>1195</v>
      </c>
      <c r="C1022" s="597">
        <v>0.05</v>
      </c>
      <c r="D1022" s="635">
        <v>0.05</v>
      </c>
      <c r="E1022" s="635">
        <v>0.05</v>
      </c>
      <c r="F1022" s="635">
        <v>0.05</v>
      </c>
      <c r="G1022" s="635">
        <v>0.05</v>
      </c>
      <c r="H1022" s="635">
        <v>0.05</v>
      </c>
      <c r="I1022" s="635">
        <v>0.05</v>
      </c>
      <c r="J1022" s="635">
        <v>0.05</v>
      </c>
      <c r="K1022" s="635">
        <v>0.05</v>
      </c>
      <c r="L1022" s="635">
        <v>0.05</v>
      </c>
      <c r="M1022" s="635">
        <v>0.05</v>
      </c>
      <c r="N1022" s="640">
        <v>0.05</v>
      </c>
      <c r="O1022" s="640">
        <v>0.05</v>
      </c>
    </row>
    <row r="1023" s="597" customFormat="1" spans="1:15">
      <c r="A1023" s="618"/>
      <c r="B1023" s="675" t="s">
        <v>1196</v>
      </c>
      <c r="C1023" s="597">
        <v>0.06</v>
      </c>
      <c r="D1023" s="635">
        <v>0.06</v>
      </c>
      <c r="E1023" s="635">
        <v>0.06</v>
      </c>
      <c r="F1023" s="635">
        <v>0.06</v>
      </c>
      <c r="G1023" s="635">
        <v>0.06</v>
      </c>
      <c r="H1023" s="635">
        <v>0.06</v>
      </c>
      <c r="I1023" s="635">
        <v>0.06</v>
      </c>
      <c r="J1023" s="635">
        <v>0.06</v>
      </c>
      <c r="K1023" s="635">
        <v>0.06</v>
      </c>
      <c r="L1023" s="635">
        <v>0.06</v>
      </c>
      <c r="M1023" s="635">
        <v>0.06</v>
      </c>
      <c r="N1023" s="640">
        <v>0.06</v>
      </c>
      <c r="O1023" s="640">
        <v>0.06</v>
      </c>
    </row>
    <row r="1024" s="597" customFormat="1" spans="1:15">
      <c r="A1024" s="618"/>
      <c r="B1024" s="675" t="s">
        <v>1197</v>
      </c>
      <c r="C1024" s="597">
        <v>0.07</v>
      </c>
      <c r="D1024" s="635">
        <v>0.07</v>
      </c>
      <c r="E1024" s="635">
        <v>0.07</v>
      </c>
      <c r="F1024" s="635">
        <v>0.07</v>
      </c>
      <c r="G1024" s="635">
        <v>0.07</v>
      </c>
      <c r="H1024" s="635">
        <v>0.07</v>
      </c>
      <c r="I1024" s="635">
        <v>0.07</v>
      </c>
      <c r="J1024" s="635">
        <v>0.07</v>
      </c>
      <c r="K1024" s="635">
        <v>0.07</v>
      </c>
      <c r="L1024" s="635">
        <v>0.07</v>
      </c>
      <c r="M1024" s="635">
        <v>0.07</v>
      </c>
      <c r="N1024" s="640">
        <v>0.07</v>
      </c>
      <c r="O1024" s="640">
        <v>0.07</v>
      </c>
    </row>
    <row r="1025" s="597" customFormat="1" spans="1:15">
      <c r="A1025" s="618"/>
      <c r="B1025" s="675" t="s">
        <v>1198</v>
      </c>
      <c r="C1025" s="597">
        <v>0.08</v>
      </c>
      <c r="D1025" s="635">
        <v>0.08</v>
      </c>
      <c r="E1025" s="635">
        <v>0.08</v>
      </c>
      <c r="F1025" s="635">
        <v>0.08</v>
      </c>
      <c r="G1025" s="635">
        <v>0.08</v>
      </c>
      <c r="H1025" s="635">
        <v>0.08</v>
      </c>
      <c r="I1025" s="635">
        <v>0.08</v>
      </c>
      <c r="J1025" s="635">
        <v>0.08</v>
      </c>
      <c r="K1025" s="635">
        <v>0.08</v>
      </c>
      <c r="L1025" s="635">
        <v>0.08</v>
      </c>
      <c r="M1025" s="635">
        <v>0.08</v>
      </c>
      <c r="N1025" s="640">
        <v>0.08</v>
      </c>
      <c r="O1025" s="640">
        <v>0.08</v>
      </c>
    </row>
    <row r="1026" s="597" customFormat="1" spans="1:15">
      <c r="A1026" s="618"/>
      <c r="B1026" s="675" t="s">
        <v>1199</v>
      </c>
      <c r="C1026" s="597">
        <v>0.1</v>
      </c>
      <c r="D1026" s="635">
        <v>0.1</v>
      </c>
      <c r="E1026" s="635">
        <v>0.1</v>
      </c>
      <c r="F1026" s="635">
        <v>0.1</v>
      </c>
      <c r="G1026" s="635">
        <v>0.1</v>
      </c>
      <c r="H1026" s="635">
        <v>0.1</v>
      </c>
      <c r="I1026" s="635">
        <v>0.1</v>
      </c>
      <c r="J1026" s="635">
        <v>0.1</v>
      </c>
      <c r="K1026" s="635">
        <v>0.1</v>
      </c>
      <c r="L1026" s="635">
        <v>0.1</v>
      </c>
      <c r="M1026" s="635">
        <v>0.1</v>
      </c>
      <c r="N1026" s="640">
        <v>0.1</v>
      </c>
      <c r="O1026" s="640">
        <v>0.1</v>
      </c>
    </row>
    <row r="1027" s="597" customFormat="1" spans="1:15">
      <c r="A1027" s="618"/>
      <c r="B1027" s="675" t="s">
        <v>1200</v>
      </c>
      <c r="C1027" s="597">
        <v>0.1</v>
      </c>
      <c r="D1027" s="635">
        <v>0.1</v>
      </c>
      <c r="E1027" s="635">
        <v>0.1</v>
      </c>
      <c r="F1027" s="635">
        <v>0.1</v>
      </c>
      <c r="G1027" s="635">
        <v>0.1</v>
      </c>
      <c r="H1027" s="635">
        <v>0.1</v>
      </c>
      <c r="I1027" s="635">
        <v>0.1</v>
      </c>
      <c r="J1027" s="635">
        <v>0.1</v>
      </c>
      <c r="K1027" s="635">
        <v>0.1</v>
      </c>
      <c r="L1027" s="635">
        <v>0.1</v>
      </c>
      <c r="M1027" s="635">
        <v>0.1</v>
      </c>
      <c r="N1027" s="640">
        <v>0.1</v>
      </c>
      <c r="O1027" s="640">
        <v>0.1</v>
      </c>
    </row>
    <row r="1028" s="597" customFormat="1" spans="1:15">
      <c r="A1028" s="618"/>
      <c r="B1028" s="675" t="s">
        <v>1201</v>
      </c>
      <c r="C1028" s="597">
        <v>0.12</v>
      </c>
      <c r="D1028" s="635">
        <v>0.12</v>
      </c>
      <c r="E1028" s="635">
        <v>0.12</v>
      </c>
      <c r="F1028" s="635">
        <v>0.12</v>
      </c>
      <c r="G1028" s="635">
        <v>0.12</v>
      </c>
      <c r="H1028" s="635">
        <v>0.12</v>
      </c>
      <c r="I1028" s="635">
        <v>0.12</v>
      </c>
      <c r="J1028" s="635">
        <v>0.12</v>
      </c>
      <c r="K1028" s="635">
        <v>0.12</v>
      </c>
      <c r="L1028" s="635">
        <v>0.12</v>
      </c>
      <c r="M1028" s="635">
        <v>0.12</v>
      </c>
      <c r="N1028" s="640">
        <v>0.12</v>
      </c>
      <c r="O1028" s="640">
        <v>0.12</v>
      </c>
    </row>
    <row r="1029" s="597" customFormat="1" spans="1:15">
      <c r="A1029" s="618"/>
      <c r="B1029" s="675" t="s">
        <v>1202</v>
      </c>
      <c r="C1029" s="597">
        <v>0.12</v>
      </c>
      <c r="D1029" s="635">
        <v>0.12</v>
      </c>
      <c r="E1029" s="635">
        <v>0.12</v>
      </c>
      <c r="F1029" s="635">
        <v>0.12</v>
      </c>
      <c r="G1029" s="635">
        <v>0.12</v>
      </c>
      <c r="H1029" s="635">
        <v>0.12</v>
      </c>
      <c r="I1029" s="635">
        <v>0.12</v>
      </c>
      <c r="J1029" s="635">
        <v>0.12</v>
      </c>
      <c r="K1029" s="635">
        <v>0.12</v>
      </c>
      <c r="L1029" s="635">
        <v>0.12</v>
      </c>
      <c r="M1029" s="635">
        <v>0.12</v>
      </c>
      <c r="N1029" s="640">
        <v>0.12</v>
      </c>
      <c r="O1029" s="640">
        <v>0.12</v>
      </c>
    </row>
    <row r="1030" s="597" customFormat="1" spans="1:15">
      <c r="A1030" s="618"/>
      <c r="B1030" s="675" t="s">
        <v>1203</v>
      </c>
      <c r="C1030" s="597">
        <v>0.11</v>
      </c>
      <c r="D1030" s="635">
        <v>0.11</v>
      </c>
      <c r="E1030" s="635">
        <v>0.11</v>
      </c>
      <c r="F1030" s="635">
        <v>0.11</v>
      </c>
      <c r="G1030" s="635">
        <v>0.11</v>
      </c>
      <c r="H1030" s="635">
        <v>0.11</v>
      </c>
      <c r="I1030" s="635">
        <v>0.11</v>
      </c>
      <c r="J1030" s="635">
        <v>0.11</v>
      </c>
      <c r="K1030" s="635">
        <v>0.11</v>
      </c>
      <c r="L1030" s="635">
        <v>0.11</v>
      </c>
      <c r="M1030" s="635">
        <v>0.11</v>
      </c>
      <c r="N1030" s="640">
        <v>0.11</v>
      </c>
      <c r="O1030" s="640">
        <v>0.11</v>
      </c>
    </row>
    <row r="1031" s="597" customFormat="1" spans="1:15">
      <c r="A1031" s="618"/>
      <c r="B1031" s="675" t="s">
        <v>1204</v>
      </c>
      <c r="C1031" s="597">
        <v>0.07</v>
      </c>
      <c r="D1031" s="635">
        <v>0.07</v>
      </c>
      <c r="E1031" s="635">
        <v>0.07</v>
      </c>
      <c r="F1031" s="635">
        <v>0.07</v>
      </c>
      <c r="G1031" s="635">
        <v>0.07</v>
      </c>
      <c r="H1031" s="635">
        <v>0.07</v>
      </c>
      <c r="I1031" s="635">
        <v>0.07</v>
      </c>
      <c r="J1031" s="635">
        <v>0.07</v>
      </c>
      <c r="K1031" s="635">
        <v>0.07</v>
      </c>
      <c r="L1031" s="635">
        <v>0.07</v>
      </c>
      <c r="M1031" s="635">
        <v>0.07</v>
      </c>
      <c r="N1031" s="640">
        <v>0.07</v>
      </c>
      <c r="O1031" s="640">
        <v>0.07</v>
      </c>
    </row>
    <row r="1032" s="597" customFormat="1" spans="1:15">
      <c r="A1032" s="618"/>
      <c r="B1032" s="675" t="s">
        <v>1205</v>
      </c>
      <c r="C1032" s="597">
        <v>0.07</v>
      </c>
      <c r="D1032" s="635">
        <v>0.07</v>
      </c>
      <c r="E1032" s="635">
        <v>0.07</v>
      </c>
      <c r="F1032" s="635">
        <v>0.07</v>
      </c>
      <c r="G1032" s="635">
        <v>0.07</v>
      </c>
      <c r="H1032" s="635">
        <v>0.07</v>
      </c>
      <c r="I1032" s="635">
        <v>0.07</v>
      </c>
      <c r="J1032" s="635">
        <v>0.07</v>
      </c>
      <c r="K1032" s="635">
        <v>0.07</v>
      </c>
      <c r="L1032" s="635">
        <v>0.07</v>
      </c>
      <c r="M1032" s="635">
        <v>0.07</v>
      </c>
      <c r="N1032" s="640">
        <v>0.07</v>
      </c>
      <c r="O1032" s="640">
        <v>0.07</v>
      </c>
    </row>
    <row r="1033" s="597" customFormat="1" spans="1:15">
      <c r="A1033" s="618"/>
      <c r="B1033" s="675" t="s">
        <v>1206</v>
      </c>
      <c r="C1033" s="597">
        <v>0.05</v>
      </c>
      <c r="D1033" s="663">
        <v>0.03</v>
      </c>
      <c r="E1033" s="663">
        <v>0.03</v>
      </c>
      <c r="F1033" s="663">
        <v>0.03</v>
      </c>
      <c r="G1033" s="663">
        <v>0.03</v>
      </c>
      <c r="H1033" s="663">
        <v>0.03</v>
      </c>
      <c r="I1033" s="663">
        <v>0.03</v>
      </c>
      <c r="J1033" s="663">
        <v>0.03</v>
      </c>
      <c r="K1033" s="663">
        <v>0.03</v>
      </c>
      <c r="L1033" s="663">
        <v>0.03</v>
      </c>
      <c r="M1033" s="663">
        <v>0.03</v>
      </c>
      <c r="N1033" s="666">
        <v>0.03</v>
      </c>
      <c r="O1033" s="666">
        <v>0.03</v>
      </c>
    </row>
    <row r="1034" s="597" customFormat="1" spans="1:15">
      <c r="A1034" s="618"/>
      <c r="B1034" s="675" t="s">
        <v>1207</v>
      </c>
      <c r="C1034" s="597">
        <v>0.05</v>
      </c>
      <c r="D1034" s="663">
        <v>0.03</v>
      </c>
      <c r="E1034" s="663">
        <v>0.03</v>
      </c>
      <c r="F1034" s="663">
        <v>0.03</v>
      </c>
      <c r="G1034" s="663">
        <v>0.03</v>
      </c>
      <c r="H1034" s="663">
        <v>0.03</v>
      </c>
      <c r="I1034" s="663">
        <v>0.03</v>
      </c>
      <c r="J1034" s="663">
        <v>0.03</v>
      </c>
      <c r="K1034" s="663">
        <v>0.03</v>
      </c>
      <c r="L1034" s="663">
        <v>0.03</v>
      </c>
      <c r="M1034" s="663">
        <v>0.03</v>
      </c>
      <c r="N1034" s="666">
        <v>0.03</v>
      </c>
      <c r="O1034" s="666">
        <v>0.03</v>
      </c>
    </row>
    <row r="1035" s="597" customFormat="1" spans="1:15">
      <c r="A1035" s="618"/>
      <c r="B1035" s="675" t="s">
        <v>1208</v>
      </c>
      <c r="C1035" s="597">
        <v>0.06</v>
      </c>
      <c r="D1035" s="663">
        <v>0.03</v>
      </c>
      <c r="E1035" s="663">
        <v>0.03</v>
      </c>
      <c r="F1035" s="663">
        <v>0.03</v>
      </c>
      <c r="G1035" s="663">
        <v>0.03</v>
      </c>
      <c r="H1035" s="663">
        <v>0.03</v>
      </c>
      <c r="I1035" s="663">
        <v>0.03</v>
      </c>
      <c r="J1035" s="663">
        <v>0.03</v>
      </c>
      <c r="K1035" s="663">
        <v>0.03</v>
      </c>
      <c r="L1035" s="663">
        <v>0.03</v>
      </c>
      <c r="M1035" s="663">
        <v>0.03</v>
      </c>
      <c r="N1035" s="666">
        <v>0.03</v>
      </c>
      <c r="O1035" s="666">
        <v>0.03</v>
      </c>
    </row>
    <row r="1036" s="597" customFormat="1" spans="1:15">
      <c r="A1036" s="618"/>
      <c r="B1036" s="675" t="s">
        <v>1209</v>
      </c>
      <c r="C1036" s="597">
        <v>0.07</v>
      </c>
      <c r="D1036" s="663">
        <v>0.11</v>
      </c>
      <c r="E1036" s="663">
        <v>0.11</v>
      </c>
      <c r="F1036" s="663">
        <v>0.11</v>
      </c>
      <c r="G1036" s="663">
        <v>0.11</v>
      </c>
      <c r="H1036" s="663">
        <v>0.11</v>
      </c>
      <c r="I1036" s="663">
        <v>0.11</v>
      </c>
      <c r="J1036" s="663">
        <v>0.11</v>
      </c>
      <c r="K1036" s="663">
        <v>0.11</v>
      </c>
      <c r="L1036" s="663">
        <v>0.11</v>
      </c>
      <c r="M1036" s="663">
        <v>0.11</v>
      </c>
      <c r="N1036" s="666">
        <v>0.11</v>
      </c>
      <c r="O1036" s="666">
        <v>0.11</v>
      </c>
    </row>
    <row r="1037" s="597" customFormat="1" spans="1:15">
      <c r="A1037" s="618"/>
      <c r="B1037" s="675" t="s">
        <v>1210</v>
      </c>
      <c r="C1037" s="597">
        <v>0.08</v>
      </c>
      <c r="D1037" s="663">
        <v>0.11</v>
      </c>
      <c r="E1037" s="663">
        <v>0.11</v>
      </c>
      <c r="F1037" s="663">
        <v>0.11</v>
      </c>
      <c r="G1037" s="663">
        <v>0.11</v>
      </c>
      <c r="H1037" s="663">
        <v>0.11</v>
      </c>
      <c r="I1037" s="663">
        <v>0.11</v>
      </c>
      <c r="J1037" s="663">
        <v>0.11</v>
      </c>
      <c r="K1037" s="663">
        <v>0.11</v>
      </c>
      <c r="L1037" s="663">
        <v>0.11</v>
      </c>
      <c r="M1037" s="663">
        <v>0.11</v>
      </c>
      <c r="N1037" s="666">
        <v>0.11</v>
      </c>
      <c r="O1037" s="666">
        <v>0.11</v>
      </c>
    </row>
    <row r="1038" s="597" customFormat="1" spans="1:15">
      <c r="A1038" s="618"/>
      <c r="B1038" s="675" t="s">
        <v>1211</v>
      </c>
      <c r="C1038" s="597">
        <v>0.1</v>
      </c>
      <c r="D1038" s="663">
        <v>0.14</v>
      </c>
      <c r="E1038" s="663">
        <v>0.14</v>
      </c>
      <c r="F1038" s="663">
        <v>0.14</v>
      </c>
      <c r="G1038" s="663">
        <v>0.14</v>
      </c>
      <c r="H1038" s="663">
        <v>0.14</v>
      </c>
      <c r="I1038" s="663">
        <v>0.14</v>
      </c>
      <c r="J1038" s="663">
        <v>0.14</v>
      </c>
      <c r="K1038" s="663">
        <v>0.14</v>
      </c>
      <c r="L1038" s="663">
        <v>0.14</v>
      </c>
      <c r="M1038" s="663">
        <v>0.14</v>
      </c>
      <c r="N1038" s="666">
        <v>0.14</v>
      </c>
      <c r="O1038" s="666">
        <v>0.14</v>
      </c>
    </row>
    <row r="1039" s="597" customFormat="1" spans="1:15">
      <c r="A1039" s="618"/>
      <c r="B1039" s="675" t="s">
        <v>1212</v>
      </c>
      <c r="C1039" s="597">
        <v>0.1</v>
      </c>
      <c r="D1039" s="663">
        <v>0.14</v>
      </c>
      <c r="E1039" s="663">
        <v>0.14</v>
      </c>
      <c r="F1039" s="663">
        <v>0.14</v>
      </c>
      <c r="G1039" s="663">
        <v>0.14</v>
      </c>
      <c r="H1039" s="663">
        <v>0.14</v>
      </c>
      <c r="I1039" s="663">
        <v>0.14</v>
      </c>
      <c r="J1039" s="663">
        <v>0.14</v>
      </c>
      <c r="K1039" s="663">
        <v>0.14</v>
      </c>
      <c r="L1039" s="663">
        <v>0.14</v>
      </c>
      <c r="M1039" s="663">
        <v>0.14</v>
      </c>
      <c r="N1039" s="666">
        <v>0.14</v>
      </c>
      <c r="O1039" s="666">
        <v>0.14</v>
      </c>
    </row>
    <row r="1040" s="597" customFormat="1" spans="1:15">
      <c r="A1040" s="618"/>
      <c r="B1040" s="675" t="s">
        <v>1213</v>
      </c>
      <c r="C1040" s="597">
        <v>0.12</v>
      </c>
      <c r="D1040" s="635">
        <v>0.12</v>
      </c>
      <c r="E1040" s="635">
        <v>0.12</v>
      </c>
      <c r="F1040" s="635">
        <v>0.12</v>
      </c>
      <c r="G1040" s="635">
        <v>0.12</v>
      </c>
      <c r="H1040" s="635">
        <v>0.12</v>
      </c>
      <c r="I1040" s="635">
        <v>0.12</v>
      </c>
      <c r="J1040" s="635">
        <v>0.12</v>
      </c>
      <c r="K1040" s="635">
        <v>0.12</v>
      </c>
      <c r="L1040" s="635">
        <v>0.12</v>
      </c>
      <c r="M1040" s="635">
        <v>0.12</v>
      </c>
      <c r="N1040" s="640">
        <v>0.12</v>
      </c>
      <c r="O1040" s="640">
        <v>0.12</v>
      </c>
    </row>
    <row r="1041" s="597" customFormat="1" spans="1:15">
      <c r="A1041" s="618"/>
      <c r="B1041" s="675" t="s">
        <v>1214</v>
      </c>
      <c r="C1041" s="597">
        <v>0.12</v>
      </c>
      <c r="D1041" s="635">
        <v>0.12</v>
      </c>
      <c r="E1041" s="635">
        <v>0.12</v>
      </c>
      <c r="F1041" s="635">
        <v>0.12</v>
      </c>
      <c r="G1041" s="635">
        <v>0.12</v>
      </c>
      <c r="H1041" s="635">
        <v>0.12</v>
      </c>
      <c r="I1041" s="635">
        <v>0.12</v>
      </c>
      <c r="J1041" s="635">
        <v>0.12</v>
      </c>
      <c r="K1041" s="635">
        <v>0.12</v>
      </c>
      <c r="L1041" s="635">
        <v>0.12</v>
      </c>
      <c r="M1041" s="635">
        <v>0.12</v>
      </c>
      <c r="N1041" s="640">
        <v>0.12</v>
      </c>
      <c r="O1041" s="640">
        <v>0.12</v>
      </c>
    </row>
    <row r="1042" s="597" customFormat="1" spans="1:15">
      <c r="A1042" s="618"/>
      <c r="B1042" s="675" t="s">
        <v>1215</v>
      </c>
      <c r="C1042" s="597">
        <v>0.11</v>
      </c>
      <c r="D1042" s="635">
        <v>0.11</v>
      </c>
      <c r="E1042" s="635">
        <v>0.11</v>
      </c>
      <c r="F1042" s="635">
        <v>0.11</v>
      </c>
      <c r="G1042" s="635">
        <v>0.11</v>
      </c>
      <c r="H1042" s="635">
        <v>0.11</v>
      </c>
      <c r="I1042" s="635">
        <v>0.11</v>
      </c>
      <c r="J1042" s="635">
        <v>0.11</v>
      </c>
      <c r="K1042" s="635">
        <v>0.11</v>
      </c>
      <c r="L1042" s="635">
        <v>0.11</v>
      </c>
      <c r="M1042" s="635">
        <v>0.11</v>
      </c>
      <c r="N1042" s="640">
        <v>0.11</v>
      </c>
      <c r="O1042" s="640">
        <v>0.11</v>
      </c>
    </row>
    <row r="1043" s="597" customFormat="1" spans="1:15">
      <c r="A1043" s="618"/>
      <c r="B1043" s="675" t="s">
        <v>1216</v>
      </c>
      <c r="C1043" s="597">
        <v>0.07</v>
      </c>
      <c r="D1043" s="663">
        <v>0.03</v>
      </c>
      <c r="E1043" s="663">
        <v>0.03</v>
      </c>
      <c r="F1043" s="663">
        <v>0.03</v>
      </c>
      <c r="G1043" s="663">
        <v>0.03</v>
      </c>
      <c r="H1043" s="663">
        <v>0.03</v>
      </c>
      <c r="I1043" s="663">
        <v>0.03</v>
      </c>
      <c r="J1043" s="663">
        <v>0.03</v>
      </c>
      <c r="K1043" s="663">
        <v>0.03</v>
      </c>
      <c r="L1043" s="663">
        <v>0.03</v>
      </c>
      <c r="M1043" s="663">
        <v>0.03</v>
      </c>
      <c r="N1043" s="666">
        <v>0.03</v>
      </c>
      <c r="O1043" s="666">
        <v>0.03</v>
      </c>
    </row>
    <row r="1044" s="597" customFormat="1" spans="1:15">
      <c r="A1044" s="618"/>
      <c r="B1044" s="675" t="s">
        <v>1217</v>
      </c>
      <c r="C1044" s="597">
        <v>0.07</v>
      </c>
      <c r="D1044" s="663">
        <v>0.03</v>
      </c>
      <c r="E1044" s="663">
        <v>0.03</v>
      </c>
      <c r="F1044" s="663">
        <v>0.03</v>
      </c>
      <c r="G1044" s="663">
        <v>0.03</v>
      </c>
      <c r="H1044" s="663">
        <v>0.03</v>
      </c>
      <c r="I1044" s="663">
        <v>0.03</v>
      </c>
      <c r="J1044" s="663">
        <v>0.03</v>
      </c>
      <c r="K1044" s="663">
        <v>0.03</v>
      </c>
      <c r="L1044" s="663">
        <v>0.03</v>
      </c>
      <c r="M1044" s="663">
        <v>0.03</v>
      </c>
      <c r="N1044" s="666">
        <v>0.03</v>
      </c>
      <c r="O1044" s="666">
        <v>0.03</v>
      </c>
    </row>
    <row r="1045" s="597" customFormat="1" spans="1:15">
      <c r="A1045" s="618"/>
      <c r="B1045" s="675" t="s">
        <v>1218</v>
      </c>
      <c r="C1045" s="597">
        <v>0.05</v>
      </c>
      <c r="D1045" s="663">
        <v>0.03</v>
      </c>
      <c r="E1045" s="663">
        <v>0.03</v>
      </c>
      <c r="F1045" s="663">
        <v>0.03</v>
      </c>
      <c r="G1045" s="663">
        <v>0.03</v>
      </c>
      <c r="H1045" s="663">
        <v>0.03</v>
      </c>
      <c r="I1045" s="663">
        <v>0.03</v>
      </c>
      <c r="J1045" s="663">
        <v>0.03</v>
      </c>
      <c r="K1045" s="663">
        <v>0.03</v>
      </c>
      <c r="L1045" s="663">
        <v>0.03</v>
      </c>
      <c r="M1045" s="663">
        <v>0.03</v>
      </c>
      <c r="N1045" s="666">
        <v>0.03</v>
      </c>
      <c r="O1045" s="666">
        <v>0.03</v>
      </c>
    </row>
    <row r="1046" s="597" customFormat="1" spans="1:15">
      <c r="A1046" s="618"/>
      <c r="B1046" s="675" t="s">
        <v>1219</v>
      </c>
      <c r="C1046" s="597">
        <v>0.05</v>
      </c>
      <c r="D1046" s="663">
        <v>0.03</v>
      </c>
      <c r="E1046" s="663">
        <v>0.03</v>
      </c>
      <c r="F1046" s="663">
        <v>0.03</v>
      </c>
      <c r="G1046" s="663">
        <v>0.03</v>
      </c>
      <c r="H1046" s="663">
        <v>0.03</v>
      </c>
      <c r="I1046" s="663">
        <v>0.03</v>
      </c>
      <c r="J1046" s="663">
        <v>0.03</v>
      </c>
      <c r="K1046" s="663">
        <v>0.03</v>
      </c>
      <c r="L1046" s="663">
        <v>0.03</v>
      </c>
      <c r="M1046" s="663">
        <v>0.03</v>
      </c>
      <c r="N1046" s="666">
        <v>0.03</v>
      </c>
      <c r="O1046" s="666">
        <v>0.03</v>
      </c>
    </row>
    <row r="1047" s="597" customFormat="1" spans="1:15">
      <c r="A1047" s="618"/>
      <c r="B1047" s="675" t="s">
        <v>1220</v>
      </c>
      <c r="C1047" s="597">
        <v>0.06</v>
      </c>
      <c r="D1047" s="663">
        <v>0.03</v>
      </c>
      <c r="E1047" s="663">
        <v>0.03</v>
      </c>
      <c r="F1047" s="663">
        <v>0.03</v>
      </c>
      <c r="G1047" s="663">
        <v>0.03</v>
      </c>
      <c r="H1047" s="663">
        <v>0.03</v>
      </c>
      <c r="I1047" s="663">
        <v>0.03</v>
      </c>
      <c r="J1047" s="663">
        <v>0.03</v>
      </c>
      <c r="K1047" s="663">
        <v>0.03</v>
      </c>
      <c r="L1047" s="663">
        <v>0.03</v>
      </c>
      <c r="M1047" s="663">
        <v>0.03</v>
      </c>
      <c r="N1047" s="666">
        <v>0.03</v>
      </c>
      <c r="O1047" s="666">
        <v>0.03</v>
      </c>
    </row>
    <row r="1048" s="597" customFormat="1" spans="1:15">
      <c r="A1048" s="618"/>
      <c r="B1048" s="675" t="s">
        <v>1221</v>
      </c>
      <c r="C1048" s="597">
        <v>0.07</v>
      </c>
      <c r="D1048" s="663">
        <v>0.11</v>
      </c>
      <c r="E1048" s="663">
        <v>0.11</v>
      </c>
      <c r="F1048" s="663">
        <v>0.11</v>
      </c>
      <c r="G1048" s="663">
        <v>0.11</v>
      </c>
      <c r="H1048" s="663">
        <v>0.11</v>
      </c>
      <c r="I1048" s="663">
        <v>0.11</v>
      </c>
      <c r="J1048" s="663">
        <v>0.11</v>
      </c>
      <c r="K1048" s="663">
        <v>0.11</v>
      </c>
      <c r="L1048" s="663">
        <v>0.11</v>
      </c>
      <c r="M1048" s="663">
        <v>0.11</v>
      </c>
      <c r="N1048" s="666">
        <v>0.11</v>
      </c>
      <c r="O1048" s="666">
        <v>0.11</v>
      </c>
    </row>
    <row r="1049" s="597" customFormat="1" spans="1:15">
      <c r="A1049" s="618"/>
      <c r="B1049" s="675" t="s">
        <v>1222</v>
      </c>
      <c r="C1049" s="597">
        <v>0.08</v>
      </c>
      <c r="D1049" s="663">
        <v>0.11</v>
      </c>
      <c r="E1049" s="663">
        <v>0.11</v>
      </c>
      <c r="F1049" s="663">
        <v>0.11</v>
      </c>
      <c r="G1049" s="663">
        <v>0.11</v>
      </c>
      <c r="H1049" s="663">
        <v>0.11</v>
      </c>
      <c r="I1049" s="663">
        <v>0.11</v>
      </c>
      <c r="J1049" s="663">
        <v>0.11</v>
      </c>
      <c r="K1049" s="663">
        <v>0.11</v>
      </c>
      <c r="L1049" s="663">
        <v>0.11</v>
      </c>
      <c r="M1049" s="663">
        <v>0.11</v>
      </c>
      <c r="N1049" s="666">
        <v>0.11</v>
      </c>
      <c r="O1049" s="666">
        <v>0.11</v>
      </c>
    </row>
    <row r="1050" s="597" customFormat="1" spans="1:15">
      <c r="A1050" s="618"/>
      <c r="B1050" s="675" t="s">
        <v>1223</v>
      </c>
      <c r="C1050" s="597">
        <v>0.1</v>
      </c>
      <c r="D1050" s="663">
        <v>0.14</v>
      </c>
      <c r="E1050" s="663">
        <v>0.14</v>
      </c>
      <c r="F1050" s="663">
        <v>0.14</v>
      </c>
      <c r="G1050" s="663">
        <v>0.14</v>
      </c>
      <c r="H1050" s="663">
        <v>0.14</v>
      </c>
      <c r="I1050" s="663">
        <v>0.14</v>
      </c>
      <c r="J1050" s="663">
        <v>0.14</v>
      </c>
      <c r="K1050" s="663">
        <v>0.14</v>
      </c>
      <c r="L1050" s="663">
        <v>0.14</v>
      </c>
      <c r="M1050" s="663">
        <v>0.14</v>
      </c>
      <c r="N1050" s="666">
        <v>0.14</v>
      </c>
      <c r="O1050" s="666">
        <v>0.14</v>
      </c>
    </row>
    <row r="1051" s="597" customFormat="1" spans="1:15">
      <c r="A1051" s="618"/>
      <c r="B1051" s="675" t="s">
        <v>1224</v>
      </c>
      <c r="C1051" s="597">
        <v>0.1</v>
      </c>
      <c r="D1051" s="663">
        <v>0.14</v>
      </c>
      <c r="E1051" s="663">
        <v>0.14</v>
      </c>
      <c r="F1051" s="663">
        <v>0.14</v>
      </c>
      <c r="G1051" s="663">
        <v>0.14</v>
      </c>
      <c r="H1051" s="663">
        <v>0.14</v>
      </c>
      <c r="I1051" s="663">
        <v>0.14</v>
      </c>
      <c r="J1051" s="663">
        <v>0.14</v>
      </c>
      <c r="K1051" s="663">
        <v>0.14</v>
      </c>
      <c r="L1051" s="663">
        <v>0.14</v>
      </c>
      <c r="M1051" s="663">
        <v>0.14</v>
      </c>
      <c r="N1051" s="666">
        <v>0.14</v>
      </c>
      <c r="O1051" s="666">
        <v>0.14</v>
      </c>
    </row>
    <row r="1052" s="597" customFormat="1" spans="1:15">
      <c r="A1052" s="618"/>
      <c r="B1052" s="675" t="s">
        <v>1225</v>
      </c>
      <c r="C1052" s="597">
        <v>0.12</v>
      </c>
      <c r="D1052" s="635">
        <v>0.12</v>
      </c>
      <c r="E1052" s="635">
        <v>0.12</v>
      </c>
      <c r="F1052" s="635">
        <v>0.12</v>
      </c>
      <c r="G1052" s="635">
        <v>0.12</v>
      </c>
      <c r="H1052" s="635">
        <v>0.12</v>
      </c>
      <c r="I1052" s="635">
        <v>0.12</v>
      </c>
      <c r="J1052" s="635">
        <v>0.12</v>
      </c>
      <c r="K1052" s="635">
        <v>0.12</v>
      </c>
      <c r="L1052" s="635">
        <v>0.12</v>
      </c>
      <c r="M1052" s="635">
        <v>0.12</v>
      </c>
      <c r="N1052" s="640">
        <v>0.12</v>
      </c>
      <c r="O1052" s="640">
        <v>0.12</v>
      </c>
    </row>
    <row r="1053" s="597" customFormat="1" spans="1:15">
      <c r="A1053" s="618"/>
      <c r="B1053" s="675" t="s">
        <v>1226</v>
      </c>
      <c r="C1053" s="597">
        <v>0.12</v>
      </c>
      <c r="D1053" s="635">
        <v>0.12</v>
      </c>
      <c r="E1053" s="635">
        <v>0.12</v>
      </c>
      <c r="F1053" s="635">
        <v>0.12</v>
      </c>
      <c r="G1053" s="635">
        <v>0.12</v>
      </c>
      <c r="H1053" s="635">
        <v>0.12</v>
      </c>
      <c r="I1053" s="635">
        <v>0.12</v>
      </c>
      <c r="J1053" s="635">
        <v>0.12</v>
      </c>
      <c r="K1053" s="635">
        <v>0.12</v>
      </c>
      <c r="L1053" s="635">
        <v>0.12</v>
      </c>
      <c r="M1053" s="635">
        <v>0.12</v>
      </c>
      <c r="N1053" s="640">
        <v>0.12</v>
      </c>
      <c r="O1053" s="640">
        <v>0.12</v>
      </c>
    </row>
    <row r="1054" s="597" customFormat="1" spans="1:15">
      <c r="A1054" s="618"/>
      <c r="B1054" s="675" t="s">
        <v>1227</v>
      </c>
      <c r="C1054" s="597">
        <v>0.11</v>
      </c>
      <c r="D1054" s="635">
        <v>0.11</v>
      </c>
      <c r="E1054" s="635">
        <v>0.11</v>
      </c>
      <c r="F1054" s="635">
        <v>0.11</v>
      </c>
      <c r="G1054" s="635">
        <v>0.11</v>
      </c>
      <c r="H1054" s="635">
        <v>0.11</v>
      </c>
      <c r="I1054" s="635">
        <v>0.11</v>
      </c>
      <c r="J1054" s="635">
        <v>0.11</v>
      </c>
      <c r="K1054" s="635">
        <v>0.11</v>
      </c>
      <c r="L1054" s="635">
        <v>0.11</v>
      </c>
      <c r="M1054" s="635">
        <v>0.11</v>
      </c>
      <c r="N1054" s="640">
        <v>0.11</v>
      </c>
      <c r="O1054" s="640">
        <v>0.11</v>
      </c>
    </row>
    <row r="1055" s="597" customFormat="1" spans="1:15">
      <c r="A1055" s="618"/>
      <c r="B1055" s="675" t="s">
        <v>1228</v>
      </c>
      <c r="C1055" s="597">
        <v>0.07</v>
      </c>
      <c r="D1055" s="663">
        <v>0.03</v>
      </c>
      <c r="E1055" s="663">
        <v>0.03</v>
      </c>
      <c r="F1055" s="663">
        <v>0.03</v>
      </c>
      <c r="G1055" s="663">
        <v>0.03</v>
      </c>
      <c r="H1055" s="663">
        <v>0.03</v>
      </c>
      <c r="I1055" s="663">
        <v>0.03</v>
      </c>
      <c r="J1055" s="663">
        <v>0.03</v>
      </c>
      <c r="K1055" s="663">
        <v>0.03</v>
      </c>
      <c r="L1055" s="663">
        <v>0.03</v>
      </c>
      <c r="M1055" s="663">
        <v>0.03</v>
      </c>
      <c r="N1055" s="666">
        <v>0.03</v>
      </c>
      <c r="O1055" s="666">
        <v>0.03</v>
      </c>
    </row>
    <row r="1056" s="597" customFormat="1" spans="1:15">
      <c r="A1056" s="618"/>
      <c r="B1056" s="675" t="s">
        <v>1229</v>
      </c>
      <c r="C1056" s="597">
        <v>0.07</v>
      </c>
      <c r="D1056" s="663">
        <v>0.03</v>
      </c>
      <c r="E1056" s="663">
        <v>0.03</v>
      </c>
      <c r="F1056" s="663">
        <v>0.03</v>
      </c>
      <c r="G1056" s="663">
        <v>0.03</v>
      </c>
      <c r="H1056" s="663">
        <v>0.03</v>
      </c>
      <c r="I1056" s="663">
        <v>0.03</v>
      </c>
      <c r="J1056" s="663">
        <v>0.03</v>
      </c>
      <c r="K1056" s="663">
        <v>0.03</v>
      </c>
      <c r="L1056" s="663">
        <v>0.03</v>
      </c>
      <c r="M1056" s="663">
        <v>0.03</v>
      </c>
      <c r="N1056" s="666">
        <v>0.03</v>
      </c>
      <c r="O1056" s="666">
        <v>0.03</v>
      </c>
    </row>
    <row r="1058" spans="1:15">
      <c r="A1058" s="518">
        <v>7.1</v>
      </c>
      <c r="B1058" s="519" t="s">
        <v>1232</v>
      </c>
      <c r="D1058" s="623"/>
      <c r="E1058" s="623"/>
      <c r="F1058" s="623"/>
      <c r="G1058" s="623"/>
      <c r="H1058" s="623"/>
      <c r="I1058" s="623"/>
      <c r="J1058" s="623"/>
      <c r="K1058" s="623"/>
      <c r="L1058" s="623"/>
      <c r="M1058" s="623"/>
      <c r="N1058" s="626"/>
      <c r="O1058" s="626"/>
    </row>
    <row r="1059" s="597" customFormat="1" spans="1:15">
      <c r="A1059" s="618"/>
      <c r="B1059" s="526" t="s">
        <v>1233</v>
      </c>
      <c r="C1059" s="597">
        <v>1240</v>
      </c>
      <c r="D1059" s="635">
        <v>1240</v>
      </c>
      <c r="E1059" s="635">
        <v>1240</v>
      </c>
      <c r="F1059" s="635">
        <v>1240</v>
      </c>
      <c r="G1059" s="635">
        <v>1240</v>
      </c>
      <c r="H1059" s="635">
        <v>1240</v>
      </c>
      <c r="I1059" s="635">
        <v>1240</v>
      </c>
      <c r="J1059" s="635">
        <v>1240</v>
      </c>
      <c r="K1059" s="635">
        <v>1240</v>
      </c>
      <c r="L1059" s="635">
        <v>1240</v>
      </c>
      <c r="M1059" s="635">
        <v>1240</v>
      </c>
      <c r="N1059" s="640">
        <v>1240</v>
      </c>
      <c r="O1059" s="640">
        <v>1240</v>
      </c>
    </row>
    <row r="1060" s="597" customFormat="1" spans="1:15">
      <c r="A1060" s="618"/>
      <c r="B1060" s="526" t="s">
        <v>1234</v>
      </c>
      <c r="C1060" s="597">
        <v>10</v>
      </c>
      <c r="D1060" s="635">
        <v>10</v>
      </c>
      <c r="E1060" s="635">
        <v>10</v>
      </c>
      <c r="F1060" s="635">
        <v>10</v>
      </c>
      <c r="G1060" s="635">
        <v>10</v>
      </c>
      <c r="H1060" s="635">
        <v>10</v>
      </c>
      <c r="I1060" s="635">
        <v>10</v>
      </c>
      <c r="J1060" s="635">
        <v>10</v>
      </c>
      <c r="K1060" s="635">
        <v>10</v>
      </c>
      <c r="L1060" s="635">
        <v>10</v>
      </c>
      <c r="M1060" s="635">
        <v>10</v>
      </c>
      <c r="N1060" s="640">
        <v>10</v>
      </c>
      <c r="O1060" s="640">
        <v>10</v>
      </c>
    </row>
    <row r="1061" s="597" customFormat="1" spans="1:15">
      <c r="A1061" s="618"/>
      <c r="B1061" s="526" t="s">
        <v>1235</v>
      </c>
      <c r="C1061" s="597">
        <v>124</v>
      </c>
      <c r="D1061" s="635">
        <v>124</v>
      </c>
      <c r="E1061" s="635">
        <v>124</v>
      </c>
      <c r="F1061" s="635">
        <v>124</v>
      </c>
      <c r="G1061" s="635">
        <v>124</v>
      </c>
      <c r="H1061" s="635">
        <v>124</v>
      </c>
      <c r="I1061" s="635">
        <v>124</v>
      </c>
      <c r="J1061" s="635">
        <v>124</v>
      </c>
      <c r="K1061" s="635">
        <v>124</v>
      </c>
      <c r="L1061" s="635">
        <v>124</v>
      </c>
      <c r="M1061" s="635">
        <v>124</v>
      </c>
      <c r="N1061" s="640">
        <v>124</v>
      </c>
      <c r="O1061" s="640">
        <v>124</v>
      </c>
    </row>
    <row r="1063" spans="1:15">
      <c r="A1063" s="518">
        <v>7.2</v>
      </c>
      <c r="B1063" s="519" t="s">
        <v>284</v>
      </c>
      <c r="D1063" s="623"/>
      <c r="E1063" s="623"/>
      <c r="F1063" s="623"/>
      <c r="G1063" s="623"/>
      <c r="H1063" s="623"/>
      <c r="I1063" s="623"/>
      <c r="J1063" s="623"/>
      <c r="K1063" s="623"/>
      <c r="L1063" s="623"/>
      <c r="M1063" s="623"/>
      <c r="N1063" s="626"/>
      <c r="O1063" s="626"/>
    </row>
    <row r="1064" s="597" customFormat="1" spans="1:15">
      <c r="A1064" s="618"/>
      <c r="B1064" s="526" t="s">
        <v>1236</v>
      </c>
      <c r="C1064" s="597">
        <v>155</v>
      </c>
      <c r="D1064" s="635">
        <v>155</v>
      </c>
      <c r="E1064" s="635">
        <v>155</v>
      </c>
      <c r="F1064" s="635">
        <v>155</v>
      </c>
      <c r="G1064" s="635">
        <v>155</v>
      </c>
      <c r="H1064" s="635">
        <v>155</v>
      </c>
      <c r="I1064" s="635">
        <v>155</v>
      </c>
      <c r="J1064" s="635">
        <v>155</v>
      </c>
      <c r="K1064" s="635">
        <v>155</v>
      </c>
      <c r="L1064" s="635">
        <v>155</v>
      </c>
      <c r="M1064" s="635">
        <v>155</v>
      </c>
      <c r="N1064" s="640">
        <v>155</v>
      </c>
      <c r="O1064" s="640">
        <v>155</v>
      </c>
    </row>
    <row r="1065" s="597" customFormat="1" spans="1:15">
      <c r="A1065" s="618"/>
      <c r="B1065" s="526" t="s">
        <v>1237</v>
      </c>
      <c r="C1065" s="597">
        <v>1240</v>
      </c>
      <c r="D1065" s="635">
        <v>1240</v>
      </c>
      <c r="E1065" s="635">
        <v>1240</v>
      </c>
      <c r="F1065" s="635">
        <v>1240</v>
      </c>
      <c r="G1065" s="635">
        <v>1240</v>
      </c>
      <c r="H1065" s="635">
        <v>1240</v>
      </c>
      <c r="I1065" s="635">
        <v>1240</v>
      </c>
      <c r="J1065" s="635">
        <v>1240</v>
      </c>
      <c r="K1065" s="635">
        <v>1240</v>
      </c>
      <c r="L1065" s="635">
        <v>1240</v>
      </c>
      <c r="M1065" s="635">
        <v>1240</v>
      </c>
      <c r="N1065" s="640">
        <v>1240</v>
      </c>
      <c r="O1065" s="640">
        <v>1240</v>
      </c>
    </row>
    <row r="1066" s="597" customFormat="1" spans="1:15">
      <c r="A1066" s="618"/>
      <c r="B1066" s="526" t="s">
        <v>1238</v>
      </c>
      <c r="C1066" s="597">
        <v>1240</v>
      </c>
      <c r="D1066" s="635">
        <v>1240</v>
      </c>
      <c r="E1066" s="635">
        <v>1240</v>
      </c>
      <c r="F1066" s="635">
        <v>1240</v>
      </c>
      <c r="G1066" s="635">
        <v>1240</v>
      </c>
      <c r="H1066" s="635">
        <v>1240</v>
      </c>
      <c r="I1066" s="635">
        <v>1240</v>
      </c>
      <c r="J1066" s="635">
        <v>1240</v>
      </c>
      <c r="K1066" s="635">
        <v>1240</v>
      </c>
      <c r="L1066" s="635">
        <v>1240</v>
      </c>
      <c r="M1066" s="635">
        <v>1240</v>
      </c>
      <c r="N1066" s="640">
        <v>1240</v>
      </c>
      <c r="O1066" s="640">
        <v>1240</v>
      </c>
    </row>
    <row r="1067" s="597" customFormat="1" spans="1:15">
      <c r="A1067" s="618"/>
      <c r="B1067" s="526" t="s">
        <v>1239</v>
      </c>
      <c r="C1067" s="597">
        <v>4960</v>
      </c>
      <c r="D1067" s="635">
        <v>4960</v>
      </c>
      <c r="E1067" s="635">
        <v>4960</v>
      </c>
      <c r="F1067" s="635">
        <v>4960</v>
      </c>
      <c r="G1067" s="635">
        <v>4960</v>
      </c>
      <c r="H1067" s="635">
        <v>4960</v>
      </c>
      <c r="I1067" s="635">
        <v>4960</v>
      </c>
      <c r="J1067" s="635">
        <v>4960</v>
      </c>
      <c r="K1067" s="635">
        <v>4960</v>
      </c>
      <c r="L1067" s="635">
        <v>4960</v>
      </c>
      <c r="M1067" s="635">
        <v>4960</v>
      </c>
      <c r="N1067" s="640">
        <v>4960</v>
      </c>
      <c r="O1067" s="640">
        <v>4960</v>
      </c>
    </row>
    <row r="1068" s="597" customFormat="1" spans="1:15">
      <c r="A1068" s="618"/>
      <c r="B1068" s="526" t="s">
        <v>1240</v>
      </c>
      <c r="C1068" s="597">
        <v>59520</v>
      </c>
      <c r="D1068" s="635">
        <v>59520</v>
      </c>
      <c r="E1068" s="635">
        <v>59520</v>
      </c>
      <c r="F1068" s="635">
        <v>59520</v>
      </c>
      <c r="G1068" s="635">
        <v>59520</v>
      </c>
      <c r="H1068" s="635">
        <v>59520</v>
      </c>
      <c r="I1068" s="635">
        <v>59520</v>
      </c>
      <c r="J1068" s="635">
        <v>59520</v>
      </c>
      <c r="K1068" s="635">
        <v>59520</v>
      </c>
      <c r="L1068" s="635">
        <v>59520</v>
      </c>
      <c r="M1068" s="635">
        <v>59520</v>
      </c>
      <c r="N1068" s="640">
        <v>59520</v>
      </c>
      <c r="O1068" s="640">
        <v>59520</v>
      </c>
    </row>
    <row r="1069" s="597" customFormat="1" spans="1:15">
      <c r="A1069" s="618"/>
      <c r="B1069" s="526" t="s">
        <v>1241</v>
      </c>
      <c r="C1069" s="597">
        <v>155</v>
      </c>
      <c r="D1069" s="635">
        <v>155</v>
      </c>
      <c r="E1069" s="635">
        <v>155</v>
      </c>
      <c r="F1069" s="635">
        <v>155</v>
      </c>
      <c r="G1069" s="635">
        <v>155</v>
      </c>
      <c r="H1069" s="635">
        <v>155</v>
      </c>
      <c r="I1069" s="635">
        <v>155</v>
      </c>
      <c r="J1069" s="635">
        <v>155</v>
      </c>
      <c r="K1069" s="635">
        <v>155</v>
      </c>
      <c r="L1069" s="635">
        <v>155</v>
      </c>
      <c r="M1069" s="635">
        <v>155</v>
      </c>
      <c r="N1069" s="640">
        <v>155</v>
      </c>
      <c r="O1069" s="640">
        <v>155</v>
      </c>
    </row>
    <row r="1070" s="597" customFormat="1" spans="1:15">
      <c r="A1070" s="618"/>
      <c r="B1070" s="526" t="s">
        <v>1242</v>
      </c>
      <c r="C1070" s="597">
        <v>1240</v>
      </c>
      <c r="D1070" s="635">
        <v>1240</v>
      </c>
      <c r="E1070" s="635">
        <v>1240</v>
      </c>
      <c r="F1070" s="635">
        <v>1240</v>
      </c>
      <c r="G1070" s="635">
        <v>1240</v>
      </c>
      <c r="H1070" s="635">
        <v>1240</v>
      </c>
      <c r="I1070" s="635">
        <v>1240</v>
      </c>
      <c r="J1070" s="635">
        <v>1240</v>
      </c>
      <c r="K1070" s="635">
        <v>1240</v>
      </c>
      <c r="L1070" s="635">
        <v>1240</v>
      </c>
      <c r="M1070" s="635">
        <v>1240</v>
      </c>
      <c r="N1070" s="640">
        <v>1240</v>
      </c>
      <c r="O1070" s="640">
        <v>1240</v>
      </c>
    </row>
    <row r="1071" s="597" customFormat="1" spans="1:15">
      <c r="A1071" s="618"/>
      <c r="B1071" s="526" t="s">
        <v>1243</v>
      </c>
      <c r="C1071" s="597">
        <v>1240</v>
      </c>
      <c r="D1071" s="635">
        <v>1240</v>
      </c>
      <c r="E1071" s="635">
        <v>1240</v>
      </c>
      <c r="F1071" s="635">
        <v>1240</v>
      </c>
      <c r="G1071" s="635">
        <v>1240</v>
      </c>
      <c r="H1071" s="635">
        <v>1240</v>
      </c>
      <c r="I1071" s="635">
        <v>1240</v>
      </c>
      <c r="J1071" s="635">
        <v>1240</v>
      </c>
      <c r="K1071" s="635">
        <v>1240</v>
      </c>
      <c r="L1071" s="635">
        <v>1240</v>
      </c>
      <c r="M1071" s="635">
        <v>1240</v>
      </c>
      <c r="N1071" s="640">
        <v>1240</v>
      </c>
      <c r="O1071" s="640">
        <v>1240</v>
      </c>
    </row>
    <row r="1072" s="597" customFormat="1" spans="1:15">
      <c r="A1072" s="618"/>
      <c r="B1072" s="526" t="s">
        <v>1244</v>
      </c>
      <c r="C1072" s="597">
        <v>4960</v>
      </c>
      <c r="D1072" s="635">
        <v>4960</v>
      </c>
      <c r="E1072" s="635">
        <v>4960</v>
      </c>
      <c r="F1072" s="635">
        <v>4960</v>
      </c>
      <c r="G1072" s="635">
        <v>4960</v>
      </c>
      <c r="H1072" s="635">
        <v>4960</v>
      </c>
      <c r="I1072" s="635">
        <v>4960</v>
      </c>
      <c r="J1072" s="635">
        <v>4960</v>
      </c>
      <c r="K1072" s="635">
        <v>4960</v>
      </c>
      <c r="L1072" s="635">
        <v>4960</v>
      </c>
      <c r="M1072" s="635">
        <v>4960</v>
      </c>
      <c r="N1072" s="640">
        <v>4960</v>
      </c>
      <c r="O1072" s="640">
        <v>4960</v>
      </c>
    </row>
    <row r="1073" s="597" customFormat="1" spans="1:15">
      <c r="A1073" s="618"/>
      <c r="B1073" s="526" t="s">
        <v>1245</v>
      </c>
      <c r="C1073" s="597">
        <v>59520</v>
      </c>
      <c r="D1073" s="635">
        <v>59520</v>
      </c>
      <c r="E1073" s="635">
        <v>59520</v>
      </c>
      <c r="F1073" s="635">
        <v>59520</v>
      </c>
      <c r="G1073" s="635">
        <v>59520</v>
      </c>
      <c r="H1073" s="635">
        <v>59520</v>
      </c>
      <c r="I1073" s="635">
        <v>59520</v>
      </c>
      <c r="J1073" s="635">
        <v>59520</v>
      </c>
      <c r="K1073" s="635">
        <v>59520</v>
      </c>
      <c r="L1073" s="635">
        <v>59520</v>
      </c>
      <c r="M1073" s="635">
        <v>59520</v>
      </c>
      <c r="N1073" s="640">
        <v>59520</v>
      </c>
      <c r="O1073" s="640">
        <v>59520</v>
      </c>
    </row>
    <row r="1074" s="597" customFormat="1" spans="1:15">
      <c r="A1074" s="618"/>
      <c r="B1074" s="526" t="s">
        <v>1246</v>
      </c>
      <c r="C1074" s="597">
        <v>155</v>
      </c>
      <c r="D1074" s="635">
        <v>155</v>
      </c>
      <c r="E1074" s="635">
        <v>155</v>
      </c>
      <c r="F1074" s="635">
        <v>155</v>
      </c>
      <c r="G1074" s="635">
        <v>155</v>
      </c>
      <c r="H1074" s="635">
        <v>155</v>
      </c>
      <c r="I1074" s="635">
        <v>155</v>
      </c>
      <c r="J1074" s="635">
        <v>155</v>
      </c>
      <c r="K1074" s="635">
        <v>155</v>
      </c>
      <c r="L1074" s="635">
        <v>155</v>
      </c>
      <c r="M1074" s="635">
        <v>155</v>
      </c>
      <c r="N1074" s="640">
        <v>155</v>
      </c>
      <c r="O1074" s="640">
        <v>155</v>
      </c>
    </row>
    <row r="1075" s="597" customFormat="1" spans="1:15">
      <c r="A1075" s="618"/>
      <c r="B1075" s="526" t="s">
        <v>1247</v>
      </c>
      <c r="C1075" s="597">
        <v>1240</v>
      </c>
      <c r="D1075" s="635">
        <v>1240</v>
      </c>
      <c r="E1075" s="635">
        <v>1240</v>
      </c>
      <c r="F1075" s="635">
        <v>1240</v>
      </c>
      <c r="G1075" s="635">
        <v>1240</v>
      </c>
      <c r="H1075" s="635">
        <v>1240</v>
      </c>
      <c r="I1075" s="635">
        <v>1240</v>
      </c>
      <c r="J1075" s="635">
        <v>1240</v>
      </c>
      <c r="K1075" s="635">
        <v>1240</v>
      </c>
      <c r="L1075" s="635">
        <v>1240</v>
      </c>
      <c r="M1075" s="635">
        <v>1240</v>
      </c>
      <c r="N1075" s="640">
        <v>1240</v>
      </c>
      <c r="O1075" s="640">
        <v>1240</v>
      </c>
    </row>
    <row r="1076" s="597" customFormat="1" spans="1:15">
      <c r="A1076" s="618"/>
      <c r="B1076" s="526" t="s">
        <v>1248</v>
      </c>
      <c r="C1076" s="597">
        <v>1240</v>
      </c>
      <c r="D1076" s="635">
        <v>1240</v>
      </c>
      <c r="E1076" s="635">
        <v>1240</v>
      </c>
      <c r="F1076" s="635">
        <v>1240</v>
      </c>
      <c r="G1076" s="635">
        <v>1240</v>
      </c>
      <c r="H1076" s="635">
        <v>1240</v>
      </c>
      <c r="I1076" s="635">
        <v>1240</v>
      </c>
      <c r="J1076" s="635">
        <v>1240</v>
      </c>
      <c r="K1076" s="635">
        <v>1240</v>
      </c>
      <c r="L1076" s="635">
        <v>1240</v>
      </c>
      <c r="M1076" s="635">
        <v>1240</v>
      </c>
      <c r="N1076" s="640">
        <v>1240</v>
      </c>
      <c r="O1076" s="640">
        <v>1240</v>
      </c>
    </row>
    <row r="1077" s="597" customFormat="1" spans="1:15">
      <c r="A1077" s="618"/>
      <c r="B1077" s="526" t="s">
        <v>1249</v>
      </c>
      <c r="C1077" s="597">
        <v>4960</v>
      </c>
      <c r="D1077" s="635">
        <v>4960</v>
      </c>
      <c r="E1077" s="635">
        <v>4960</v>
      </c>
      <c r="F1077" s="635">
        <v>4960</v>
      </c>
      <c r="G1077" s="635">
        <v>4960</v>
      </c>
      <c r="H1077" s="635">
        <v>4960</v>
      </c>
      <c r="I1077" s="635">
        <v>4960</v>
      </c>
      <c r="J1077" s="635">
        <v>4960</v>
      </c>
      <c r="K1077" s="635">
        <v>4960</v>
      </c>
      <c r="L1077" s="635">
        <v>4960</v>
      </c>
      <c r="M1077" s="635">
        <v>4960</v>
      </c>
      <c r="N1077" s="640">
        <v>4960</v>
      </c>
      <c r="O1077" s="640">
        <v>4960</v>
      </c>
    </row>
    <row r="1078" s="597" customFormat="1" spans="1:15">
      <c r="A1078" s="618"/>
      <c r="B1078" s="526" t="s">
        <v>1250</v>
      </c>
      <c r="C1078" s="597">
        <v>59520</v>
      </c>
      <c r="D1078" s="635">
        <v>59520</v>
      </c>
      <c r="E1078" s="635">
        <v>59520</v>
      </c>
      <c r="F1078" s="635">
        <v>59520</v>
      </c>
      <c r="G1078" s="635">
        <v>59520</v>
      </c>
      <c r="H1078" s="635">
        <v>59520</v>
      </c>
      <c r="I1078" s="635">
        <v>59520</v>
      </c>
      <c r="J1078" s="635">
        <v>59520</v>
      </c>
      <c r="K1078" s="635">
        <v>59520</v>
      </c>
      <c r="L1078" s="635">
        <v>59520</v>
      </c>
      <c r="M1078" s="635">
        <v>59520</v>
      </c>
      <c r="N1078" s="640">
        <v>59520</v>
      </c>
      <c r="O1078" s="640">
        <v>59520</v>
      </c>
    </row>
    <row r="1079" s="597" customFormat="1" spans="1:15">
      <c r="A1079" s="618"/>
      <c r="B1079" s="526" t="s">
        <v>1251</v>
      </c>
      <c r="C1079" s="597">
        <v>155</v>
      </c>
      <c r="D1079" s="635">
        <v>155</v>
      </c>
      <c r="E1079" s="635">
        <v>155</v>
      </c>
      <c r="F1079" s="635">
        <v>155</v>
      </c>
      <c r="G1079" s="635">
        <v>155</v>
      </c>
      <c r="H1079" s="635">
        <v>155</v>
      </c>
      <c r="I1079" s="635">
        <v>155</v>
      </c>
      <c r="J1079" s="635">
        <v>155</v>
      </c>
      <c r="K1079" s="635">
        <v>155</v>
      </c>
      <c r="L1079" s="635">
        <v>155</v>
      </c>
      <c r="M1079" s="635">
        <v>155</v>
      </c>
      <c r="N1079" s="640">
        <v>155</v>
      </c>
      <c r="O1079" s="640">
        <v>155</v>
      </c>
    </row>
    <row r="1080" s="597" customFormat="1" spans="1:15">
      <c r="A1080" s="618"/>
      <c r="B1080" s="526" t="s">
        <v>1252</v>
      </c>
      <c r="C1080" s="597">
        <v>1240</v>
      </c>
      <c r="D1080" s="635">
        <v>1240</v>
      </c>
      <c r="E1080" s="635">
        <v>1240</v>
      </c>
      <c r="F1080" s="635">
        <v>1240</v>
      </c>
      <c r="G1080" s="635">
        <v>1240</v>
      </c>
      <c r="H1080" s="635">
        <v>1240</v>
      </c>
      <c r="I1080" s="635">
        <v>1240</v>
      </c>
      <c r="J1080" s="635">
        <v>1240</v>
      </c>
      <c r="K1080" s="635">
        <v>1240</v>
      </c>
      <c r="L1080" s="635">
        <v>1240</v>
      </c>
      <c r="M1080" s="635">
        <v>1240</v>
      </c>
      <c r="N1080" s="640">
        <v>1240</v>
      </c>
      <c r="O1080" s="640">
        <v>1240</v>
      </c>
    </row>
    <row r="1081" s="597" customFormat="1" spans="1:15">
      <c r="A1081" s="618"/>
      <c r="B1081" s="526" t="s">
        <v>1253</v>
      </c>
      <c r="C1081" s="597">
        <v>1240</v>
      </c>
      <c r="D1081" s="635">
        <v>1240</v>
      </c>
      <c r="E1081" s="635">
        <v>1240</v>
      </c>
      <c r="F1081" s="635">
        <v>1240</v>
      </c>
      <c r="G1081" s="635">
        <v>1240</v>
      </c>
      <c r="H1081" s="635">
        <v>1240</v>
      </c>
      <c r="I1081" s="635">
        <v>1240</v>
      </c>
      <c r="J1081" s="635">
        <v>1240</v>
      </c>
      <c r="K1081" s="635">
        <v>1240</v>
      </c>
      <c r="L1081" s="635">
        <v>1240</v>
      </c>
      <c r="M1081" s="635">
        <v>1240</v>
      </c>
      <c r="N1081" s="640">
        <v>1240</v>
      </c>
      <c r="O1081" s="640">
        <v>1240</v>
      </c>
    </row>
    <row r="1082" s="597" customFormat="1" spans="1:15">
      <c r="A1082" s="618"/>
      <c r="B1082" s="526" t="s">
        <v>1254</v>
      </c>
      <c r="C1082" s="597">
        <v>4960</v>
      </c>
      <c r="D1082" s="635">
        <v>4960</v>
      </c>
      <c r="E1082" s="635">
        <v>4960</v>
      </c>
      <c r="F1082" s="635">
        <v>4960</v>
      </c>
      <c r="G1082" s="635">
        <v>4960</v>
      </c>
      <c r="H1082" s="635">
        <v>4960</v>
      </c>
      <c r="I1082" s="635">
        <v>4960</v>
      </c>
      <c r="J1082" s="635">
        <v>4960</v>
      </c>
      <c r="K1082" s="635">
        <v>4960</v>
      </c>
      <c r="L1082" s="635">
        <v>4960</v>
      </c>
      <c r="M1082" s="635">
        <v>4960</v>
      </c>
      <c r="N1082" s="640">
        <v>4960</v>
      </c>
      <c r="O1082" s="640">
        <v>4960</v>
      </c>
    </row>
    <row r="1083" s="597" customFormat="1" spans="1:15">
      <c r="A1083" s="618"/>
      <c r="B1083" s="526" t="s">
        <v>1255</v>
      </c>
      <c r="C1083" s="597">
        <v>59520</v>
      </c>
      <c r="D1083" s="635">
        <v>59520</v>
      </c>
      <c r="E1083" s="635">
        <v>59520</v>
      </c>
      <c r="F1083" s="635">
        <v>59520</v>
      </c>
      <c r="G1083" s="635">
        <v>59520</v>
      </c>
      <c r="H1083" s="635">
        <v>59520</v>
      </c>
      <c r="I1083" s="635">
        <v>59520</v>
      </c>
      <c r="J1083" s="635">
        <v>59520</v>
      </c>
      <c r="K1083" s="635">
        <v>59520</v>
      </c>
      <c r="L1083" s="635">
        <v>59520</v>
      </c>
      <c r="M1083" s="635">
        <v>59520</v>
      </c>
      <c r="N1083" s="640">
        <v>59520</v>
      </c>
      <c r="O1083" s="640">
        <v>59520</v>
      </c>
    </row>
    <row r="1084" s="597" customFormat="1" spans="1:15">
      <c r="A1084" s="618"/>
      <c r="B1084" s="526" t="s">
        <v>1256</v>
      </c>
      <c r="C1084" s="597">
        <v>155</v>
      </c>
      <c r="D1084" s="635">
        <v>155</v>
      </c>
      <c r="E1084" s="635">
        <v>155</v>
      </c>
      <c r="F1084" s="635">
        <v>155</v>
      </c>
      <c r="G1084" s="635">
        <v>155</v>
      </c>
      <c r="H1084" s="635">
        <v>155</v>
      </c>
      <c r="I1084" s="635">
        <v>155</v>
      </c>
      <c r="J1084" s="635">
        <v>155</v>
      </c>
      <c r="K1084" s="635">
        <v>155</v>
      </c>
      <c r="L1084" s="635">
        <v>155</v>
      </c>
      <c r="M1084" s="635">
        <v>155</v>
      </c>
      <c r="N1084" s="640">
        <v>155</v>
      </c>
      <c r="O1084" s="640">
        <v>155</v>
      </c>
    </row>
    <row r="1085" s="597" customFormat="1" spans="1:15">
      <c r="A1085" s="618"/>
      <c r="B1085" s="526" t="s">
        <v>1257</v>
      </c>
      <c r="C1085" s="597">
        <v>1240</v>
      </c>
      <c r="D1085" s="635">
        <v>1240</v>
      </c>
      <c r="E1085" s="635">
        <v>1240</v>
      </c>
      <c r="F1085" s="635">
        <v>1240</v>
      </c>
      <c r="G1085" s="635">
        <v>1240</v>
      </c>
      <c r="H1085" s="635">
        <v>1240</v>
      </c>
      <c r="I1085" s="635">
        <v>1240</v>
      </c>
      <c r="J1085" s="635">
        <v>1240</v>
      </c>
      <c r="K1085" s="635">
        <v>1240</v>
      </c>
      <c r="L1085" s="635">
        <v>1240</v>
      </c>
      <c r="M1085" s="635">
        <v>1240</v>
      </c>
      <c r="N1085" s="640">
        <v>1240</v>
      </c>
      <c r="O1085" s="640">
        <v>1240</v>
      </c>
    </row>
    <row r="1086" s="597" customFormat="1" spans="1:15">
      <c r="A1086" s="618"/>
      <c r="B1086" s="526" t="s">
        <v>1258</v>
      </c>
      <c r="C1086" s="597">
        <v>1240</v>
      </c>
      <c r="D1086" s="635">
        <v>1240</v>
      </c>
      <c r="E1086" s="635">
        <v>1240</v>
      </c>
      <c r="F1086" s="635">
        <v>1240</v>
      </c>
      <c r="G1086" s="635">
        <v>1240</v>
      </c>
      <c r="H1086" s="635">
        <v>1240</v>
      </c>
      <c r="I1086" s="635">
        <v>1240</v>
      </c>
      <c r="J1086" s="635">
        <v>1240</v>
      </c>
      <c r="K1086" s="635">
        <v>1240</v>
      </c>
      <c r="L1086" s="635">
        <v>1240</v>
      </c>
      <c r="M1086" s="635">
        <v>1240</v>
      </c>
      <c r="N1086" s="640">
        <v>1240</v>
      </c>
      <c r="O1086" s="640">
        <v>1240</v>
      </c>
    </row>
    <row r="1087" s="597" customFormat="1" spans="1:15">
      <c r="A1087" s="618"/>
      <c r="B1087" s="526" t="s">
        <v>1259</v>
      </c>
      <c r="C1087" s="597">
        <v>4960</v>
      </c>
      <c r="D1087" s="635">
        <v>4960</v>
      </c>
      <c r="E1087" s="635">
        <v>4960</v>
      </c>
      <c r="F1087" s="635">
        <v>4960</v>
      </c>
      <c r="G1087" s="635">
        <v>4960</v>
      </c>
      <c r="H1087" s="635">
        <v>4960</v>
      </c>
      <c r="I1087" s="635">
        <v>4960</v>
      </c>
      <c r="J1087" s="635">
        <v>4960</v>
      </c>
      <c r="K1087" s="635">
        <v>4960</v>
      </c>
      <c r="L1087" s="635">
        <v>4960</v>
      </c>
      <c r="M1087" s="635">
        <v>4960</v>
      </c>
      <c r="N1087" s="640">
        <v>4960</v>
      </c>
      <c r="O1087" s="640">
        <v>4960</v>
      </c>
    </row>
    <row r="1088" s="597" customFormat="1" spans="1:15">
      <c r="A1088" s="618"/>
      <c r="B1088" s="526" t="s">
        <v>1260</v>
      </c>
      <c r="C1088" s="597">
        <v>59520</v>
      </c>
      <c r="D1088" s="635">
        <v>59520</v>
      </c>
      <c r="E1088" s="635">
        <v>59520</v>
      </c>
      <c r="F1088" s="635">
        <v>59520</v>
      </c>
      <c r="G1088" s="635">
        <v>59520</v>
      </c>
      <c r="H1088" s="635">
        <v>59520</v>
      </c>
      <c r="I1088" s="635">
        <v>59520</v>
      </c>
      <c r="J1088" s="635">
        <v>59520</v>
      </c>
      <c r="K1088" s="635">
        <v>59520</v>
      </c>
      <c r="L1088" s="635">
        <v>59520</v>
      </c>
      <c r="M1088" s="635">
        <v>59520</v>
      </c>
      <c r="N1088" s="640">
        <v>59520</v>
      </c>
      <c r="O1088" s="640">
        <v>59520</v>
      </c>
    </row>
    <row r="1089" s="597" customFormat="1" spans="1:15">
      <c r="A1089" s="618"/>
      <c r="B1089" s="526" t="s">
        <v>1261</v>
      </c>
      <c r="C1089" s="597">
        <v>155</v>
      </c>
      <c r="D1089" s="635">
        <v>155</v>
      </c>
      <c r="E1089" s="635">
        <v>155</v>
      </c>
      <c r="F1089" s="635">
        <v>155</v>
      </c>
      <c r="G1089" s="635">
        <v>155</v>
      </c>
      <c r="H1089" s="635">
        <v>155</v>
      </c>
      <c r="I1089" s="635">
        <v>155</v>
      </c>
      <c r="J1089" s="635">
        <v>155</v>
      </c>
      <c r="K1089" s="635">
        <v>155</v>
      </c>
      <c r="L1089" s="635">
        <v>155</v>
      </c>
      <c r="M1089" s="635">
        <v>155</v>
      </c>
      <c r="N1089" s="640">
        <v>155</v>
      </c>
      <c r="O1089" s="640">
        <v>155</v>
      </c>
    </row>
    <row r="1090" s="597" customFormat="1" spans="1:15">
      <c r="A1090" s="618"/>
      <c r="B1090" s="526" t="s">
        <v>1262</v>
      </c>
      <c r="C1090" s="597">
        <v>1240</v>
      </c>
      <c r="D1090" s="635">
        <v>1240</v>
      </c>
      <c r="E1090" s="635">
        <v>1240</v>
      </c>
      <c r="F1090" s="635">
        <v>1240</v>
      </c>
      <c r="G1090" s="635">
        <v>1240</v>
      </c>
      <c r="H1090" s="635">
        <v>1240</v>
      </c>
      <c r="I1090" s="635">
        <v>1240</v>
      </c>
      <c r="J1090" s="635">
        <v>1240</v>
      </c>
      <c r="K1090" s="635">
        <v>1240</v>
      </c>
      <c r="L1090" s="635">
        <v>1240</v>
      </c>
      <c r="M1090" s="635">
        <v>1240</v>
      </c>
      <c r="N1090" s="640">
        <v>1240</v>
      </c>
      <c r="O1090" s="640">
        <v>1240</v>
      </c>
    </row>
    <row r="1091" s="597" customFormat="1" spans="1:15">
      <c r="A1091" s="618"/>
      <c r="B1091" s="526" t="s">
        <v>1263</v>
      </c>
      <c r="C1091" s="597">
        <v>1240</v>
      </c>
      <c r="D1091" s="635">
        <v>1240</v>
      </c>
      <c r="E1091" s="635">
        <v>1240</v>
      </c>
      <c r="F1091" s="635">
        <v>1240</v>
      </c>
      <c r="G1091" s="635">
        <v>1240</v>
      </c>
      <c r="H1091" s="635">
        <v>1240</v>
      </c>
      <c r="I1091" s="635">
        <v>1240</v>
      </c>
      <c r="J1091" s="635">
        <v>1240</v>
      </c>
      <c r="K1091" s="635">
        <v>1240</v>
      </c>
      <c r="L1091" s="635">
        <v>1240</v>
      </c>
      <c r="M1091" s="635">
        <v>1240</v>
      </c>
      <c r="N1091" s="640">
        <v>1240</v>
      </c>
      <c r="O1091" s="640">
        <v>1240</v>
      </c>
    </row>
    <row r="1092" s="597" customFormat="1" spans="1:15">
      <c r="A1092" s="618"/>
      <c r="B1092" s="526" t="s">
        <v>1264</v>
      </c>
      <c r="C1092" s="597">
        <v>4960</v>
      </c>
      <c r="D1092" s="635">
        <v>4960</v>
      </c>
      <c r="E1092" s="635">
        <v>4960</v>
      </c>
      <c r="F1092" s="635">
        <v>4960</v>
      </c>
      <c r="G1092" s="635">
        <v>4960</v>
      </c>
      <c r="H1092" s="635">
        <v>4960</v>
      </c>
      <c r="I1092" s="635">
        <v>4960</v>
      </c>
      <c r="J1092" s="635">
        <v>4960</v>
      </c>
      <c r="K1092" s="635">
        <v>4960</v>
      </c>
      <c r="L1092" s="635">
        <v>4960</v>
      </c>
      <c r="M1092" s="635">
        <v>4960</v>
      </c>
      <c r="N1092" s="640">
        <v>4960</v>
      </c>
      <c r="O1092" s="640">
        <v>4960</v>
      </c>
    </row>
    <row r="1093" s="597" customFormat="1" spans="1:15">
      <c r="A1093" s="618"/>
      <c r="B1093" s="526" t="s">
        <v>1265</v>
      </c>
      <c r="C1093" s="597">
        <v>59520</v>
      </c>
      <c r="D1093" s="635">
        <v>59520</v>
      </c>
      <c r="E1093" s="635">
        <v>59520</v>
      </c>
      <c r="F1093" s="635">
        <v>59520</v>
      </c>
      <c r="G1093" s="635">
        <v>59520</v>
      </c>
      <c r="H1093" s="635">
        <v>59520</v>
      </c>
      <c r="I1093" s="635">
        <v>59520</v>
      </c>
      <c r="J1093" s="635">
        <v>59520</v>
      </c>
      <c r="K1093" s="635">
        <v>59520</v>
      </c>
      <c r="L1093" s="635">
        <v>59520</v>
      </c>
      <c r="M1093" s="635">
        <v>59520</v>
      </c>
      <c r="N1093" s="640">
        <v>59520</v>
      </c>
      <c r="O1093" s="640">
        <v>59520</v>
      </c>
    </row>
    <row r="1094" s="597" customFormat="1" spans="1:15">
      <c r="A1094" s="618"/>
      <c r="B1094" s="526" t="s">
        <v>1266</v>
      </c>
      <c r="C1094" s="597">
        <v>155</v>
      </c>
      <c r="D1094" s="635">
        <v>155</v>
      </c>
      <c r="E1094" s="635">
        <v>155</v>
      </c>
      <c r="F1094" s="635">
        <v>155</v>
      </c>
      <c r="G1094" s="635">
        <v>155</v>
      </c>
      <c r="H1094" s="635">
        <v>155</v>
      </c>
      <c r="I1094" s="635">
        <v>155</v>
      </c>
      <c r="J1094" s="635">
        <v>155</v>
      </c>
      <c r="K1094" s="635">
        <v>155</v>
      </c>
      <c r="L1094" s="635">
        <v>155</v>
      </c>
      <c r="M1094" s="635">
        <v>155</v>
      </c>
      <c r="N1094" s="640">
        <v>155</v>
      </c>
      <c r="O1094" s="640">
        <v>155</v>
      </c>
    </row>
    <row r="1095" s="597" customFormat="1" spans="1:15">
      <c r="A1095" s="618"/>
      <c r="B1095" s="526" t="s">
        <v>1267</v>
      </c>
      <c r="C1095" s="597">
        <v>1240</v>
      </c>
      <c r="D1095" s="635">
        <v>1240</v>
      </c>
      <c r="E1095" s="635">
        <v>1240</v>
      </c>
      <c r="F1095" s="635">
        <v>1240</v>
      </c>
      <c r="G1095" s="635">
        <v>1240</v>
      </c>
      <c r="H1095" s="635">
        <v>1240</v>
      </c>
      <c r="I1095" s="635">
        <v>1240</v>
      </c>
      <c r="J1095" s="635">
        <v>1240</v>
      </c>
      <c r="K1095" s="635">
        <v>1240</v>
      </c>
      <c r="L1095" s="635">
        <v>1240</v>
      </c>
      <c r="M1095" s="635">
        <v>1240</v>
      </c>
      <c r="N1095" s="640">
        <v>1240</v>
      </c>
      <c r="O1095" s="640">
        <v>1240</v>
      </c>
    </row>
    <row r="1096" s="597" customFormat="1" spans="1:15">
      <c r="A1096" s="618"/>
      <c r="B1096" s="526" t="s">
        <v>1268</v>
      </c>
      <c r="C1096" s="597">
        <v>1240</v>
      </c>
      <c r="D1096" s="635">
        <v>1240</v>
      </c>
      <c r="E1096" s="635">
        <v>1240</v>
      </c>
      <c r="F1096" s="635">
        <v>1240</v>
      </c>
      <c r="G1096" s="635">
        <v>1240</v>
      </c>
      <c r="H1096" s="635">
        <v>1240</v>
      </c>
      <c r="I1096" s="635">
        <v>1240</v>
      </c>
      <c r="J1096" s="635">
        <v>1240</v>
      </c>
      <c r="K1096" s="635">
        <v>1240</v>
      </c>
      <c r="L1096" s="635">
        <v>1240</v>
      </c>
      <c r="M1096" s="635">
        <v>1240</v>
      </c>
      <c r="N1096" s="640">
        <v>1240</v>
      </c>
      <c r="O1096" s="640">
        <v>1240</v>
      </c>
    </row>
    <row r="1097" s="597" customFormat="1" spans="1:15">
      <c r="A1097" s="618"/>
      <c r="B1097" s="526" t="s">
        <v>1269</v>
      </c>
      <c r="C1097" s="597">
        <v>4960</v>
      </c>
      <c r="D1097" s="635">
        <v>4960</v>
      </c>
      <c r="E1097" s="635">
        <v>4960</v>
      </c>
      <c r="F1097" s="635">
        <v>4960</v>
      </c>
      <c r="G1097" s="635">
        <v>4960</v>
      </c>
      <c r="H1097" s="635">
        <v>4960</v>
      </c>
      <c r="I1097" s="635">
        <v>4960</v>
      </c>
      <c r="J1097" s="635">
        <v>4960</v>
      </c>
      <c r="K1097" s="635">
        <v>4960</v>
      </c>
      <c r="L1097" s="635">
        <v>4960</v>
      </c>
      <c r="M1097" s="635">
        <v>4960</v>
      </c>
      <c r="N1097" s="640">
        <v>4960</v>
      </c>
      <c r="O1097" s="640">
        <v>4960</v>
      </c>
    </row>
    <row r="1098" s="597" customFormat="1" spans="1:15">
      <c r="A1098" s="618"/>
      <c r="B1098" s="526" t="s">
        <v>1270</v>
      </c>
      <c r="C1098" s="597">
        <v>59520</v>
      </c>
      <c r="D1098" s="635">
        <v>59520</v>
      </c>
      <c r="E1098" s="635">
        <v>59520</v>
      </c>
      <c r="F1098" s="635">
        <v>59520</v>
      </c>
      <c r="G1098" s="635">
        <v>59520</v>
      </c>
      <c r="H1098" s="635">
        <v>59520</v>
      </c>
      <c r="I1098" s="635">
        <v>59520</v>
      </c>
      <c r="J1098" s="635">
        <v>59520</v>
      </c>
      <c r="K1098" s="635">
        <v>59520</v>
      </c>
      <c r="L1098" s="635">
        <v>59520</v>
      </c>
      <c r="M1098" s="635">
        <v>59520</v>
      </c>
      <c r="N1098" s="640">
        <v>59520</v>
      </c>
      <c r="O1098" s="640">
        <v>59520</v>
      </c>
    </row>
    <row r="1099" s="597" customFormat="1" spans="1:15">
      <c r="A1099" s="618"/>
      <c r="B1099" s="526" t="s">
        <v>1271</v>
      </c>
      <c r="C1099" s="597">
        <v>155</v>
      </c>
      <c r="D1099" s="635">
        <v>155</v>
      </c>
      <c r="E1099" s="635">
        <v>155</v>
      </c>
      <c r="F1099" s="635">
        <v>155</v>
      </c>
      <c r="G1099" s="635">
        <v>155</v>
      </c>
      <c r="H1099" s="635">
        <v>155</v>
      </c>
      <c r="I1099" s="635">
        <v>155</v>
      </c>
      <c r="J1099" s="635">
        <v>155</v>
      </c>
      <c r="K1099" s="635">
        <v>155</v>
      </c>
      <c r="L1099" s="635">
        <v>155</v>
      </c>
      <c r="M1099" s="635">
        <v>155</v>
      </c>
      <c r="N1099" s="640">
        <v>155</v>
      </c>
      <c r="O1099" s="640">
        <v>155</v>
      </c>
    </row>
    <row r="1100" s="597" customFormat="1" spans="1:15">
      <c r="A1100" s="618"/>
      <c r="B1100" s="526" t="s">
        <v>1272</v>
      </c>
      <c r="C1100" s="597">
        <v>1240</v>
      </c>
      <c r="D1100" s="635">
        <v>1240</v>
      </c>
      <c r="E1100" s="635">
        <v>1240</v>
      </c>
      <c r="F1100" s="635">
        <v>1240</v>
      </c>
      <c r="G1100" s="635">
        <v>1240</v>
      </c>
      <c r="H1100" s="635">
        <v>1240</v>
      </c>
      <c r="I1100" s="635">
        <v>1240</v>
      </c>
      <c r="J1100" s="635">
        <v>1240</v>
      </c>
      <c r="K1100" s="635">
        <v>1240</v>
      </c>
      <c r="L1100" s="635">
        <v>1240</v>
      </c>
      <c r="M1100" s="635">
        <v>1240</v>
      </c>
      <c r="N1100" s="640">
        <v>1240</v>
      </c>
      <c r="O1100" s="640">
        <v>1240</v>
      </c>
    </row>
    <row r="1101" s="597" customFormat="1" spans="1:15">
      <c r="A1101" s="618"/>
      <c r="B1101" s="526" t="s">
        <v>1273</v>
      </c>
      <c r="C1101" s="597">
        <v>1240</v>
      </c>
      <c r="D1101" s="635">
        <v>1240</v>
      </c>
      <c r="E1101" s="635">
        <v>1240</v>
      </c>
      <c r="F1101" s="635">
        <v>1240</v>
      </c>
      <c r="G1101" s="635">
        <v>1240</v>
      </c>
      <c r="H1101" s="635">
        <v>1240</v>
      </c>
      <c r="I1101" s="635">
        <v>1240</v>
      </c>
      <c r="J1101" s="635">
        <v>1240</v>
      </c>
      <c r="K1101" s="635">
        <v>1240</v>
      </c>
      <c r="L1101" s="635">
        <v>1240</v>
      </c>
      <c r="M1101" s="635">
        <v>1240</v>
      </c>
      <c r="N1101" s="640">
        <v>1240</v>
      </c>
      <c r="O1101" s="640">
        <v>1240</v>
      </c>
    </row>
    <row r="1102" s="597" customFormat="1" spans="1:15">
      <c r="A1102" s="618"/>
      <c r="B1102" s="526" t="s">
        <v>1274</v>
      </c>
      <c r="C1102" s="597">
        <v>4960</v>
      </c>
      <c r="D1102" s="635">
        <v>4960</v>
      </c>
      <c r="E1102" s="635">
        <v>4960</v>
      </c>
      <c r="F1102" s="635">
        <v>4960</v>
      </c>
      <c r="G1102" s="635">
        <v>4960</v>
      </c>
      <c r="H1102" s="635">
        <v>4960</v>
      </c>
      <c r="I1102" s="635">
        <v>4960</v>
      </c>
      <c r="J1102" s="635">
        <v>4960</v>
      </c>
      <c r="K1102" s="635">
        <v>4960</v>
      </c>
      <c r="L1102" s="635">
        <v>4960</v>
      </c>
      <c r="M1102" s="635">
        <v>4960</v>
      </c>
      <c r="N1102" s="640">
        <v>4960</v>
      </c>
      <c r="O1102" s="640">
        <v>4960</v>
      </c>
    </row>
    <row r="1103" s="597" customFormat="1" spans="1:15">
      <c r="A1103" s="618"/>
      <c r="B1103" s="526" t="s">
        <v>1275</v>
      </c>
      <c r="C1103" s="597">
        <v>59520</v>
      </c>
      <c r="D1103" s="635">
        <v>59520</v>
      </c>
      <c r="E1103" s="635">
        <v>59520</v>
      </c>
      <c r="F1103" s="635">
        <v>59520</v>
      </c>
      <c r="G1103" s="635">
        <v>59520</v>
      </c>
      <c r="H1103" s="635">
        <v>59520</v>
      </c>
      <c r="I1103" s="635">
        <v>59520</v>
      </c>
      <c r="J1103" s="635">
        <v>59520</v>
      </c>
      <c r="K1103" s="635">
        <v>59520</v>
      </c>
      <c r="L1103" s="635">
        <v>59520</v>
      </c>
      <c r="M1103" s="635">
        <v>59520</v>
      </c>
      <c r="N1103" s="640">
        <v>59520</v>
      </c>
      <c r="O1103" s="640">
        <v>59520</v>
      </c>
    </row>
    <row r="1104" spans="1:2">
      <c r="A1104" s="518"/>
      <c r="B1104" s="519"/>
    </row>
    <row r="1105" spans="1:2">
      <c r="A1105" s="518"/>
      <c r="B1105" s="519"/>
    </row>
    <row r="1106" spans="1:2">
      <c r="A1106" s="518"/>
      <c r="B1106" s="519"/>
    </row>
    <row r="1107" spans="1:2">
      <c r="A1107" s="518"/>
      <c r="B1107" s="519"/>
    </row>
    <row r="1108" s="597" customFormat="1" spans="1:2">
      <c r="A1108" s="618"/>
      <c r="B1108" s="526"/>
    </row>
    <row r="1109" s="597" customFormat="1" spans="1:2">
      <c r="A1109" s="618"/>
      <c r="B1109" s="526"/>
    </row>
    <row r="1110" s="597" customFormat="1" spans="1:2">
      <c r="A1110" s="618"/>
      <c r="B1110" s="526"/>
    </row>
    <row r="1111" s="597" customFormat="1" spans="1:2">
      <c r="A1111" s="618"/>
      <c r="B1111" s="526"/>
    </row>
  </sheetData>
  <mergeCells count="1">
    <mergeCell ref="C1:I1"/>
  </mergeCells>
  <conditionalFormatting sqref="C50:C1108">
    <cfRule type="notContainsBlanks" dxfId="3" priority="1">
      <formula>LEN(TRIM(C50))&gt;0</formula>
    </cfRule>
  </conditionalFormatting>
  <pageMargins left="0.7" right="0.7" top="0.75" bottom="0.75" header="0.3" footer="0.3"/>
  <pageSetup paperSize="1" scale="46" fitToHeight="0" orientation="landscape" horizontalDpi="1200" verticalDpi="1200"/>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1"/>
  <legacyDrawing r:id="rId2"/>
  <controls>
    <mc:AlternateContent xmlns:mc="http://schemas.openxmlformats.org/markup-compatibility/2006">
      <mc:Choice Requires="x14">
        <control shapeId="55297" r:id="rId3" name="ComboBox1">
          <controlPr defaultSize="0" r:id="rId4">
            <anchor moveWithCells="1">
              <from>
                <xdr:col>1</xdr:col>
                <xdr:colOff>1743075</xdr:colOff>
                <xdr:row>0</xdr:row>
                <xdr:rowOff>0</xdr:rowOff>
              </from>
              <to>
                <xdr:col>1</xdr:col>
                <xdr:colOff>4572000</xdr:colOff>
                <xdr:row>1</xdr:row>
                <xdr:rowOff>19050</xdr:rowOff>
              </to>
            </anchor>
          </controlPr>
        </control>
      </mc:Choice>
      <mc:Fallback>
        <control shapeId="55297" r:id="rId3" name="ComboBox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00B0F0"/>
  </sheetPr>
  <dimension ref="A1:R153"/>
  <sheetViews>
    <sheetView workbookViewId="0">
      <pane ySplit="2" topLeftCell="A108" activePane="bottomLeft" state="frozen"/>
      <selection/>
      <selection pane="bottomLeft" activeCell="E139" sqref="E139"/>
    </sheetView>
  </sheetViews>
  <sheetFormatPr defaultColWidth="9" defaultRowHeight="13.5"/>
  <cols>
    <col min="1" max="1" width="12.1416666666667" customWidth="1"/>
    <col min="2" max="2" width="36.425" customWidth="1"/>
    <col min="3" max="3" width="19" customWidth="1"/>
    <col min="4" max="4" width="15.425" customWidth="1"/>
    <col min="5" max="5" width="17.8583333333333" customWidth="1"/>
    <col min="6" max="6" width="15" customWidth="1"/>
    <col min="7" max="7" width="19" style="483" customWidth="1"/>
    <col min="8" max="8" width="13.425" customWidth="1"/>
    <col min="9" max="9" width="14.8583333333333" style="484" customWidth="1"/>
    <col min="10" max="10" width="14.1416666666667" customWidth="1"/>
    <col min="11" max="11" width="10.8583333333333" customWidth="1"/>
    <col min="12" max="12" width="10.5666666666667" customWidth="1"/>
    <col min="15" max="15" width="9.14166666666667" style="484"/>
    <col min="18" max="18" width="9.14166666666667" style="484"/>
  </cols>
  <sheetData>
    <row r="1" customFormat="1" ht="15.75" customHeight="1"/>
    <row r="2" customFormat="1" ht="15.75" spans="2:7">
      <c r="B2" s="485" t="str">
        <f>"Cycle in Calculation "&amp;MCSCycle</f>
        <v>Cycle in Calculation </v>
      </c>
      <c r="C2" s="485" t="str">
        <f>"Required Number of Interactions "&amp;MCSRun</f>
        <v>Required Number of Interactions 100</v>
      </c>
      <c r="G2" s="485" t="str">
        <f>"Current interaction "&amp;MCSInt</f>
        <v>Current interaction 0</v>
      </c>
    </row>
    <row r="3" customFormat="1" ht="15.75" spans="1:7">
      <c r="A3" s="486">
        <v>0</v>
      </c>
      <c r="B3" s="487" t="s">
        <v>1276</v>
      </c>
      <c r="C3" s="488"/>
      <c r="D3" s="489"/>
      <c r="E3" s="489"/>
      <c r="F3" s="489"/>
      <c r="G3" s="485"/>
    </row>
    <row r="4" customFormat="1" ht="15.75" spans="2:9">
      <c r="B4" s="490" t="s">
        <v>1277</v>
      </c>
      <c r="C4" s="491" t="s">
        <v>1278</v>
      </c>
      <c r="D4" s="492" t="s">
        <v>1279</v>
      </c>
      <c r="E4" s="493" t="s">
        <v>154</v>
      </c>
      <c r="F4" s="493" t="s">
        <v>157</v>
      </c>
      <c r="G4" s="493" t="s">
        <v>1280</v>
      </c>
      <c r="H4" s="493" t="s">
        <v>1281</v>
      </c>
      <c r="I4" s="493" t="s">
        <v>1282</v>
      </c>
    </row>
    <row r="5" customFormat="1" ht="15.75" spans="2:9">
      <c r="B5" s="494"/>
      <c r="C5" s="495"/>
      <c r="D5" s="490"/>
      <c r="E5" s="494"/>
      <c r="F5" s="494"/>
      <c r="G5" s="494">
        <v>0</v>
      </c>
      <c r="H5" s="496">
        <v>0.5</v>
      </c>
      <c r="I5" s="520">
        <v>0.05</v>
      </c>
    </row>
    <row r="6" customFormat="1" ht="15.75" spans="2:9">
      <c r="B6" s="497"/>
      <c r="C6" s="498" t="s">
        <v>142</v>
      </c>
      <c r="D6" s="499" t="s">
        <v>455</v>
      </c>
      <c r="E6" s="497"/>
      <c r="F6" s="497"/>
      <c r="G6" s="497"/>
      <c r="H6" s="500"/>
      <c r="I6" s="521"/>
    </row>
    <row r="7" customFormat="1" ht="14.25" spans="2:9">
      <c r="B7" s="501">
        <v>1.25</v>
      </c>
      <c r="C7" s="502"/>
      <c r="D7" s="502" t="s">
        <v>125</v>
      </c>
      <c r="E7" s="502"/>
      <c r="F7" s="502"/>
      <c r="G7" s="502"/>
      <c r="H7" s="502"/>
      <c r="I7" s="502"/>
    </row>
    <row r="8" customFormat="1" ht="14.25" spans="2:9">
      <c r="B8" s="503">
        <v>1.26</v>
      </c>
      <c r="C8" s="504"/>
      <c r="D8" s="504" t="s">
        <v>125</v>
      </c>
      <c r="E8" s="504"/>
      <c r="F8" s="504"/>
      <c r="G8" s="504"/>
      <c r="H8" s="504"/>
      <c r="I8" s="504"/>
    </row>
    <row r="9" customFormat="1" ht="14.25" spans="2:9">
      <c r="B9" s="503">
        <v>1.31</v>
      </c>
      <c r="C9" s="504" t="s">
        <v>194</v>
      </c>
      <c r="D9" s="504" t="s">
        <v>125</v>
      </c>
      <c r="E9" s="504"/>
      <c r="F9" s="504"/>
      <c r="G9" s="504"/>
      <c r="H9" s="504"/>
      <c r="I9" s="504"/>
    </row>
    <row r="10" customFormat="1" ht="14.25" spans="2:9">
      <c r="B10" s="503">
        <v>1.41</v>
      </c>
      <c r="C10" s="504"/>
      <c r="D10" s="504" t="s">
        <v>125</v>
      </c>
      <c r="E10" s="504"/>
      <c r="F10" s="504"/>
      <c r="G10" s="504"/>
      <c r="H10" s="504"/>
      <c r="I10" s="504"/>
    </row>
    <row r="11" customFormat="1" ht="14.25" spans="2:9">
      <c r="B11" s="503">
        <v>1.41</v>
      </c>
      <c r="C11" s="504" t="s">
        <v>1283</v>
      </c>
      <c r="D11" s="504"/>
      <c r="E11" s="504"/>
      <c r="F11" s="504"/>
      <c r="G11" s="504">
        <v>0.055</v>
      </c>
      <c r="H11" s="504">
        <v>0.082</v>
      </c>
      <c r="I11" s="504"/>
    </row>
    <row r="12" customFormat="1" ht="14.25" spans="2:9">
      <c r="B12" s="503">
        <v>1.41</v>
      </c>
      <c r="C12" s="504" t="s">
        <v>1284</v>
      </c>
      <c r="D12" s="504"/>
      <c r="E12" s="504"/>
      <c r="F12" s="504"/>
      <c r="G12" s="504">
        <v>0.055</v>
      </c>
      <c r="H12" s="504">
        <v>0.082</v>
      </c>
      <c r="I12" s="504"/>
    </row>
    <row r="13" customFormat="1" ht="14.25" spans="2:9">
      <c r="B13" s="503">
        <v>1.41</v>
      </c>
      <c r="C13" s="504" t="s">
        <v>1285</v>
      </c>
      <c r="D13" s="504"/>
      <c r="E13" s="504"/>
      <c r="F13" s="504"/>
      <c r="G13" s="504">
        <v>0.055</v>
      </c>
      <c r="H13" s="504">
        <v>0.082</v>
      </c>
      <c r="I13" s="504"/>
    </row>
    <row r="14" customFormat="1" ht="14.25" spans="2:9">
      <c r="B14" s="503">
        <v>1.24</v>
      </c>
      <c r="C14" s="504"/>
      <c r="D14" s="504" t="s">
        <v>125</v>
      </c>
      <c r="E14" s="504"/>
      <c r="F14" s="504"/>
      <c r="G14" s="504"/>
      <c r="H14" s="504"/>
      <c r="I14" s="504"/>
    </row>
    <row r="15" customFormat="1" ht="14.25" spans="2:9">
      <c r="B15" s="503">
        <v>1.12</v>
      </c>
      <c r="C15" s="504" t="s">
        <v>133</v>
      </c>
      <c r="D15" s="504"/>
      <c r="E15" s="504"/>
      <c r="F15" s="504"/>
      <c r="G15" s="504">
        <v>0</v>
      </c>
      <c r="H15" s="504">
        <v>0.35</v>
      </c>
      <c r="I15" s="504"/>
    </row>
    <row r="16" customFormat="1" ht="14.25" spans="2:9">
      <c r="B16" s="503">
        <v>1.12</v>
      </c>
      <c r="C16" s="504" t="s">
        <v>136</v>
      </c>
      <c r="D16" s="504"/>
      <c r="E16" s="504"/>
      <c r="F16" s="504"/>
      <c r="G16" s="504">
        <v>0</v>
      </c>
      <c r="H16" s="504">
        <v>0.35</v>
      </c>
      <c r="I16" s="504"/>
    </row>
    <row r="17" ht="14.25" spans="2:18">
      <c r="B17" s="503">
        <v>1.21</v>
      </c>
      <c r="C17" s="504" t="s">
        <v>1286</v>
      </c>
      <c r="D17" s="504" t="s">
        <v>455</v>
      </c>
      <c r="E17" s="504"/>
      <c r="F17" s="504"/>
      <c r="G17" s="504"/>
      <c r="H17" s="504"/>
      <c r="I17" s="504"/>
      <c r="O17"/>
      <c r="R17"/>
    </row>
    <row r="18" ht="14.25" spans="2:18">
      <c r="B18" s="503">
        <v>1.21</v>
      </c>
      <c r="C18" s="504" t="s">
        <v>1287</v>
      </c>
      <c r="D18" s="504" t="s">
        <v>455</v>
      </c>
      <c r="E18" s="504"/>
      <c r="F18" s="504"/>
      <c r="G18" s="504"/>
      <c r="H18" s="504"/>
      <c r="I18" s="504"/>
      <c r="O18"/>
      <c r="R18"/>
    </row>
    <row r="19" ht="14.25" spans="2:18">
      <c r="B19" s="503">
        <v>1.21</v>
      </c>
      <c r="C19" s="504" t="s">
        <v>1288</v>
      </c>
      <c r="D19" s="504"/>
      <c r="E19" s="504">
        <v>1</v>
      </c>
      <c r="F19" s="504">
        <v>1.05</v>
      </c>
      <c r="G19" s="504"/>
      <c r="H19" s="504"/>
      <c r="I19" s="504"/>
      <c r="O19"/>
      <c r="R19"/>
    </row>
    <row r="20" ht="14.25" spans="2:18">
      <c r="B20" s="503">
        <v>1.22</v>
      </c>
      <c r="C20" s="504" t="s">
        <v>1289</v>
      </c>
      <c r="D20" s="504" t="s">
        <v>455</v>
      </c>
      <c r="E20" s="504"/>
      <c r="F20" s="504"/>
      <c r="G20" s="504"/>
      <c r="H20" s="504"/>
      <c r="I20" s="504"/>
      <c r="O20"/>
      <c r="R20"/>
    </row>
    <row r="21" ht="14.25" spans="2:18">
      <c r="B21" s="503">
        <v>1.22</v>
      </c>
      <c r="C21" s="504" t="s">
        <v>1290</v>
      </c>
      <c r="D21" s="504"/>
      <c r="E21" s="504">
        <v>1</v>
      </c>
      <c r="F21" s="504">
        <v>1.1</v>
      </c>
      <c r="G21" s="504"/>
      <c r="H21" s="504"/>
      <c r="I21" s="504"/>
      <c r="O21"/>
      <c r="R21"/>
    </row>
    <row r="22" ht="14.25" spans="2:18">
      <c r="B22" s="503">
        <v>1.22</v>
      </c>
      <c r="C22" s="504" t="s">
        <v>1291</v>
      </c>
      <c r="D22" s="504"/>
      <c r="E22" s="504">
        <v>1</v>
      </c>
      <c r="F22" s="504">
        <v>1.1</v>
      </c>
      <c r="G22" s="504"/>
      <c r="H22" s="504"/>
      <c r="I22" s="504"/>
      <c r="O22"/>
      <c r="R22"/>
    </row>
    <row r="23" ht="14.25" spans="2:18">
      <c r="B23" s="503">
        <v>1.23</v>
      </c>
      <c r="C23" s="504" t="s">
        <v>1289</v>
      </c>
      <c r="D23" s="504" t="s">
        <v>455</v>
      </c>
      <c r="E23" s="504"/>
      <c r="F23" s="504"/>
      <c r="G23" s="504"/>
      <c r="H23" s="504"/>
      <c r="I23" s="504"/>
      <c r="O23"/>
      <c r="R23"/>
    </row>
    <row r="24" ht="14.25" spans="2:18">
      <c r="B24" s="503">
        <v>1.23</v>
      </c>
      <c r="C24" s="504" t="s">
        <v>1290</v>
      </c>
      <c r="D24" s="504"/>
      <c r="E24" s="504">
        <v>1</v>
      </c>
      <c r="F24" s="504">
        <v>1.1</v>
      </c>
      <c r="G24" s="504"/>
      <c r="H24" s="504"/>
      <c r="I24" s="504"/>
      <c r="O24"/>
      <c r="R24"/>
    </row>
    <row r="25" ht="14.25" spans="2:18">
      <c r="B25" s="503">
        <v>1.23</v>
      </c>
      <c r="C25" s="504" t="s">
        <v>1291</v>
      </c>
      <c r="D25" s="504"/>
      <c r="E25" s="504">
        <v>1</v>
      </c>
      <c r="F25" s="504">
        <v>1.1</v>
      </c>
      <c r="G25" s="504"/>
      <c r="H25" s="504"/>
      <c r="I25" s="504"/>
      <c r="O25"/>
      <c r="R25"/>
    </row>
    <row r="26" ht="14.25" spans="2:18">
      <c r="B26" s="503">
        <v>1.412</v>
      </c>
      <c r="C26" s="504" t="s">
        <v>1283</v>
      </c>
      <c r="D26" s="504"/>
      <c r="E26" s="504"/>
      <c r="F26" s="504"/>
      <c r="G26" s="504">
        <v>0.055</v>
      </c>
      <c r="H26" s="504">
        <v>0.082</v>
      </c>
      <c r="I26" s="504"/>
      <c r="O26"/>
      <c r="R26"/>
    </row>
    <row r="27" ht="14.25" spans="2:18">
      <c r="B27" s="503">
        <v>1.412</v>
      </c>
      <c r="C27" s="504" t="s">
        <v>1284</v>
      </c>
      <c r="D27" s="504"/>
      <c r="E27" s="504"/>
      <c r="F27" s="504"/>
      <c r="G27" s="504">
        <v>0.055</v>
      </c>
      <c r="H27" s="504">
        <v>0.082</v>
      </c>
      <c r="I27" s="504"/>
      <c r="O27"/>
      <c r="R27"/>
    </row>
    <row r="28" ht="14.25" spans="2:18">
      <c r="B28" s="503">
        <v>1.412</v>
      </c>
      <c r="C28" s="504" t="s">
        <v>1285</v>
      </c>
      <c r="D28" s="504"/>
      <c r="E28" s="504"/>
      <c r="F28" s="504"/>
      <c r="G28" s="504">
        <v>0.055</v>
      </c>
      <c r="H28" s="504">
        <v>0.082</v>
      </c>
      <c r="I28" s="504"/>
      <c r="O28"/>
      <c r="R28"/>
    </row>
    <row r="29" ht="14.25" spans="2:18">
      <c r="B29" s="503">
        <v>1.413</v>
      </c>
      <c r="C29" s="504" t="s">
        <v>1283</v>
      </c>
      <c r="D29" s="504"/>
      <c r="E29" s="504"/>
      <c r="F29" s="504"/>
      <c r="G29" s="504">
        <v>0.055</v>
      </c>
      <c r="H29" s="504">
        <v>0.082</v>
      </c>
      <c r="I29" s="504"/>
      <c r="O29"/>
      <c r="R29"/>
    </row>
    <row r="30" ht="14.25" spans="2:18">
      <c r="B30" s="503">
        <v>1.413</v>
      </c>
      <c r="C30" s="504" t="s">
        <v>1284</v>
      </c>
      <c r="D30" s="504"/>
      <c r="E30" s="504"/>
      <c r="F30" s="504"/>
      <c r="G30" s="504">
        <v>0.055</v>
      </c>
      <c r="H30" s="504">
        <v>0.082</v>
      </c>
      <c r="I30" s="504"/>
      <c r="O30"/>
      <c r="R30"/>
    </row>
    <row r="31" ht="14.25" spans="2:18">
      <c r="B31" s="503">
        <v>1.413</v>
      </c>
      <c r="C31" s="504" t="s">
        <v>1285</v>
      </c>
      <c r="D31" s="504"/>
      <c r="E31" s="504"/>
      <c r="F31" s="504"/>
      <c r="G31" s="504">
        <v>0.055</v>
      </c>
      <c r="H31" s="504">
        <v>0.082</v>
      </c>
      <c r="I31" s="504"/>
      <c r="O31"/>
      <c r="R31"/>
    </row>
    <row r="32" ht="14.25" spans="2:18">
      <c r="B32" s="503">
        <v>1.12</v>
      </c>
      <c r="C32" s="504" t="s">
        <v>1292</v>
      </c>
      <c r="D32" s="504" t="s">
        <v>455</v>
      </c>
      <c r="E32" s="504"/>
      <c r="F32" s="504"/>
      <c r="G32" s="504"/>
      <c r="H32" s="504"/>
      <c r="I32" s="504"/>
      <c r="O32"/>
      <c r="R32"/>
    </row>
    <row r="33" ht="18" spans="1:18">
      <c r="A33" s="505"/>
      <c r="B33" s="485"/>
      <c r="C33" s="485"/>
      <c r="G33" s="485"/>
      <c r="H33" s="506"/>
      <c r="I33" s="522"/>
      <c r="O33"/>
      <c r="R33"/>
    </row>
    <row r="34" ht="18" spans="1:18">
      <c r="A34" s="505"/>
      <c r="B34" s="485"/>
      <c r="C34" s="485"/>
      <c r="G34" s="485"/>
      <c r="H34" s="506"/>
      <c r="I34" s="522"/>
      <c r="O34"/>
      <c r="R34"/>
    </row>
    <row r="35" ht="15.75" spans="1:18">
      <c r="A35" s="486">
        <v>1</v>
      </c>
      <c r="B35" s="487" t="s">
        <v>486</v>
      </c>
      <c r="C35" s="507"/>
      <c r="D35" s="507"/>
      <c r="E35" s="507"/>
      <c r="F35" s="507"/>
      <c r="G35"/>
      <c r="I35"/>
      <c r="O35"/>
      <c r="R35"/>
    </row>
    <row r="36" s="482" customFormat="1" ht="15.75" spans="1:15">
      <c r="A36" s="508"/>
      <c r="B36" s="509"/>
      <c r="D36" s="510" t="s">
        <v>1293</v>
      </c>
      <c r="E36" s="510"/>
      <c r="F36" s="510"/>
      <c r="G36" s="510" t="s">
        <v>1294</v>
      </c>
      <c r="H36" s="510"/>
      <c r="I36" s="510"/>
      <c r="J36" s="510" t="s">
        <v>1295</v>
      </c>
      <c r="K36" s="510"/>
      <c r="L36" s="523"/>
      <c r="M36" s="524"/>
      <c r="N36" s="524"/>
      <c r="O36" s="524"/>
    </row>
    <row r="37" s="482" customFormat="1" ht="15.75" spans="1:15">
      <c r="A37" s="508"/>
      <c r="B37" s="509"/>
      <c r="C37" s="511" t="s">
        <v>1279</v>
      </c>
      <c r="D37" s="512" t="s">
        <v>1296</v>
      </c>
      <c r="E37" s="512" t="s">
        <v>154</v>
      </c>
      <c r="F37" s="512" t="s">
        <v>157</v>
      </c>
      <c r="G37" s="512" t="s">
        <v>1280</v>
      </c>
      <c r="H37" s="512" t="s">
        <v>1281</v>
      </c>
      <c r="I37" s="512" t="s">
        <v>1282</v>
      </c>
      <c r="J37" s="512" t="s">
        <v>1297</v>
      </c>
      <c r="K37" s="512" t="s">
        <v>1298</v>
      </c>
      <c r="M37" s="524"/>
      <c r="N37" s="524"/>
      <c r="O37" s="524"/>
    </row>
    <row r="38" hidden="1" spans="1:18">
      <c r="A38" s="513">
        <v>1.11</v>
      </c>
      <c r="B38" s="514" t="s">
        <v>101</v>
      </c>
      <c r="C38" s="515"/>
      <c r="D38" s="515"/>
      <c r="E38" s="515"/>
      <c r="F38" s="515"/>
      <c r="G38" s="515"/>
      <c r="H38" s="515"/>
      <c r="I38" s="515"/>
      <c r="J38" s="515"/>
      <c r="K38" s="515"/>
      <c r="L38" s="515"/>
      <c r="M38" s="515"/>
      <c r="N38" s="515"/>
      <c r="O38" s="515"/>
      <c r="R38"/>
    </row>
    <row r="39" hidden="1" spans="1:18">
      <c r="A39" s="516"/>
      <c r="B39" s="516"/>
      <c r="C39" s="515"/>
      <c r="D39" s="515"/>
      <c r="E39" s="515"/>
      <c r="F39" s="515"/>
      <c r="G39" s="515"/>
      <c r="H39" s="515"/>
      <c r="I39" s="515"/>
      <c r="J39" s="515"/>
      <c r="K39" s="515"/>
      <c r="L39" s="515"/>
      <c r="M39" s="515"/>
      <c r="N39" s="515"/>
      <c r="O39" s="515"/>
      <c r="R39"/>
    </row>
    <row r="40" spans="1:18">
      <c r="A40" s="513">
        <v>1.12</v>
      </c>
      <c r="B40" s="514" t="s">
        <v>60</v>
      </c>
      <c r="C40" s="515"/>
      <c r="D40" s="515"/>
      <c r="E40" s="515"/>
      <c r="F40" s="515"/>
      <c r="G40" s="515"/>
      <c r="H40" s="515"/>
      <c r="I40" s="515"/>
      <c r="J40" s="515"/>
      <c r="K40" s="515"/>
      <c r="L40" s="515"/>
      <c r="M40" s="515"/>
      <c r="N40" s="515"/>
      <c r="O40" s="515"/>
      <c r="R40"/>
    </row>
    <row r="41" spans="2:18">
      <c r="B41" s="517"/>
      <c r="C41" s="515"/>
      <c r="D41" s="515"/>
      <c r="E41" s="515"/>
      <c r="F41" s="515"/>
      <c r="G41" s="515"/>
      <c r="H41" s="515"/>
      <c r="I41" s="515"/>
      <c r="J41" s="515"/>
      <c r="K41" s="515"/>
      <c r="L41" s="515"/>
      <c r="M41" s="515"/>
      <c r="N41" s="515"/>
      <c r="O41" s="515"/>
      <c r="R41"/>
    </row>
    <row r="42" spans="1:18">
      <c r="A42" s="513">
        <v>1.21</v>
      </c>
      <c r="B42" s="514" t="s">
        <v>143</v>
      </c>
      <c r="C42" s="515"/>
      <c r="D42" s="515"/>
      <c r="E42" s="515"/>
      <c r="F42" s="515"/>
      <c r="G42" s="515"/>
      <c r="H42" s="515"/>
      <c r="I42" s="515"/>
      <c r="J42" s="515"/>
      <c r="K42" s="515"/>
      <c r="L42" s="515"/>
      <c r="M42" s="515"/>
      <c r="N42" s="515"/>
      <c r="O42" s="515"/>
      <c r="R42"/>
    </row>
    <row r="43" spans="1:18">
      <c r="A43" s="518"/>
      <c r="B43" s="519"/>
      <c r="C43" s="515"/>
      <c r="D43" s="515"/>
      <c r="E43" s="515"/>
      <c r="F43" s="515"/>
      <c r="G43" s="515"/>
      <c r="H43" s="515"/>
      <c r="I43" s="515"/>
      <c r="J43" s="515"/>
      <c r="K43" s="515"/>
      <c r="L43" s="515"/>
      <c r="M43" s="515"/>
      <c r="N43" s="515"/>
      <c r="O43" s="515"/>
      <c r="R43"/>
    </row>
    <row r="44" spans="1:18">
      <c r="A44" s="513">
        <v>1.211</v>
      </c>
      <c r="B44" s="514" t="s">
        <v>587</v>
      </c>
      <c r="C44" s="515"/>
      <c r="D44" s="515"/>
      <c r="E44" s="515"/>
      <c r="F44" s="515"/>
      <c r="G44" s="515"/>
      <c r="H44" s="515"/>
      <c r="I44" s="515"/>
      <c r="J44" s="515"/>
      <c r="K44" s="515"/>
      <c r="L44" s="515"/>
      <c r="M44" s="515"/>
      <c r="N44" s="515"/>
      <c r="O44" s="515"/>
      <c r="R44"/>
    </row>
    <row r="45" spans="1:18">
      <c r="A45" s="513">
        <v>1.212</v>
      </c>
      <c r="B45" s="514" t="s">
        <v>588</v>
      </c>
      <c r="C45" s="515"/>
      <c r="D45" s="515"/>
      <c r="E45" s="515"/>
      <c r="F45" s="515"/>
      <c r="G45" s="515"/>
      <c r="H45" s="515"/>
      <c r="I45" s="515"/>
      <c r="J45" s="515"/>
      <c r="K45" s="515"/>
      <c r="L45" s="515"/>
      <c r="M45" s="515"/>
      <c r="N45" s="515"/>
      <c r="O45" s="515"/>
      <c r="R45"/>
    </row>
    <row r="46" spans="1:18">
      <c r="A46" s="513">
        <v>1.213</v>
      </c>
      <c r="B46" s="514" t="s">
        <v>589</v>
      </c>
      <c r="C46" s="515"/>
      <c r="D46" s="515"/>
      <c r="E46" s="515"/>
      <c r="F46" s="515"/>
      <c r="G46" s="515"/>
      <c r="H46" s="515"/>
      <c r="I46" s="515"/>
      <c r="J46" s="515"/>
      <c r="K46" s="515"/>
      <c r="L46" s="515"/>
      <c r="M46" s="515"/>
      <c r="N46" s="515"/>
      <c r="O46" s="515"/>
      <c r="R46"/>
    </row>
    <row r="47" spans="1:18">
      <c r="A47" s="518"/>
      <c r="B47" s="519"/>
      <c r="C47" s="515"/>
      <c r="D47" s="515"/>
      <c r="E47" s="515"/>
      <c r="F47" s="515"/>
      <c r="G47" s="515"/>
      <c r="H47" s="515"/>
      <c r="I47" s="515"/>
      <c r="J47" s="515"/>
      <c r="K47" s="515"/>
      <c r="L47" s="515"/>
      <c r="M47" s="515"/>
      <c r="N47" s="515"/>
      <c r="O47" s="515"/>
      <c r="R47"/>
    </row>
    <row r="48" spans="1:18">
      <c r="A48" s="513">
        <v>1.22</v>
      </c>
      <c r="B48" s="514" t="s">
        <v>606</v>
      </c>
      <c r="C48" s="515"/>
      <c r="D48" s="515"/>
      <c r="E48" s="515"/>
      <c r="F48" s="515"/>
      <c r="G48" s="515"/>
      <c r="H48" s="515"/>
      <c r="I48" s="515"/>
      <c r="J48" s="515"/>
      <c r="K48" s="515"/>
      <c r="L48" s="515"/>
      <c r="M48" s="515"/>
      <c r="N48" s="515"/>
      <c r="O48" s="515"/>
      <c r="R48"/>
    </row>
    <row r="49" spans="1:18">
      <c r="A49" s="518"/>
      <c r="B49" s="519"/>
      <c r="C49" s="515"/>
      <c r="D49" s="515"/>
      <c r="E49" s="515"/>
      <c r="F49" s="515"/>
      <c r="G49" s="515"/>
      <c r="H49" s="515"/>
      <c r="I49" s="515"/>
      <c r="J49" s="515"/>
      <c r="K49" s="515"/>
      <c r="L49" s="515"/>
      <c r="M49" s="515"/>
      <c r="N49" s="515"/>
      <c r="O49" s="515"/>
      <c r="R49"/>
    </row>
    <row r="50" spans="1:18">
      <c r="A50" s="513">
        <v>1.221</v>
      </c>
      <c r="B50" s="514" t="s">
        <v>622</v>
      </c>
      <c r="C50" s="515"/>
      <c r="D50" s="515"/>
      <c r="E50" s="515"/>
      <c r="F50" s="515"/>
      <c r="G50" s="515"/>
      <c r="H50" s="515"/>
      <c r="I50" s="515"/>
      <c r="J50" s="515"/>
      <c r="K50" s="515"/>
      <c r="L50" s="515"/>
      <c r="M50" s="515"/>
      <c r="N50" s="515"/>
      <c r="O50" s="515"/>
      <c r="R50"/>
    </row>
    <row r="51" spans="1:18">
      <c r="A51" s="513">
        <v>1.222</v>
      </c>
      <c r="B51" s="514" t="s">
        <v>623</v>
      </c>
      <c r="C51" s="515"/>
      <c r="D51" s="515"/>
      <c r="E51" s="515"/>
      <c r="F51" s="515"/>
      <c r="G51" s="515"/>
      <c r="H51" s="515"/>
      <c r="I51" s="515"/>
      <c r="J51" s="515"/>
      <c r="K51" s="515"/>
      <c r="L51" s="515"/>
      <c r="M51" s="515"/>
      <c r="N51" s="515"/>
      <c r="O51" s="515"/>
      <c r="R51"/>
    </row>
    <row r="52" spans="1:18">
      <c r="A52" s="513">
        <v>1.223</v>
      </c>
      <c r="B52" s="514" t="s">
        <v>624</v>
      </c>
      <c r="C52" s="515"/>
      <c r="D52" s="515"/>
      <c r="E52" s="515"/>
      <c r="F52" s="515"/>
      <c r="G52" s="515"/>
      <c r="H52" s="515"/>
      <c r="I52" s="515"/>
      <c r="J52" s="515"/>
      <c r="K52" s="515"/>
      <c r="L52" s="515"/>
      <c r="M52" s="515"/>
      <c r="N52" s="515"/>
      <c r="O52" s="515"/>
      <c r="R52"/>
    </row>
    <row r="53" spans="1:18">
      <c r="A53" s="518"/>
      <c r="B53" s="519"/>
      <c r="C53" s="515"/>
      <c r="D53" s="515"/>
      <c r="E53" s="515"/>
      <c r="F53" s="515"/>
      <c r="G53" s="515"/>
      <c r="H53" s="515"/>
      <c r="I53" s="515"/>
      <c r="J53" s="515"/>
      <c r="K53" s="515"/>
      <c r="L53" s="515"/>
      <c r="M53" s="515"/>
      <c r="N53" s="515"/>
      <c r="O53" s="515"/>
      <c r="R53"/>
    </row>
    <row r="54" spans="1:18">
      <c r="A54" s="513">
        <v>1.23</v>
      </c>
      <c r="B54" s="514" t="s">
        <v>69</v>
      </c>
      <c r="C54" s="515"/>
      <c r="D54" s="515"/>
      <c r="E54" s="515"/>
      <c r="F54" s="515"/>
      <c r="G54" s="515"/>
      <c r="H54" s="515"/>
      <c r="I54" s="515"/>
      <c r="J54" s="515"/>
      <c r="K54" s="515"/>
      <c r="L54" s="515"/>
      <c r="M54" s="515"/>
      <c r="N54" s="515"/>
      <c r="O54" s="515"/>
      <c r="R54"/>
    </row>
    <row r="55" spans="1:18">
      <c r="A55" s="518"/>
      <c r="B55" s="519"/>
      <c r="C55" s="515"/>
      <c r="D55" s="515"/>
      <c r="E55" s="515"/>
      <c r="F55" s="515"/>
      <c r="G55" s="515"/>
      <c r="H55" s="515"/>
      <c r="I55" s="515"/>
      <c r="J55" s="515"/>
      <c r="K55" s="515"/>
      <c r="L55" s="515"/>
      <c r="M55" s="515"/>
      <c r="N55" s="515"/>
      <c r="O55" s="515"/>
      <c r="R55"/>
    </row>
    <row r="56" spans="1:18">
      <c r="A56" s="513">
        <v>1.231</v>
      </c>
      <c r="B56" s="514" t="s">
        <v>643</v>
      </c>
      <c r="C56" s="515"/>
      <c r="D56" s="515"/>
      <c r="E56" s="515"/>
      <c r="F56" s="515"/>
      <c r="G56" s="515"/>
      <c r="H56" s="515"/>
      <c r="I56" s="515"/>
      <c r="J56" s="515"/>
      <c r="K56" s="515"/>
      <c r="L56" s="515"/>
      <c r="M56" s="515"/>
      <c r="N56" s="515"/>
      <c r="O56" s="515"/>
      <c r="R56"/>
    </row>
    <row r="57" spans="1:18">
      <c r="A57" s="513">
        <v>1.232</v>
      </c>
      <c r="B57" s="514" t="s">
        <v>644</v>
      </c>
      <c r="C57" s="515"/>
      <c r="D57" s="515"/>
      <c r="E57" s="515"/>
      <c r="F57" s="515"/>
      <c r="G57" s="515"/>
      <c r="H57" s="515"/>
      <c r="I57" s="515"/>
      <c r="J57" s="515"/>
      <c r="K57" s="515"/>
      <c r="L57" s="515"/>
      <c r="M57" s="515"/>
      <c r="N57" s="515"/>
      <c r="O57" s="515"/>
      <c r="R57"/>
    </row>
    <row r="58" spans="1:18">
      <c r="A58" s="513">
        <v>1.233</v>
      </c>
      <c r="B58" s="514" t="s">
        <v>645</v>
      </c>
      <c r="C58" s="515"/>
      <c r="D58" s="515"/>
      <c r="E58" s="515"/>
      <c r="F58" s="515"/>
      <c r="G58" s="515"/>
      <c r="H58" s="515"/>
      <c r="I58" s="515"/>
      <c r="J58" s="515"/>
      <c r="K58" s="515"/>
      <c r="L58" s="515"/>
      <c r="M58" s="515"/>
      <c r="N58" s="515"/>
      <c r="O58" s="515"/>
      <c r="R58"/>
    </row>
    <row r="59" spans="1:18">
      <c r="A59" s="518"/>
      <c r="B59" s="519"/>
      <c r="C59" s="515"/>
      <c r="D59" s="515"/>
      <c r="E59" s="515"/>
      <c r="F59" s="515"/>
      <c r="G59" s="515"/>
      <c r="H59" s="515"/>
      <c r="I59" s="515"/>
      <c r="J59" s="515"/>
      <c r="K59" s="515"/>
      <c r="L59" s="515"/>
      <c r="M59" s="515"/>
      <c r="N59" s="515"/>
      <c r="O59" s="515"/>
      <c r="R59"/>
    </row>
    <row r="60" spans="1:18">
      <c r="A60" s="513">
        <v>1.24</v>
      </c>
      <c r="B60" s="514" t="s">
        <v>172</v>
      </c>
      <c r="C60" s="515"/>
      <c r="D60" s="515"/>
      <c r="E60" s="515"/>
      <c r="F60" s="515"/>
      <c r="G60" s="515"/>
      <c r="H60" s="515"/>
      <c r="I60" s="515"/>
      <c r="J60" s="515"/>
      <c r="K60" s="515"/>
      <c r="L60" s="515"/>
      <c r="M60" s="515"/>
      <c r="N60" s="515"/>
      <c r="O60" s="515"/>
      <c r="R60"/>
    </row>
    <row r="61" spans="1:18">
      <c r="A61" s="518"/>
      <c r="B61" s="519"/>
      <c r="C61" s="515"/>
      <c r="D61" s="515"/>
      <c r="E61" s="515"/>
      <c r="F61" s="515"/>
      <c r="G61" s="515"/>
      <c r="H61" s="515"/>
      <c r="I61" s="515"/>
      <c r="J61" s="515"/>
      <c r="K61" s="515"/>
      <c r="L61" s="515"/>
      <c r="M61" s="515"/>
      <c r="N61" s="515"/>
      <c r="O61" s="515"/>
      <c r="R61"/>
    </row>
    <row r="62" spans="1:18">
      <c r="A62" s="513">
        <v>1.241</v>
      </c>
      <c r="B62" s="514" t="s">
        <v>650</v>
      </c>
      <c r="G62"/>
      <c r="I62"/>
      <c r="O62"/>
      <c r="R62"/>
    </row>
    <row r="63" spans="1:18">
      <c r="A63" s="513">
        <v>1.242</v>
      </c>
      <c r="B63" s="514" t="s">
        <v>651</v>
      </c>
      <c r="G63"/>
      <c r="I63"/>
      <c r="O63"/>
      <c r="R63"/>
    </row>
    <row r="64" spans="1:18">
      <c r="A64" s="513">
        <v>1.243</v>
      </c>
      <c r="B64" s="514" t="s">
        <v>652</v>
      </c>
      <c r="G64"/>
      <c r="I64"/>
      <c r="O64"/>
      <c r="R64"/>
    </row>
    <row r="65" spans="1:18">
      <c r="A65" s="518"/>
      <c r="B65" s="519"/>
      <c r="G65"/>
      <c r="I65"/>
      <c r="O65"/>
      <c r="R65"/>
    </row>
    <row r="66" spans="1:18">
      <c r="A66" s="513">
        <v>1.25</v>
      </c>
      <c r="B66" s="514" t="s">
        <v>77</v>
      </c>
      <c r="G66"/>
      <c r="I66"/>
      <c r="O66"/>
      <c r="R66"/>
    </row>
    <row r="67" spans="1:18">
      <c r="A67" s="518"/>
      <c r="B67" s="519"/>
      <c r="G67"/>
      <c r="I67"/>
      <c r="O67"/>
      <c r="R67"/>
    </row>
    <row r="68" spans="1:18">
      <c r="A68" s="513">
        <v>1.251</v>
      </c>
      <c r="B68" s="514" t="s">
        <v>658</v>
      </c>
      <c r="G68"/>
      <c r="I68"/>
      <c r="O68"/>
      <c r="R68"/>
    </row>
    <row r="69" spans="1:18">
      <c r="A69" s="513">
        <v>1.252</v>
      </c>
      <c r="B69" s="514" t="s">
        <v>659</v>
      </c>
      <c r="G69"/>
      <c r="I69"/>
      <c r="O69"/>
      <c r="R69"/>
    </row>
    <row r="70" spans="1:18">
      <c r="A70" s="513">
        <v>1.253</v>
      </c>
      <c r="B70" s="525" t="s">
        <v>660</v>
      </c>
      <c r="G70"/>
      <c r="I70"/>
      <c r="O70"/>
      <c r="R70"/>
    </row>
    <row r="71" spans="1:18">
      <c r="A71" s="518"/>
      <c r="B71" s="526"/>
      <c r="G71"/>
      <c r="I71"/>
      <c r="O71"/>
      <c r="R71"/>
    </row>
    <row r="72" spans="1:18">
      <c r="A72" s="513">
        <v>1.26</v>
      </c>
      <c r="B72" s="527" t="s">
        <v>168</v>
      </c>
      <c r="G72"/>
      <c r="I72"/>
      <c r="O72"/>
      <c r="R72"/>
    </row>
    <row r="73" spans="1:18">
      <c r="A73" s="528"/>
      <c r="B73" s="529"/>
      <c r="G73"/>
      <c r="I73"/>
      <c r="O73"/>
      <c r="R73"/>
    </row>
    <row r="74" spans="1:18">
      <c r="A74" s="530"/>
      <c r="B74" s="531" t="s">
        <v>663</v>
      </c>
      <c r="G74"/>
      <c r="I74"/>
      <c r="O74"/>
      <c r="R74"/>
    </row>
    <row r="75" spans="1:18">
      <c r="A75" s="532"/>
      <c r="B75" s="533"/>
      <c r="G75"/>
      <c r="I75"/>
      <c r="O75"/>
      <c r="R75"/>
    </row>
    <row r="76" spans="1:18">
      <c r="A76" s="530"/>
      <c r="B76" s="531" t="s">
        <v>665</v>
      </c>
      <c r="G76"/>
      <c r="I76"/>
      <c r="O76"/>
      <c r="R76"/>
    </row>
    <row r="77" spans="1:18">
      <c r="A77" s="534"/>
      <c r="B77" s="533"/>
      <c r="G77"/>
      <c r="I77"/>
      <c r="O77"/>
      <c r="R77"/>
    </row>
    <row r="78" spans="1:18">
      <c r="A78" s="530"/>
      <c r="B78" s="531" t="s">
        <v>667</v>
      </c>
      <c r="G78"/>
      <c r="I78"/>
      <c r="O78"/>
      <c r="R78"/>
    </row>
    <row r="79" spans="1:18">
      <c r="A79" s="518"/>
      <c r="B79" s="526"/>
      <c r="G79"/>
      <c r="I79"/>
      <c r="O79"/>
      <c r="R79"/>
    </row>
    <row r="80" spans="1:18">
      <c r="A80" s="513">
        <v>1.31</v>
      </c>
      <c r="B80" s="514" t="s">
        <v>192</v>
      </c>
      <c r="G80"/>
      <c r="I80"/>
      <c r="O80"/>
      <c r="R80"/>
    </row>
    <row r="81" spans="1:18">
      <c r="A81" s="530"/>
      <c r="B81" s="535"/>
      <c r="G81"/>
      <c r="I81"/>
      <c r="O81"/>
      <c r="R81"/>
    </row>
    <row r="82" spans="2:18">
      <c r="B82" s="517"/>
      <c r="G82"/>
      <c r="I82"/>
      <c r="O82"/>
      <c r="R82"/>
    </row>
    <row r="83" spans="1:18">
      <c r="A83" s="513">
        <v>1.32</v>
      </c>
      <c r="B83" s="514" t="s">
        <v>671</v>
      </c>
      <c r="G83"/>
      <c r="I83"/>
      <c r="O83"/>
      <c r="R83"/>
    </row>
    <row r="84" spans="1:18">
      <c r="A84" s="518"/>
      <c r="B84" s="519"/>
      <c r="G84"/>
      <c r="I84"/>
      <c r="O84"/>
      <c r="R84"/>
    </row>
    <row r="85" spans="1:18">
      <c r="A85" s="513">
        <v>1.321</v>
      </c>
      <c r="B85" s="514" t="s">
        <v>672</v>
      </c>
      <c r="G85"/>
      <c r="I85"/>
      <c r="O85"/>
      <c r="R85"/>
    </row>
    <row r="86" spans="1:18">
      <c r="A86" s="518"/>
      <c r="B86" s="519"/>
      <c r="G86"/>
      <c r="I86"/>
      <c r="O86"/>
      <c r="R86"/>
    </row>
    <row r="87" spans="1:18">
      <c r="A87" s="513">
        <v>1.41</v>
      </c>
      <c r="B87" s="514" t="s">
        <v>1299</v>
      </c>
      <c r="G87"/>
      <c r="I87"/>
      <c r="O87"/>
      <c r="R87"/>
    </row>
    <row r="88" spans="1:18">
      <c r="A88" s="518"/>
      <c r="B88" s="519"/>
      <c r="G88"/>
      <c r="I88"/>
      <c r="O88"/>
      <c r="R88"/>
    </row>
    <row r="89" spans="1:18">
      <c r="A89" s="518">
        <v>1.412</v>
      </c>
      <c r="B89" s="519" t="s">
        <v>1300</v>
      </c>
      <c r="G89"/>
      <c r="I89"/>
      <c r="O89"/>
      <c r="R89"/>
    </row>
    <row r="90" spans="1:18">
      <c r="A90" s="518"/>
      <c r="B90" s="519"/>
      <c r="G90"/>
      <c r="I90"/>
      <c r="O90"/>
      <c r="R90"/>
    </row>
    <row r="91" spans="1:18">
      <c r="A91" s="518">
        <v>1.413</v>
      </c>
      <c r="B91" s="519" t="s">
        <v>1301</v>
      </c>
      <c r="G91"/>
      <c r="I91"/>
      <c r="O91"/>
      <c r="R91"/>
    </row>
    <row r="92" spans="1:18">
      <c r="A92" s="518"/>
      <c r="B92" s="519"/>
      <c r="G92"/>
      <c r="I92"/>
      <c r="O92"/>
      <c r="R92"/>
    </row>
    <row r="93" spans="1:18">
      <c r="A93" s="513">
        <v>1.51</v>
      </c>
      <c r="B93" s="514" t="s">
        <v>781</v>
      </c>
      <c r="G93"/>
      <c r="I93"/>
      <c r="O93"/>
      <c r="R93"/>
    </row>
    <row r="94" spans="2:18">
      <c r="B94" s="517"/>
      <c r="G94"/>
      <c r="I94"/>
      <c r="O94"/>
      <c r="R94"/>
    </row>
    <row r="95" spans="1:18">
      <c r="A95" s="513">
        <v>1.621</v>
      </c>
      <c r="B95" s="536" t="s">
        <v>1133</v>
      </c>
      <c r="G95"/>
      <c r="I95"/>
      <c r="O95"/>
      <c r="R95"/>
    </row>
    <row r="96" spans="1:18">
      <c r="A96" s="518"/>
      <c r="B96" s="537"/>
      <c r="G96"/>
      <c r="I96"/>
      <c r="O96"/>
      <c r="R96"/>
    </row>
    <row r="97" spans="1:18">
      <c r="A97" s="513">
        <v>1.622</v>
      </c>
      <c r="B97" s="536" t="s">
        <v>1230</v>
      </c>
      <c r="G97"/>
      <c r="I97"/>
      <c r="O97"/>
      <c r="R97"/>
    </row>
    <row r="98" spans="1:18">
      <c r="A98" s="518"/>
      <c r="B98" s="537"/>
      <c r="G98"/>
      <c r="I98"/>
      <c r="O98"/>
      <c r="R98"/>
    </row>
    <row r="99" spans="1:18">
      <c r="A99" s="513">
        <v>1.623</v>
      </c>
      <c r="B99" s="536" t="s">
        <v>1231</v>
      </c>
      <c r="G99"/>
      <c r="I99"/>
      <c r="O99"/>
      <c r="R99"/>
    </row>
    <row r="100" spans="2:18">
      <c r="B100" s="517"/>
      <c r="G100"/>
      <c r="I100"/>
      <c r="O100"/>
      <c r="R100"/>
    </row>
    <row r="101" ht="15.75" spans="1:18">
      <c r="A101" s="513">
        <v>1.63</v>
      </c>
      <c r="B101" s="514" t="s">
        <v>73</v>
      </c>
      <c r="C101" s="485" t="s">
        <v>1302</v>
      </c>
      <c r="D101" s="485" t="s">
        <v>1303</v>
      </c>
      <c r="E101" s="485" t="s">
        <v>1304</v>
      </c>
      <c r="G101"/>
      <c r="I101"/>
      <c r="O101"/>
      <c r="R101"/>
    </row>
    <row r="102" s="482" customFormat="1" spans="1:11">
      <c r="A102" s="538"/>
      <c r="B102" s="539"/>
      <c r="C102" s="540"/>
      <c r="D102" s="540"/>
      <c r="E102" s="540"/>
      <c r="F102" s="540"/>
      <c r="G102" s="540"/>
      <c r="H102" s="540"/>
      <c r="I102" s="540"/>
      <c r="J102" s="540"/>
      <c r="K102" s="540"/>
    </row>
    <row r="103" spans="1:18">
      <c r="A103" s="541"/>
      <c r="B103" s="541"/>
      <c r="C103" s="540"/>
      <c r="D103" s="540"/>
      <c r="E103" s="540"/>
      <c r="F103" s="540"/>
      <c r="G103" s="540"/>
      <c r="H103" s="540"/>
      <c r="I103" s="540"/>
      <c r="J103" s="540"/>
      <c r="K103" s="540"/>
      <c r="O103"/>
      <c r="R103"/>
    </row>
    <row r="104" ht="15.75" spans="1:18">
      <c r="A104" s="542">
        <v>2</v>
      </c>
      <c r="B104" s="487" t="s">
        <v>1305</v>
      </c>
      <c r="C104" s="489"/>
      <c r="D104" s="489"/>
      <c r="E104" s="489"/>
      <c r="F104" s="489"/>
      <c r="G104"/>
      <c r="I104"/>
      <c r="O104"/>
      <c r="R104"/>
    </row>
    <row r="105" s="482" customFormat="1" ht="16.5" spans="1:17">
      <c r="A105" s="543"/>
      <c r="B105" s="544"/>
      <c r="C105" s="544"/>
      <c r="G105" s="327"/>
      <c r="H105" s="327"/>
      <c r="I105" s="327"/>
      <c r="J105" s="327"/>
      <c r="K105" s="327"/>
      <c r="L105" s="327"/>
      <c r="M105" s="327"/>
      <c r="N105" s="327"/>
      <c r="O105" s="327"/>
      <c r="P105" s="327"/>
      <c r="Q105" s="327"/>
    </row>
    <row r="106" ht="14.25" spans="1:18">
      <c r="A106" s="21"/>
      <c r="B106" s="14" t="s">
        <v>315</v>
      </c>
      <c r="C106" s="545"/>
      <c r="D106" s="546" t="s">
        <v>316</v>
      </c>
      <c r="E106" s="546" t="s">
        <v>336</v>
      </c>
      <c r="F106" s="546" t="s">
        <v>105</v>
      </c>
      <c r="G106" s="547"/>
      <c r="H106" s="547"/>
      <c r="I106" s="547"/>
      <c r="J106" s="547"/>
      <c r="K106" s="547"/>
      <c r="L106" s="547"/>
      <c r="M106" s="547"/>
      <c r="N106" s="547"/>
      <c r="O106" s="547"/>
      <c r="Q106" s="326"/>
      <c r="R106"/>
    </row>
    <row r="107" spans="1:18">
      <c r="A107" s="21"/>
      <c r="B107" s="548" t="s">
        <v>1306</v>
      </c>
      <c r="C107" s="540" t="s">
        <v>317</v>
      </c>
      <c r="D107" s="549"/>
      <c r="E107" s="550"/>
      <c r="F107" s="550"/>
      <c r="G107" s="551"/>
      <c r="H107" s="552"/>
      <c r="I107" s="551"/>
      <c r="J107" s="551"/>
      <c r="K107" s="551"/>
      <c r="L107" s="551"/>
      <c r="M107" s="551"/>
      <c r="N107" s="551"/>
      <c r="O107" s="551"/>
      <c r="Q107" s="326"/>
      <c r="R107"/>
    </row>
    <row r="108" spans="1:18">
      <c r="A108" s="21"/>
      <c r="B108" s="548"/>
      <c r="C108" s="540" t="s">
        <v>1307</v>
      </c>
      <c r="D108" s="553"/>
      <c r="E108" s="550"/>
      <c r="F108" s="550"/>
      <c r="G108" s="551"/>
      <c r="H108" s="551"/>
      <c r="I108" s="551"/>
      <c r="J108" s="551"/>
      <c r="K108" s="551"/>
      <c r="L108" s="551"/>
      <c r="M108" s="551"/>
      <c r="N108" s="551"/>
      <c r="O108" s="551"/>
      <c r="Q108" s="326"/>
      <c r="R108"/>
    </row>
    <row r="109" spans="1:18">
      <c r="A109" s="21"/>
      <c r="B109" s="548"/>
      <c r="C109" s="554" t="s">
        <v>1308</v>
      </c>
      <c r="D109" s="555">
        <v>0</v>
      </c>
      <c r="E109" s="555">
        <v>0</v>
      </c>
      <c r="F109" s="555">
        <v>0</v>
      </c>
      <c r="G109" s="556"/>
      <c r="H109" s="556"/>
      <c r="I109" s="556"/>
      <c r="J109" s="556"/>
      <c r="K109" s="556"/>
      <c r="L109" s="556"/>
      <c r="M109" s="556"/>
      <c r="N109" s="556"/>
      <c r="O109" s="556"/>
      <c r="Q109" s="567"/>
      <c r="R109"/>
    </row>
    <row r="110" spans="1:18">
      <c r="A110" s="21"/>
      <c r="B110" s="548"/>
      <c r="C110" s="554" t="s">
        <v>204</v>
      </c>
      <c r="D110" s="555"/>
      <c r="E110" s="555"/>
      <c r="F110" s="555"/>
      <c r="G110" s="556"/>
      <c r="H110" s="556"/>
      <c r="I110" s="556"/>
      <c r="J110" s="556"/>
      <c r="K110" s="556"/>
      <c r="L110" s="556"/>
      <c r="M110" s="556"/>
      <c r="N110" s="556"/>
      <c r="O110" s="556"/>
      <c r="Q110" s="567"/>
      <c r="R110"/>
    </row>
    <row r="111" spans="1:18">
      <c r="A111" s="21"/>
      <c r="B111" s="548"/>
      <c r="C111" s="554" t="s">
        <v>205</v>
      </c>
      <c r="D111" s="555"/>
      <c r="E111" s="555"/>
      <c r="F111" s="555"/>
      <c r="G111" s="556"/>
      <c r="H111" s="556"/>
      <c r="I111" s="556"/>
      <c r="J111" s="556"/>
      <c r="K111" s="556"/>
      <c r="L111" s="556"/>
      <c r="M111" s="556"/>
      <c r="N111" s="556"/>
      <c r="O111" s="556"/>
      <c r="Q111" s="567"/>
      <c r="R111"/>
    </row>
    <row r="112" spans="1:18">
      <c r="A112" s="21"/>
      <c r="B112" s="548"/>
      <c r="C112" s="554" t="s">
        <v>318</v>
      </c>
      <c r="D112" s="555"/>
      <c r="E112" s="555"/>
      <c r="F112" s="555"/>
      <c r="G112" s="556"/>
      <c r="H112" s="556"/>
      <c r="I112" s="556"/>
      <c r="J112" s="556"/>
      <c r="K112" s="556"/>
      <c r="L112" s="556"/>
      <c r="M112" s="556"/>
      <c r="N112" s="556"/>
      <c r="O112" s="556"/>
      <c r="Q112" s="567"/>
      <c r="R112"/>
    </row>
    <row r="113" spans="1:18">
      <c r="A113" s="21"/>
      <c r="B113" s="548"/>
      <c r="C113" s="554" t="s">
        <v>1302</v>
      </c>
      <c r="D113" s="555"/>
      <c r="E113" s="555"/>
      <c r="F113" s="555"/>
      <c r="G113" s="556"/>
      <c r="H113" s="556"/>
      <c r="I113" s="556"/>
      <c r="J113" s="556"/>
      <c r="K113" s="556"/>
      <c r="L113" s="556"/>
      <c r="M113" s="556"/>
      <c r="N113" s="556"/>
      <c r="O113" s="556"/>
      <c r="Q113" s="567"/>
      <c r="R113"/>
    </row>
    <row r="114" spans="1:18">
      <c r="A114" s="21"/>
      <c r="B114" s="548"/>
      <c r="C114" s="554" t="s">
        <v>1309</v>
      </c>
      <c r="D114" s="555"/>
      <c r="E114" s="555"/>
      <c r="F114" s="555"/>
      <c r="G114" s="556"/>
      <c r="H114" s="556"/>
      <c r="I114" s="556"/>
      <c r="J114" s="556"/>
      <c r="K114" s="556"/>
      <c r="L114" s="556"/>
      <c r="M114" s="556"/>
      <c r="N114" s="556"/>
      <c r="O114" s="556"/>
      <c r="Q114" s="567"/>
      <c r="R114"/>
    </row>
    <row r="115" spans="1:18">
      <c r="A115" s="21"/>
      <c r="B115" s="548"/>
      <c r="C115" s="554" t="s">
        <v>1304</v>
      </c>
      <c r="D115" s="555"/>
      <c r="E115" s="555"/>
      <c r="F115" s="555"/>
      <c r="G115" s="556"/>
      <c r="H115" s="556"/>
      <c r="I115" s="556"/>
      <c r="J115" s="556"/>
      <c r="K115" s="556"/>
      <c r="L115" s="556"/>
      <c r="M115" s="556"/>
      <c r="N115" s="556"/>
      <c r="O115" s="556"/>
      <c r="Q115" s="567"/>
      <c r="R115"/>
    </row>
    <row r="116" spans="1:18">
      <c r="A116" s="21"/>
      <c r="B116" s="548"/>
      <c r="C116" s="540" t="s">
        <v>320</v>
      </c>
      <c r="D116" s="553">
        <f>D114*D107+D108*D115</f>
        <v>0</v>
      </c>
      <c r="E116" s="553">
        <f>SUM(D150:O150)</f>
        <v>0</v>
      </c>
      <c r="F116" s="553" t="e">
        <f>SUM(#REF!)</f>
        <v>#REF!</v>
      </c>
      <c r="G116" s="557"/>
      <c r="H116" s="557"/>
      <c r="I116" s="557"/>
      <c r="J116" s="557"/>
      <c r="K116" s="557"/>
      <c r="L116" s="557"/>
      <c r="M116" s="557"/>
      <c r="N116" s="557"/>
      <c r="O116" s="557"/>
      <c r="Q116" s="326"/>
      <c r="R116"/>
    </row>
    <row r="117" spans="1:18">
      <c r="A117" s="21"/>
      <c r="B117" s="548"/>
      <c r="C117" s="540" t="s">
        <v>321</v>
      </c>
      <c r="D117" s="553">
        <f>D113*D112</f>
        <v>0</v>
      </c>
      <c r="E117" s="553" t="e">
        <f>SUM(#REF!)</f>
        <v>#REF!</v>
      </c>
      <c r="F117" s="553" t="e">
        <f>SUM(#REF!)</f>
        <v>#REF!</v>
      </c>
      <c r="G117" s="557"/>
      <c r="H117" s="557"/>
      <c r="I117" s="557"/>
      <c r="J117" s="557"/>
      <c r="K117" s="557"/>
      <c r="L117" s="557"/>
      <c r="M117" s="557"/>
      <c r="N117" s="557"/>
      <c r="O117" s="557"/>
      <c r="Q117" s="326"/>
      <c r="R117"/>
    </row>
    <row r="118" spans="1:18">
      <c r="A118" s="21"/>
      <c r="B118" s="548"/>
      <c r="C118" s="540" t="s">
        <v>322</v>
      </c>
      <c r="D118" s="553">
        <f>D116-D117</f>
        <v>0</v>
      </c>
      <c r="E118" s="553" t="e">
        <f>SUM(#REF!)</f>
        <v>#REF!</v>
      </c>
      <c r="F118" s="553" t="e">
        <f>SUM(#REF!)</f>
        <v>#REF!</v>
      </c>
      <c r="G118" s="557"/>
      <c r="H118" s="557"/>
      <c r="I118" s="557"/>
      <c r="J118" s="557"/>
      <c r="K118" s="557"/>
      <c r="L118" s="557"/>
      <c r="M118" s="557"/>
      <c r="N118" s="557"/>
      <c r="O118" s="557"/>
      <c r="Q118" s="326"/>
      <c r="R118"/>
    </row>
    <row r="119" spans="1:18">
      <c r="A119" s="558"/>
      <c r="B119" s="548"/>
      <c r="C119" s="540"/>
      <c r="D119" s="553"/>
      <c r="E119" s="553"/>
      <c r="F119" s="553"/>
      <c r="G119" s="551"/>
      <c r="H119" s="551"/>
      <c r="I119" s="551"/>
      <c r="J119" s="551"/>
      <c r="K119" s="551"/>
      <c r="L119" s="551"/>
      <c r="M119" s="551"/>
      <c r="N119" s="551"/>
      <c r="O119" s="551"/>
      <c r="Q119" s="326"/>
      <c r="R119"/>
    </row>
    <row r="120" spans="1:18">
      <c r="A120" s="21"/>
      <c r="B120" s="548"/>
      <c r="C120" s="5" t="s">
        <v>308</v>
      </c>
      <c r="D120" s="559">
        <f>$K44</f>
        <v>0</v>
      </c>
      <c r="E120" s="560">
        <f>$K45</f>
        <v>0</v>
      </c>
      <c r="F120" s="560">
        <f>$K46</f>
        <v>0</v>
      </c>
      <c r="G120" s="557"/>
      <c r="H120" s="557"/>
      <c r="I120" s="557"/>
      <c r="J120" s="557"/>
      <c r="K120" s="557"/>
      <c r="L120" s="557"/>
      <c r="M120" s="557"/>
      <c r="N120" s="557"/>
      <c r="O120" s="557"/>
      <c r="Q120" s="326"/>
      <c r="R120"/>
    </row>
    <row r="121" spans="1:18">
      <c r="A121" s="21"/>
      <c r="B121" s="548"/>
      <c r="C121" s="5" t="s">
        <v>309</v>
      </c>
      <c r="D121" s="559">
        <f>$K50</f>
        <v>0</v>
      </c>
      <c r="E121" s="560">
        <f>$K51</f>
        <v>0</v>
      </c>
      <c r="F121" s="560">
        <f>$K52</f>
        <v>0</v>
      </c>
      <c r="G121" s="557"/>
      <c r="H121" s="557"/>
      <c r="I121" s="557"/>
      <c r="J121" s="557"/>
      <c r="K121" s="557"/>
      <c r="L121" s="557"/>
      <c r="M121" s="557"/>
      <c r="N121" s="557"/>
      <c r="O121" s="557"/>
      <c r="Q121" s="326"/>
      <c r="R121"/>
    </row>
    <row r="122" spans="1:18">
      <c r="A122" s="21"/>
      <c r="B122" s="548"/>
      <c r="C122" s="5" t="s">
        <v>69</v>
      </c>
      <c r="D122" s="559">
        <f>$K56</f>
        <v>0</v>
      </c>
      <c r="E122" s="560">
        <f>$K57</f>
        <v>0</v>
      </c>
      <c r="F122" s="560">
        <f>$K58</f>
        <v>0</v>
      </c>
      <c r="G122" s="557"/>
      <c r="H122" s="557"/>
      <c r="I122" s="557"/>
      <c r="J122" s="557"/>
      <c r="K122" s="557"/>
      <c r="L122" s="557"/>
      <c r="M122" s="557"/>
      <c r="N122" s="557"/>
      <c r="O122" s="557"/>
      <c r="Q122" s="326"/>
      <c r="R122"/>
    </row>
    <row r="123" spans="1:18">
      <c r="A123" s="21"/>
      <c r="B123" s="548"/>
      <c r="C123" s="5" t="s">
        <v>172</v>
      </c>
      <c r="D123" s="559">
        <f>$K62</f>
        <v>0</v>
      </c>
      <c r="E123" s="560">
        <f>$K63</f>
        <v>0</v>
      </c>
      <c r="F123" s="560">
        <f>$K64</f>
        <v>0</v>
      </c>
      <c r="G123" s="557"/>
      <c r="H123" s="557"/>
      <c r="I123" s="557"/>
      <c r="J123" s="557"/>
      <c r="K123" s="557"/>
      <c r="L123" s="557"/>
      <c r="M123" s="557"/>
      <c r="N123" s="557"/>
      <c r="O123" s="557"/>
      <c r="Q123" s="326"/>
      <c r="R123"/>
    </row>
    <row r="124" spans="1:18">
      <c r="A124" s="21"/>
      <c r="B124" s="548"/>
      <c r="C124" s="561" t="s">
        <v>328</v>
      </c>
      <c r="D124" s="559">
        <f>$K68</f>
        <v>0</v>
      </c>
      <c r="E124" s="560">
        <f>$K69</f>
        <v>0</v>
      </c>
      <c r="F124" s="560">
        <f>$K70</f>
        <v>0</v>
      </c>
      <c r="G124" s="562"/>
      <c r="H124" s="562"/>
      <c r="I124" s="562"/>
      <c r="J124" s="562"/>
      <c r="K124" s="562"/>
      <c r="L124" s="562"/>
      <c r="M124" s="562"/>
      <c r="N124" s="562"/>
      <c r="O124" s="562"/>
      <c r="Q124" s="326"/>
      <c r="R124"/>
    </row>
    <row r="125" spans="1:18">
      <c r="A125" s="21"/>
      <c r="B125" s="548"/>
      <c r="C125" s="563"/>
      <c r="D125" s="564"/>
      <c r="E125" s="553"/>
      <c r="F125" s="553"/>
      <c r="G125" s="551"/>
      <c r="H125" s="551"/>
      <c r="I125" s="551"/>
      <c r="J125" s="551"/>
      <c r="K125" s="551"/>
      <c r="L125" s="551"/>
      <c r="M125" s="551"/>
      <c r="N125" s="551"/>
      <c r="O125" s="551"/>
      <c r="Q125" s="326"/>
      <c r="R125"/>
    </row>
    <row r="126" spans="1:18">
      <c r="A126" s="21"/>
      <c r="B126" s="548"/>
      <c r="C126" s="540" t="s">
        <v>329</v>
      </c>
      <c r="D126" s="565">
        <f>SUM(D120:D124)</f>
        <v>0</v>
      </c>
      <c r="E126" s="565">
        <f>SUM(E120:E124)</f>
        <v>0</v>
      </c>
      <c r="F126" s="565">
        <f>SUM(F120:F124)</f>
        <v>0</v>
      </c>
      <c r="G126" s="557"/>
      <c r="H126" s="557"/>
      <c r="I126" s="557"/>
      <c r="J126" s="557"/>
      <c r="K126" s="557"/>
      <c r="L126" s="557"/>
      <c r="M126" s="557"/>
      <c r="N126" s="557"/>
      <c r="O126" s="557"/>
      <c r="Q126" s="326"/>
      <c r="R126"/>
    </row>
    <row r="127" spans="1:18">
      <c r="A127" s="21"/>
      <c r="B127" s="548"/>
      <c r="C127" s="563"/>
      <c r="D127" s="553"/>
      <c r="E127" s="553"/>
      <c r="F127" s="553"/>
      <c r="G127" s="551"/>
      <c r="H127" s="551"/>
      <c r="I127" s="551"/>
      <c r="J127" s="551"/>
      <c r="K127" s="551"/>
      <c r="L127" s="551"/>
      <c r="M127" s="551"/>
      <c r="N127" s="551"/>
      <c r="O127" s="551"/>
      <c r="Q127" s="326"/>
      <c r="R127"/>
    </row>
    <row r="128" spans="1:18">
      <c r="A128" s="21"/>
      <c r="B128" s="548"/>
      <c r="C128" s="563" t="s">
        <v>168</v>
      </c>
      <c r="D128" s="553">
        <f>$K74</f>
        <v>0</v>
      </c>
      <c r="E128" s="553">
        <f>$K76</f>
        <v>0</v>
      </c>
      <c r="F128" s="553">
        <f>$K78</f>
        <v>0</v>
      </c>
      <c r="G128" s="551"/>
      <c r="H128" s="551"/>
      <c r="I128" s="551"/>
      <c r="J128" s="551"/>
      <c r="K128" s="551"/>
      <c r="L128" s="551"/>
      <c r="M128" s="551"/>
      <c r="N128" s="551"/>
      <c r="O128" s="566"/>
      <c r="Q128" s="326"/>
      <c r="R128"/>
    </row>
    <row r="129" spans="1:18">
      <c r="A129" s="21"/>
      <c r="B129" s="548"/>
      <c r="C129" s="540" t="s">
        <v>330</v>
      </c>
      <c r="D129" s="565">
        <f>SUMIF(DescriptionMCS,"Contribution",FY1MCS)-D126</f>
        <v>0</v>
      </c>
      <c r="E129" s="565" t="e">
        <f>SUMIF(DescriptionMCS,"Contribution",FY2MCS)-E126</f>
        <v>#REF!</v>
      </c>
      <c r="F129" s="565" t="e">
        <f>SUMIF(DescriptionMCS,"Contribution",FY3MCS)-F126</f>
        <v>#REF!</v>
      </c>
      <c r="G129" s="557"/>
      <c r="H129" s="557"/>
      <c r="I129" s="557"/>
      <c r="J129" s="557"/>
      <c r="K129" s="557"/>
      <c r="L129" s="557"/>
      <c r="M129" s="557"/>
      <c r="N129" s="557"/>
      <c r="O129" s="557"/>
      <c r="Q129" s="326"/>
      <c r="R129"/>
    </row>
    <row r="130" spans="1:18">
      <c r="A130" s="21"/>
      <c r="B130" s="548"/>
      <c r="C130" s="540" t="s">
        <v>331</v>
      </c>
      <c r="D130" s="553">
        <f>K81</f>
        <v>0</v>
      </c>
      <c r="E130" s="553">
        <f>K81</f>
        <v>0</v>
      </c>
      <c r="F130" s="553">
        <f>K81</f>
        <v>0</v>
      </c>
      <c r="G130" s="562"/>
      <c r="H130" s="562"/>
      <c r="I130" s="562"/>
      <c r="J130" s="562"/>
      <c r="K130" s="562"/>
      <c r="L130" s="562"/>
      <c r="M130" s="562"/>
      <c r="N130" s="562"/>
      <c r="O130" s="562"/>
      <c r="Q130" s="326"/>
      <c r="R130"/>
    </row>
    <row r="131" spans="1:18">
      <c r="A131" s="21"/>
      <c r="B131" s="548"/>
      <c r="C131" s="568" t="s">
        <v>334</v>
      </c>
      <c r="D131" s="569">
        <f>IF(D129&gt;0,D129*(1-D130),D129)</f>
        <v>0</v>
      </c>
      <c r="E131" s="569" t="e">
        <f>IF(E129&gt;0,IF(D131&lt;0,IF(E129+D131&gt;0,(E129+D131)*(1-E130),E129),E129*(1-E130)),E129)</f>
        <v>#REF!</v>
      </c>
      <c r="F131" s="569" t="e">
        <f>IF(F129&gt;0,IF(E131&lt;0,IF(F129+E131&gt;0,(F129+E131)*(1-F130),F129),F129*(1-F130)),F129)</f>
        <v>#REF!</v>
      </c>
      <c r="G131" s="557" t="e">
        <f>SUM(D131:F131)</f>
        <v>#REF!</v>
      </c>
      <c r="H131" s="557"/>
      <c r="I131" s="557"/>
      <c r="J131" s="557"/>
      <c r="K131" s="557"/>
      <c r="L131" s="557"/>
      <c r="M131" s="557"/>
      <c r="N131" s="557"/>
      <c r="O131" s="557"/>
      <c r="Q131" s="326"/>
      <c r="R131"/>
    </row>
    <row r="132" spans="1:18">
      <c r="A132" s="21"/>
      <c r="B132" s="548"/>
      <c r="C132" s="568"/>
      <c r="D132" s="570"/>
      <c r="E132" s="571"/>
      <c r="F132" s="570"/>
      <c r="G132" s="572"/>
      <c r="H132" s="572"/>
      <c r="I132" s="572"/>
      <c r="J132" s="572"/>
      <c r="K132" s="572"/>
      <c r="L132" s="572"/>
      <c r="M132" s="572"/>
      <c r="N132" s="572"/>
      <c r="O132" s="572"/>
      <c r="Q132" s="326"/>
      <c r="R132"/>
    </row>
    <row r="133" spans="1:18">
      <c r="A133" s="21"/>
      <c r="B133" s="548"/>
      <c r="C133" s="573"/>
      <c r="D133" s="574"/>
      <c r="E133" s="574"/>
      <c r="F133" s="574"/>
      <c r="G133" s="547"/>
      <c r="H133" s="547"/>
      <c r="I133" s="547"/>
      <c r="J133" s="547"/>
      <c r="K133" s="547"/>
      <c r="L133" s="547"/>
      <c r="M133" s="547"/>
      <c r="N133" s="547"/>
      <c r="O133" s="547"/>
      <c r="Q133" s="326"/>
      <c r="R133"/>
    </row>
    <row r="134" ht="15.75" spans="1:18">
      <c r="A134" s="542">
        <v>3</v>
      </c>
      <c r="B134" s="487" t="s">
        <v>1310</v>
      </c>
      <c r="C134" s="489"/>
      <c r="D134" s="489"/>
      <c r="E134" s="489"/>
      <c r="F134" s="489"/>
      <c r="G134"/>
      <c r="I134"/>
      <c r="O134"/>
      <c r="R134"/>
    </row>
    <row r="135" spans="1:18">
      <c r="A135" s="21"/>
      <c r="B135" s="563"/>
      <c r="C135" s="573"/>
      <c r="D135" s="574"/>
      <c r="E135" s="574"/>
      <c r="F135" s="574"/>
      <c r="G135" s="6"/>
      <c r="H135" s="6"/>
      <c r="I135" s="6"/>
      <c r="J135" s="6"/>
      <c r="K135" s="6"/>
      <c r="L135" s="6"/>
      <c r="M135" s="6"/>
      <c r="N135" s="6"/>
      <c r="O135" s="6"/>
      <c r="Q135" s="326"/>
      <c r="R135"/>
    </row>
    <row r="136" spans="1:18">
      <c r="A136" s="3"/>
      <c r="B136" s="575" t="s">
        <v>1311</v>
      </c>
      <c r="C136" s="576" t="s">
        <v>1312</v>
      </c>
      <c r="D136" s="577"/>
      <c r="E136" s="577"/>
      <c r="F136" s="577"/>
      <c r="G136" s="577"/>
      <c r="H136" s="577"/>
      <c r="I136" s="577"/>
      <c r="J136" s="577"/>
      <c r="K136" s="577"/>
      <c r="L136" s="577"/>
      <c r="M136" s="577"/>
      <c r="N136" s="577"/>
      <c r="O136" s="577"/>
      <c r="P136" s="326"/>
      <c r="Q136" s="326"/>
      <c r="R136"/>
    </row>
    <row r="137" ht="15.75" spans="1:18">
      <c r="A137" s="578"/>
      <c r="B137" s="579" t="s">
        <v>1313</v>
      </c>
      <c r="C137" s="580"/>
      <c r="D137" s="577"/>
      <c r="E137" s="577"/>
      <c r="F137" s="577"/>
      <c r="G137" s="577"/>
      <c r="H137" s="577"/>
      <c r="I137" s="577"/>
      <c r="J137" s="577"/>
      <c r="K137" s="577"/>
      <c r="L137" s="577"/>
      <c r="M137" s="577"/>
      <c r="N137" s="577"/>
      <c r="O137" s="577"/>
      <c r="P137" s="326"/>
      <c r="Q137" s="326"/>
      <c r="R137"/>
    </row>
    <row r="138" spans="1:18">
      <c r="A138" s="3"/>
      <c r="B138" s="581" t="s">
        <v>1314</v>
      </c>
      <c r="C138" s="580">
        <v>100</v>
      </c>
      <c r="D138" s="547"/>
      <c r="E138" s="547"/>
      <c r="F138" s="547"/>
      <c r="G138" s="547"/>
      <c r="H138" s="547"/>
      <c r="I138" s="547"/>
      <c r="J138" s="547"/>
      <c r="K138" s="547"/>
      <c r="L138" s="547"/>
      <c r="M138" s="547"/>
      <c r="N138" s="547"/>
      <c r="O138" s="547"/>
      <c r="Q138" s="326"/>
      <c r="R138"/>
    </row>
    <row r="139" spans="1:18">
      <c r="A139" s="3"/>
      <c r="B139" s="582" t="s">
        <v>1315</v>
      </c>
      <c r="C139" s="580">
        <v>0</v>
      </c>
      <c r="D139" s="583"/>
      <c r="E139" s="6"/>
      <c r="F139" s="6"/>
      <c r="G139" s="6"/>
      <c r="H139" s="6"/>
      <c r="I139" s="6"/>
      <c r="J139" s="6"/>
      <c r="K139" s="6"/>
      <c r="L139" s="6"/>
      <c r="M139" s="6"/>
      <c r="N139" s="6"/>
      <c r="O139" s="6"/>
      <c r="Q139" s="326"/>
      <c r="R139"/>
    </row>
    <row r="140" spans="1:18">
      <c r="A140" s="3"/>
      <c r="B140" s="582" t="s">
        <v>1316</v>
      </c>
      <c r="C140" s="580">
        <v>0</v>
      </c>
      <c r="D140" s="583"/>
      <c r="E140" s="6"/>
      <c r="F140" s="6"/>
      <c r="G140" s="6"/>
      <c r="H140" s="6"/>
      <c r="I140" s="6"/>
      <c r="J140" s="6"/>
      <c r="K140" s="6"/>
      <c r="L140" s="6"/>
      <c r="M140" s="6"/>
      <c r="N140" s="6"/>
      <c r="O140" s="6"/>
      <c r="Q140" s="326"/>
      <c r="R140"/>
    </row>
    <row r="141" spans="1:18">
      <c r="A141" s="3"/>
      <c r="B141" s="582" t="s">
        <v>1317</v>
      </c>
      <c r="C141" s="580"/>
      <c r="D141" s="583"/>
      <c r="E141" s="6"/>
      <c r="F141" s="6"/>
      <c r="G141" s="6"/>
      <c r="H141" s="6"/>
      <c r="I141" s="6"/>
      <c r="J141" s="6"/>
      <c r="K141" s="6"/>
      <c r="L141" s="6"/>
      <c r="M141" s="6"/>
      <c r="N141" s="6"/>
      <c r="O141" s="6"/>
      <c r="Q141" s="326"/>
      <c r="R141"/>
    </row>
    <row r="142" spans="1:18">
      <c r="A142" s="3"/>
      <c r="C142" s="580"/>
      <c r="D142" s="583"/>
      <c r="E142" s="6"/>
      <c r="F142" s="6"/>
      <c r="G142" s="6"/>
      <c r="H142" s="6"/>
      <c r="I142" s="6"/>
      <c r="J142" s="6"/>
      <c r="K142" s="6"/>
      <c r="L142" s="6"/>
      <c r="M142" s="6"/>
      <c r="N142" s="6"/>
      <c r="O142" s="6"/>
      <c r="Q142" s="326"/>
      <c r="R142"/>
    </row>
    <row r="143" spans="1:18">
      <c r="A143" s="3"/>
      <c r="B143" s="584" t="s">
        <v>1318</v>
      </c>
      <c r="C143" s="576" t="s">
        <v>103</v>
      </c>
      <c r="D143" s="585" t="s">
        <v>104</v>
      </c>
      <c r="E143" s="547" t="s">
        <v>105</v>
      </c>
      <c r="F143" s="547" t="s">
        <v>142</v>
      </c>
      <c r="G143" s="6"/>
      <c r="H143" s="6"/>
      <c r="I143" s="6"/>
      <c r="J143" s="6"/>
      <c r="K143" s="6"/>
      <c r="L143" s="6"/>
      <c r="M143" s="6"/>
      <c r="N143" s="6"/>
      <c r="O143" s="6"/>
      <c r="Q143" s="326"/>
      <c r="R143"/>
    </row>
    <row r="144" spans="1:18">
      <c r="A144" s="3"/>
      <c r="B144" s="582" t="s">
        <v>154</v>
      </c>
      <c r="C144" s="580"/>
      <c r="D144" s="583"/>
      <c r="E144" s="6"/>
      <c r="F144" s="6"/>
      <c r="G144" s="6"/>
      <c r="H144" s="6"/>
      <c r="I144" s="6"/>
      <c r="J144" s="6"/>
      <c r="K144" s="6"/>
      <c r="L144" s="6"/>
      <c r="M144" s="6"/>
      <c r="N144" s="6"/>
      <c r="O144" s="6"/>
      <c r="Q144" s="326"/>
      <c r="R144"/>
    </row>
    <row r="145" spans="1:18">
      <c r="A145" s="3"/>
      <c r="B145" s="582" t="s">
        <v>157</v>
      </c>
      <c r="C145" s="580"/>
      <c r="D145" s="583"/>
      <c r="E145" s="6"/>
      <c r="F145" s="6"/>
      <c r="G145" s="6"/>
      <c r="H145" s="6"/>
      <c r="I145" s="6"/>
      <c r="J145" s="6"/>
      <c r="K145" s="6"/>
      <c r="L145" s="6"/>
      <c r="M145" s="6"/>
      <c r="N145" s="6"/>
      <c r="O145" s="6"/>
      <c r="Q145" s="326"/>
      <c r="R145"/>
    </row>
    <row r="146" spans="1:18">
      <c r="A146" s="3"/>
      <c r="B146" s="582"/>
      <c r="C146" s="580"/>
      <c r="D146" s="583"/>
      <c r="E146" s="6"/>
      <c r="F146" s="6"/>
      <c r="G146" s="6"/>
      <c r="H146" s="6"/>
      <c r="I146" s="6"/>
      <c r="J146" s="6"/>
      <c r="K146" s="6"/>
      <c r="L146" s="6"/>
      <c r="M146" s="6"/>
      <c r="N146" s="6"/>
      <c r="O146" s="6"/>
      <c r="Q146" s="326"/>
      <c r="R146"/>
    </row>
    <row r="147" spans="1:18">
      <c r="A147" s="3"/>
      <c r="B147" s="586"/>
      <c r="C147" s="581"/>
      <c r="D147" s="587"/>
      <c r="E147" s="551"/>
      <c r="F147" s="551"/>
      <c r="G147" s="551"/>
      <c r="H147" s="552"/>
      <c r="I147" s="551"/>
      <c r="J147" s="551"/>
      <c r="K147" s="551"/>
      <c r="L147" s="551"/>
      <c r="M147" s="551"/>
      <c r="N147" s="551"/>
      <c r="O147" s="551"/>
      <c r="Q147" s="326"/>
      <c r="R147"/>
    </row>
    <row r="148" ht="15.75" spans="1:18">
      <c r="A148" s="542">
        <v>3</v>
      </c>
      <c r="B148" s="487" t="s">
        <v>1319</v>
      </c>
      <c r="C148" s="489"/>
      <c r="D148" s="489"/>
      <c r="E148" s="489"/>
      <c r="F148" s="489"/>
      <c r="G148"/>
      <c r="I148"/>
      <c r="O148"/>
      <c r="R148"/>
    </row>
    <row r="149" ht="15.75" spans="1:18">
      <c r="A149" s="3"/>
      <c r="B149" s="575"/>
      <c r="C149" s="588"/>
      <c r="D149" s="556"/>
      <c r="E149" s="556"/>
      <c r="F149" s="556"/>
      <c r="G149" s="556"/>
      <c r="H149" s="589" t="s">
        <v>1320</v>
      </c>
      <c r="I149" s="556"/>
      <c r="J149" s="556"/>
      <c r="K149" s="589" t="s">
        <v>1321</v>
      </c>
      <c r="L149" s="556"/>
      <c r="M149" s="556"/>
      <c r="N149" s="589" t="s">
        <v>1322</v>
      </c>
      <c r="O149" s="556"/>
      <c r="Q149" s="589" t="s">
        <v>1323</v>
      </c>
      <c r="R149"/>
    </row>
    <row r="150" ht="15.75" spans="1:18">
      <c r="A150" s="590" t="s">
        <v>1324</v>
      </c>
      <c r="B150" s="591" t="s">
        <v>140</v>
      </c>
      <c r="C150" s="589" t="s">
        <v>1320</v>
      </c>
      <c r="D150" s="589" t="s">
        <v>1321</v>
      </c>
      <c r="E150" s="589" t="s">
        <v>1322</v>
      </c>
      <c r="F150" s="589" t="s">
        <v>1323</v>
      </c>
      <c r="G150" s="592" t="s">
        <v>1325</v>
      </c>
      <c r="H150" s="592" t="s">
        <v>1326</v>
      </c>
      <c r="I150" s="592" t="s">
        <v>1327</v>
      </c>
      <c r="J150" s="557"/>
      <c r="K150" s="592" t="s">
        <v>1326</v>
      </c>
      <c r="L150" s="592" t="s">
        <v>1327</v>
      </c>
      <c r="M150" s="557"/>
      <c r="N150" s="592" t="s">
        <v>1326</v>
      </c>
      <c r="O150" s="592" t="s">
        <v>1327</v>
      </c>
      <c r="Q150" s="592" t="s">
        <v>1326</v>
      </c>
      <c r="R150" s="592" t="s">
        <v>1327</v>
      </c>
    </row>
    <row r="151" spans="7:18">
      <c r="G151"/>
      <c r="I151"/>
      <c r="O151"/>
      <c r="R151"/>
    </row>
    <row r="152" spans="7:18">
      <c r="G152" s="593"/>
      <c r="I152"/>
      <c r="O152"/>
      <c r="R152"/>
    </row>
    <row r="153" spans="7: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paperSize="1" scale="37" orientation="portrait" horizontalDpi="1200" verticalDpi="1200"/>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00FF00"/>
  </sheetPr>
  <dimension ref="A1:BR301"/>
  <sheetViews>
    <sheetView showGridLines="0" showRowColHeaders="0" workbookViewId="0">
      <pane ySplit="1" topLeftCell="A220" activePane="bottomLeft" state="frozen"/>
      <selection/>
      <selection pane="bottomLeft" activeCell="C33" sqref="C33"/>
    </sheetView>
  </sheetViews>
  <sheetFormatPr defaultColWidth="9.14166666666667" defaultRowHeight="12.75"/>
  <cols>
    <col min="1" max="1" width="9.14166666666667" style="27"/>
    <col min="2" max="2" width="10.5666666666667" style="27" customWidth="1"/>
    <col min="3" max="3" width="12.5666666666667" style="27" customWidth="1"/>
    <col min="4" max="4" width="12" style="27" customWidth="1"/>
    <col min="5" max="5" width="11.425" style="27" customWidth="1"/>
    <col min="6" max="6" width="13.8583333333333" style="27" customWidth="1"/>
    <col min="7" max="7" width="14.1416666666667" style="27" customWidth="1"/>
    <col min="8" max="8" width="10" style="27" customWidth="1"/>
    <col min="9" max="9" width="12.5666666666667" style="27" customWidth="1"/>
    <col min="10" max="10" width="14.5666666666667" style="27" customWidth="1"/>
    <col min="11" max="11" width="10.425" style="27" customWidth="1"/>
    <col min="12" max="12" width="11.8583333333333" style="27" customWidth="1"/>
    <col min="13" max="13" width="10.1416666666667" style="27" customWidth="1"/>
    <col min="14" max="14" width="11.425" style="27" customWidth="1"/>
    <col min="15" max="15" width="12.425" style="27" customWidth="1"/>
    <col min="16" max="16" width="9.14166666666667" style="27"/>
    <col min="17" max="17" width="13" style="27" customWidth="1"/>
    <col min="18" max="18" width="12.425" style="27" customWidth="1"/>
    <col min="19" max="19" width="15.425" style="27" customWidth="1"/>
    <col min="20" max="22" width="11.425" style="27" customWidth="1"/>
    <col min="23" max="16384" width="9.14166666666667" style="27"/>
  </cols>
  <sheetData>
    <row r="1" s="25" customFormat="1" ht="32.1" customHeight="1" spans="12:25">
      <c r="L1" s="140"/>
      <c r="Q1" s="140"/>
      <c r="R1" s="140"/>
      <c r="S1" s="140"/>
      <c r="T1" s="140"/>
      <c r="U1" s="140"/>
      <c r="V1" s="140"/>
      <c r="W1" s="140"/>
      <c r="X1" s="140"/>
      <c r="Y1" s="140"/>
    </row>
    <row r="2" s="25" customFormat="1" ht="41.25" customHeight="1" spans="12:25">
      <c r="L2" s="140"/>
      <c r="Q2" s="140"/>
      <c r="R2" s="140"/>
      <c r="S2" s="140"/>
      <c r="T2" s="140"/>
      <c r="U2" s="140"/>
      <c r="V2" s="140"/>
      <c r="W2" s="140"/>
      <c r="X2" s="140"/>
      <c r="Y2" s="140"/>
    </row>
    <row r="3" s="25" customFormat="1" customHeight="1" spans="17:25">
      <c r="Q3" s="140"/>
      <c r="R3" s="140"/>
      <c r="S3" s="140"/>
      <c r="T3" s="140"/>
      <c r="U3" s="140"/>
      <c r="V3" s="140"/>
      <c r="W3" s="140"/>
      <c r="X3" s="140"/>
      <c r="Y3" s="140"/>
    </row>
    <row r="4" s="26" customFormat="1" ht="15.75" hidden="1" customHeight="1" spans="1:25">
      <c r="A4" s="65">
        <v>1</v>
      </c>
      <c r="B4" s="380" t="s">
        <v>60</v>
      </c>
      <c r="C4" s="380"/>
      <c r="D4" s="381"/>
      <c r="E4" s="381"/>
      <c r="F4" s="40"/>
      <c r="G4" s="200"/>
      <c r="H4" s="200"/>
      <c r="I4" s="200"/>
      <c r="J4" s="200"/>
      <c r="K4" s="291"/>
      <c r="O4" s="127"/>
      <c r="P4" s="439"/>
      <c r="Q4" s="38"/>
      <c r="R4" s="38"/>
      <c r="S4" s="38"/>
      <c r="T4" s="38"/>
      <c r="U4" s="38"/>
      <c r="V4" s="38"/>
      <c r="W4" s="38"/>
      <c r="X4" s="38"/>
      <c r="Y4" s="38"/>
    </row>
    <row r="5" s="26" customFormat="1" ht="11.25" hidden="1" customHeight="1" spans="1:25">
      <c r="A5" s="40"/>
      <c r="B5" s="41"/>
      <c r="C5" s="41"/>
      <c r="D5" s="41"/>
      <c r="E5" s="59"/>
      <c r="F5" s="59"/>
      <c r="G5" s="128"/>
      <c r="H5" s="38"/>
      <c r="I5" s="38"/>
      <c r="J5" s="38"/>
      <c r="K5" s="41"/>
      <c r="O5" s="127"/>
      <c r="P5" s="127"/>
      <c r="Q5" s="38"/>
      <c r="R5" s="38"/>
      <c r="S5" s="38"/>
      <c r="T5" s="38"/>
      <c r="U5" s="38"/>
      <c r="V5" s="38"/>
      <c r="W5" s="38"/>
      <c r="X5" s="38"/>
      <c r="Y5" s="38"/>
    </row>
    <row r="6" s="26" customFormat="1" ht="11.25" hidden="1" customHeight="1" spans="1:25">
      <c r="A6" s="40"/>
      <c r="B6" s="41"/>
      <c r="C6" s="41"/>
      <c r="D6" s="41"/>
      <c r="E6" s="59"/>
      <c r="F6" s="59"/>
      <c r="G6" s="382" t="s">
        <v>102</v>
      </c>
      <c r="H6" s="382" t="s">
        <v>103</v>
      </c>
      <c r="I6" s="382" t="s">
        <v>104</v>
      </c>
      <c r="J6" s="382" t="s">
        <v>105</v>
      </c>
      <c r="K6" s="440" t="s">
        <v>106</v>
      </c>
      <c r="O6" s="127"/>
      <c r="P6" s="127"/>
      <c r="Q6" s="38"/>
      <c r="R6" s="38"/>
      <c r="S6" s="38"/>
      <c r="T6" s="38"/>
      <c r="U6" s="38"/>
      <c r="V6" s="38"/>
      <c r="W6" s="38"/>
      <c r="X6" s="38"/>
      <c r="Y6" s="38"/>
    </row>
    <row r="7" s="26" customFormat="1" ht="11.25" hidden="1" customHeight="1" spans="1:25">
      <c r="A7" s="383" t="s">
        <v>115</v>
      </c>
      <c r="B7" s="384" t="s">
        <v>116</v>
      </c>
      <c r="C7" s="385"/>
      <c r="D7" s="386"/>
      <c r="E7" s="385"/>
      <c r="F7" s="44" t="s">
        <v>117</v>
      </c>
      <c r="G7" s="387">
        <v>15000000</v>
      </c>
      <c r="H7" s="388">
        <v>1.03</v>
      </c>
      <c r="I7" s="388">
        <v>1.06</v>
      </c>
      <c r="J7" s="388">
        <v>1.1</v>
      </c>
      <c r="K7" s="72"/>
      <c r="O7" s="127"/>
      <c r="P7" s="127"/>
      <c r="Q7" s="38"/>
      <c r="R7" s="38"/>
      <c r="S7" s="38"/>
      <c r="T7" s="38"/>
      <c r="U7" s="38"/>
      <c r="V7" s="38"/>
      <c r="W7" s="38"/>
      <c r="X7" s="38"/>
      <c r="Y7" s="38"/>
    </row>
    <row r="8" s="26" customFormat="1" ht="11.25" hidden="1" customHeight="1" spans="1:25">
      <c r="A8" s="383" t="s">
        <v>118</v>
      </c>
      <c r="B8" s="389" t="s">
        <v>119</v>
      </c>
      <c r="C8" s="390"/>
      <c r="D8" s="391"/>
      <c r="E8" s="392"/>
      <c r="F8" s="393" t="s">
        <v>120</v>
      </c>
      <c r="G8" s="394">
        <v>73920</v>
      </c>
      <c r="H8" s="395"/>
      <c r="I8" s="395"/>
      <c r="J8" s="395"/>
      <c r="K8" s="72"/>
      <c r="O8" s="127"/>
      <c r="P8" s="127"/>
      <c r="Q8" s="38"/>
      <c r="R8" s="38"/>
      <c r="S8" s="38"/>
      <c r="T8" s="38"/>
      <c r="U8" s="38"/>
      <c r="V8" s="38"/>
      <c r="W8" s="38"/>
      <c r="X8" s="38"/>
      <c r="Y8" s="38"/>
    </row>
    <row r="9" s="26" customFormat="1" ht="11.25" hidden="1" customHeight="1" spans="1:25">
      <c r="A9" s="383" t="s">
        <v>121</v>
      </c>
      <c r="B9" s="396" t="s">
        <v>122</v>
      </c>
      <c r="C9" s="397"/>
      <c r="D9" s="398"/>
      <c r="E9" s="399"/>
      <c r="F9" s="44" t="s">
        <v>117</v>
      </c>
      <c r="G9" s="400">
        <v>1.5</v>
      </c>
      <c r="H9" s="395"/>
      <c r="I9" s="395"/>
      <c r="J9" s="395"/>
      <c r="K9" s="72"/>
      <c r="O9" s="127"/>
      <c r="P9" s="127"/>
      <c r="Q9" s="38"/>
      <c r="R9" s="38"/>
      <c r="S9" s="38"/>
      <c r="T9" s="38"/>
      <c r="U9" s="38"/>
      <c r="V9" s="38"/>
      <c r="W9" s="38"/>
      <c r="X9" s="38"/>
      <c r="Y9" s="38"/>
    </row>
    <row r="10" s="26" customFormat="1" ht="11.25" hidden="1" customHeight="1" spans="1:25">
      <c r="A10" s="383" t="s">
        <v>123</v>
      </c>
      <c r="B10" s="50" t="s">
        <v>124</v>
      </c>
      <c r="C10" s="401"/>
      <c r="D10" s="402"/>
      <c r="E10" s="401"/>
      <c r="F10" s="44" t="s">
        <v>109</v>
      </c>
      <c r="G10" s="403"/>
      <c r="H10" s="98">
        <v>1.1</v>
      </c>
      <c r="I10" s="98">
        <v>1.18</v>
      </c>
      <c r="J10" s="98">
        <v>1.25</v>
      </c>
      <c r="K10" s="441"/>
      <c r="O10" s="127"/>
      <c r="P10" s="127"/>
      <c r="Q10" s="38"/>
      <c r="R10" s="38"/>
      <c r="S10" s="38"/>
      <c r="T10" s="38"/>
      <c r="U10" s="38"/>
      <c r="V10" s="38"/>
      <c r="W10" s="38"/>
      <c r="X10" s="38"/>
      <c r="Y10" s="38"/>
    </row>
    <row r="11" s="26" customFormat="1" ht="11.25" hidden="1" customHeight="1" spans="1:25">
      <c r="A11" s="383"/>
      <c r="B11" s="404" t="s">
        <v>125</v>
      </c>
      <c r="C11" s="42"/>
      <c r="D11" s="405"/>
      <c r="E11" s="42"/>
      <c r="F11" s="44" t="s">
        <v>117</v>
      </c>
      <c r="G11" s="406">
        <v>110880</v>
      </c>
      <c r="H11" s="407">
        <v>121968</v>
      </c>
      <c r="I11" s="407">
        <v>130838.4</v>
      </c>
      <c r="J11" s="407">
        <v>138600</v>
      </c>
      <c r="K11" s="441">
        <v>391406.4</v>
      </c>
      <c r="O11" s="127"/>
      <c r="P11" s="127"/>
      <c r="Q11" s="38"/>
      <c r="R11" s="38"/>
      <c r="S11" s="38"/>
      <c r="T11" s="38"/>
      <c r="U11" s="38"/>
      <c r="V11" s="38"/>
      <c r="W11" s="38"/>
      <c r="X11" s="38"/>
      <c r="Y11" s="38"/>
    </row>
    <row r="12" s="26" customFormat="1" ht="11.25" hidden="1" customHeight="1" spans="1:25">
      <c r="A12" s="383" t="s">
        <v>126</v>
      </c>
      <c r="B12" s="408" t="s">
        <v>127</v>
      </c>
      <c r="C12" s="38"/>
      <c r="D12" s="222"/>
      <c r="E12" s="38"/>
      <c r="F12" s="44" t="s">
        <v>109</v>
      </c>
      <c r="G12" s="409"/>
      <c r="H12" s="410"/>
      <c r="I12" s="410"/>
      <c r="J12" s="410"/>
      <c r="K12" s="442">
        <v>2.18</v>
      </c>
      <c r="O12" s="127"/>
      <c r="P12" s="127"/>
      <c r="Q12" s="38"/>
      <c r="R12" s="38"/>
      <c r="S12" s="38"/>
      <c r="T12" s="38"/>
      <c r="U12" s="38"/>
      <c r="V12" s="38"/>
      <c r="W12" s="38"/>
      <c r="X12" s="38"/>
      <c r="Y12" s="38"/>
    </row>
    <row r="13" s="26" customFormat="1" ht="11.25" hidden="1" customHeight="1" spans="1:25">
      <c r="A13" s="383" t="s">
        <v>128</v>
      </c>
      <c r="B13" s="389" t="s">
        <v>129</v>
      </c>
      <c r="C13" s="390"/>
      <c r="D13" s="391"/>
      <c r="E13" s="390"/>
      <c r="F13" s="44" t="s">
        <v>109</v>
      </c>
      <c r="G13" s="411"/>
      <c r="H13" s="412">
        <v>0.31</v>
      </c>
      <c r="I13" s="412">
        <v>0.33</v>
      </c>
      <c r="J13" s="412">
        <v>0.36</v>
      </c>
      <c r="K13" s="443">
        <v>1</v>
      </c>
      <c r="O13" s="127"/>
      <c r="P13" s="127"/>
      <c r="Q13" s="38"/>
      <c r="R13" s="38"/>
      <c r="S13" s="38"/>
      <c r="T13" s="38"/>
      <c r="U13" s="38"/>
      <c r="V13" s="38"/>
      <c r="W13" s="38"/>
      <c r="X13" s="38"/>
      <c r="Y13" s="38"/>
    </row>
    <row r="14" s="26" customFormat="1" ht="11.25" hidden="1" customHeight="1" spans="1:25">
      <c r="A14" s="383"/>
      <c r="B14" s="396" t="s">
        <v>130</v>
      </c>
      <c r="C14" s="397"/>
      <c r="D14" s="398"/>
      <c r="E14" s="397"/>
      <c r="F14" s="413" t="s">
        <v>117</v>
      </c>
      <c r="G14" s="411"/>
      <c r="H14" s="414">
        <v>264512.44512</v>
      </c>
      <c r="I14" s="414">
        <v>281577.76416</v>
      </c>
      <c r="J14" s="414">
        <v>307175.74272</v>
      </c>
      <c r="K14" s="444">
        <v>853265.952</v>
      </c>
      <c r="O14" s="127"/>
      <c r="P14" s="127"/>
      <c r="Q14" s="38"/>
      <c r="R14" s="38"/>
      <c r="S14" s="38"/>
      <c r="T14" s="38"/>
      <c r="U14" s="38"/>
      <c r="V14" s="38"/>
      <c r="W14" s="38"/>
      <c r="X14" s="38"/>
      <c r="Y14" s="38"/>
    </row>
    <row r="15" s="26" customFormat="1" ht="11.25" hidden="1" customHeight="1" spans="1:25">
      <c r="A15" s="383" t="s">
        <v>131</v>
      </c>
      <c r="B15" s="384" t="s">
        <v>132</v>
      </c>
      <c r="C15" s="384"/>
      <c r="D15" s="415"/>
      <c r="E15" s="416"/>
      <c r="F15" s="413" t="s">
        <v>109</v>
      </c>
      <c r="G15" s="395"/>
      <c r="H15" s="417">
        <v>0.38</v>
      </c>
      <c r="I15" s="417">
        <v>0.38</v>
      </c>
      <c r="J15" s="417">
        <v>0.36</v>
      </c>
      <c r="K15" s="411">
        <v>0.3728</v>
      </c>
      <c r="O15" s="127"/>
      <c r="P15" s="127"/>
      <c r="Q15" s="38"/>
      <c r="R15" s="38"/>
      <c r="S15" s="38"/>
      <c r="T15" s="38"/>
      <c r="U15" s="38"/>
      <c r="V15" s="38"/>
      <c r="W15" s="38"/>
      <c r="X15" s="38"/>
      <c r="Y15" s="38"/>
    </row>
    <row r="16" s="26" customFormat="1" ht="11.25" hidden="1" spans="1:25">
      <c r="A16" s="383"/>
      <c r="B16" s="418" t="s">
        <v>133</v>
      </c>
      <c r="C16" s="397"/>
      <c r="D16" s="398"/>
      <c r="E16" s="397"/>
      <c r="F16" s="413" t="s">
        <v>117</v>
      </c>
      <c r="G16" s="395"/>
      <c r="H16" s="406">
        <v>100514.7291456</v>
      </c>
      <c r="I16" s="406">
        <v>106999.5503808</v>
      </c>
      <c r="J16" s="406">
        <v>110583.2673792</v>
      </c>
      <c r="K16" s="444">
        <v>318097.5469056</v>
      </c>
      <c r="O16" s="127"/>
      <c r="P16" s="127"/>
      <c r="Q16" s="38"/>
      <c r="R16" s="38"/>
      <c r="S16" s="38"/>
      <c r="T16" s="38"/>
      <c r="U16" s="38"/>
      <c r="V16" s="38"/>
      <c r="W16" s="38"/>
      <c r="X16" s="38"/>
      <c r="Y16" s="38"/>
    </row>
    <row r="17" s="26" customFormat="1" ht="11.25" hidden="1" spans="1:25">
      <c r="A17" s="383"/>
      <c r="B17" s="419" t="s">
        <v>134</v>
      </c>
      <c r="C17" s="38"/>
      <c r="D17" s="222"/>
      <c r="E17" s="38"/>
      <c r="F17" s="413" t="s">
        <v>109</v>
      </c>
      <c r="G17" s="395"/>
      <c r="H17" s="420">
        <v>0.824107381818182</v>
      </c>
      <c r="I17" s="420">
        <v>0.817799288135594</v>
      </c>
      <c r="J17" s="420">
        <v>0.797859072</v>
      </c>
      <c r="K17" s="72"/>
      <c r="O17" s="127"/>
      <c r="P17" s="127"/>
      <c r="Q17" s="38"/>
      <c r="R17" s="38"/>
      <c r="S17" s="38"/>
      <c r="T17" s="38"/>
      <c r="U17" s="38"/>
      <c r="V17" s="38"/>
      <c r="W17" s="38"/>
      <c r="X17" s="38"/>
      <c r="Y17" s="38"/>
    </row>
    <row r="18" s="26" customFormat="1" ht="11.25" hidden="1" spans="1:25">
      <c r="A18" s="383"/>
      <c r="B18" s="416" t="s">
        <v>135</v>
      </c>
      <c r="C18" s="385"/>
      <c r="D18" s="386"/>
      <c r="E18" s="385"/>
      <c r="F18" s="413" t="s">
        <v>109</v>
      </c>
      <c r="G18" s="72"/>
      <c r="H18" s="421">
        <v>0.62</v>
      </c>
      <c r="I18" s="421">
        <v>0.62</v>
      </c>
      <c r="J18" s="421">
        <v>0.64</v>
      </c>
      <c r="K18" s="411">
        <v>0.6272</v>
      </c>
      <c r="O18" s="127"/>
      <c r="P18" s="127"/>
      <c r="Q18" s="38"/>
      <c r="R18" s="38"/>
      <c r="S18" s="38"/>
      <c r="T18" s="38"/>
      <c r="U18" s="38"/>
      <c r="V18" s="38"/>
      <c r="W18" s="38"/>
      <c r="X18" s="38"/>
      <c r="Y18" s="38"/>
    </row>
    <row r="19" s="26" customFormat="1" ht="11.25" hidden="1" spans="1:25">
      <c r="A19" s="383"/>
      <c r="B19" s="418" t="s">
        <v>136</v>
      </c>
      <c r="C19" s="397"/>
      <c r="D19" s="398"/>
      <c r="E19" s="397"/>
      <c r="F19" s="413" t="s">
        <v>117</v>
      </c>
      <c r="G19" s="72"/>
      <c r="H19" s="406">
        <v>163997.7159744</v>
      </c>
      <c r="I19" s="406">
        <v>174578.2137792</v>
      </c>
      <c r="J19" s="406">
        <v>196592.4753408</v>
      </c>
      <c r="K19" s="444">
        <v>535168.4050944</v>
      </c>
      <c r="O19" s="127"/>
      <c r="P19" s="127"/>
      <c r="Q19" s="38"/>
      <c r="R19" s="38"/>
      <c r="S19" s="38"/>
      <c r="T19" s="38"/>
      <c r="U19" s="38"/>
      <c r="V19" s="38"/>
      <c r="W19" s="38"/>
      <c r="X19" s="38"/>
      <c r="Y19" s="38"/>
    </row>
    <row r="20" s="26" customFormat="1" ht="11.25" hidden="1" spans="1:25">
      <c r="A20" s="383" t="s">
        <v>137</v>
      </c>
      <c r="B20" s="395" t="s">
        <v>138</v>
      </c>
      <c r="C20" s="395"/>
      <c r="D20" s="422"/>
      <c r="E20" s="389"/>
      <c r="F20" s="413" t="s">
        <v>117</v>
      </c>
      <c r="G20" s="387">
        <v>476160</v>
      </c>
      <c r="H20" s="387">
        <v>476160</v>
      </c>
      <c r="I20" s="387">
        <v>476160</v>
      </c>
      <c r="J20" s="387">
        <v>476160</v>
      </c>
      <c r="K20" s="443"/>
      <c r="O20" s="127"/>
      <c r="P20" s="127"/>
      <c r="Q20" s="38"/>
      <c r="R20" s="38"/>
      <c r="S20" s="38"/>
      <c r="T20" s="38"/>
      <c r="U20" s="38"/>
      <c r="V20" s="38"/>
      <c r="W20" s="38"/>
      <c r="X20" s="38"/>
      <c r="Y20" s="38"/>
    </row>
    <row r="21" s="26" customFormat="1" hidden="1" customHeight="1" spans="1:25">
      <c r="A21" s="70"/>
      <c r="B21" s="423"/>
      <c r="C21" s="41"/>
      <c r="D21" s="161"/>
      <c r="E21" s="128"/>
      <c r="F21" s="128"/>
      <c r="G21" s="59"/>
      <c r="H21" s="59"/>
      <c r="I21" s="181"/>
      <c r="J21" s="127"/>
      <c r="K21" s="127"/>
      <c r="L21" s="38"/>
      <c r="M21" s="38"/>
      <c r="N21" s="38"/>
      <c r="O21" s="38"/>
      <c r="P21" s="127"/>
      <c r="Q21" s="38"/>
      <c r="R21" s="38"/>
      <c r="S21" s="38"/>
      <c r="T21" s="38"/>
      <c r="U21" s="38"/>
      <c r="V21" s="38"/>
      <c r="W21" s="38"/>
      <c r="X21" s="38"/>
      <c r="Y21" s="38"/>
    </row>
    <row r="22" s="292" customFormat="1" ht="15.75" spans="1:20">
      <c r="A22" s="225">
        <v>1</v>
      </c>
      <c r="B22" s="424" t="s">
        <v>169</v>
      </c>
      <c r="C22" s="425"/>
      <c r="D22" s="255"/>
      <c r="E22" s="426"/>
      <c r="F22" s="253"/>
      <c r="G22" s="253"/>
      <c r="H22" s="253"/>
      <c r="I22" s="253"/>
      <c r="J22" s="253"/>
      <c r="K22" s="253"/>
      <c r="L22" s="253"/>
      <c r="M22" s="253"/>
      <c r="N22" s="253"/>
      <c r="O22" s="253"/>
      <c r="P22" s="253"/>
      <c r="Q22" s="253"/>
      <c r="R22" s="253"/>
      <c r="S22" s="253"/>
      <c r="T22" s="446"/>
    </row>
    <row r="23" s="26" customFormat="1" customHeight="1" spans="1:25">
      <c r="A23" s="70"/>
      <c r="B23" s="423"/>
      <c r="C23" s="41"/>
      <c r="D23" s="161"/>
      <c r="E23" s="128"/>
      <c r="F23" s="128"/>
      <c r="G23" s="59"/>
      <c r="H23" s="59"/>
      <c r="I23" s="181"/>
      <c r="J23" s="127"/>
      <c r="K23" s="127"/>
      <c r="L23" s="38"/>
      <c r="M23" s="38"/>
      <c r="N23" s="38"/>
      <c r="O23" s="38"/>
      <c r="P23" s="127"/>
      <c r="Q23" s="38"/>
      <c r="R23" s="38"/>
      <c r="S23" s="38"/>
      <c r="T23" s="38"/>
      <c r="U23" s="38"/>
      <c r="V23" s="38"/>
      <c r="W23" s="38"/>
      <c r="X23" s="38"/>
      <c r="Y23" s="38"/>
    </row>
    <row r="24" s="26" customFormat="1" ht="11.25" spans="4:25">
      <c r="D24" s="72" t="s">
        <v>162</v>
      </c>
      <c r="E24" s="44" t="s">
        <v>163</v>
      </c>
      <c r="F24" s="44"/>
      <c r="G24" s="59"/>
      <c r="H24" s="59"/>
      <c r="I24" s="181"/>
      <c r="J24" s="127"/>
      <c r="K24" s="127"/>
      <c r="L24" s="38"/>
      <c r="M24" s="38"/>
      <c r="N24" s="38"/>
      <c r="O24" s="38"/>
      <c r="P24" s="127"/>
      <c r="Q24" s="38"/>
      <c r="R24" s="38"/>
      <c r="S24" s="38"/>
      <c r="T24" s="38"/>
      <c r="U24" s="38"/>
      <c r="V24" s="38"/>
      <c r="W24" s="38"/>
      <c r="X24" s="38"/>
      <c r="Y24" s="38"/>
    </row>
    <row r="25" s="26" customFormat="1" customHeight="1" spans="1:25">
      <c r="A25" s="70"/>
      <c r="D25" s="72" t="s">
        <v>103</v>
      </c>
      <c r="E25" s="72" t="s">
        <v>104</v>
      </c>
      <c r="F25" s="72" t="s">
        <v>105</v>
      </c>
      <c r="G25" s="59"/>
      <c r="H25" s="59"/>
      <c r="I25" s="181"/>
      <c r="J25" s="127"/>
      <c r="K25" s="127"/>
      <c r="L25" s="38"/>
      <c r="M25" s="38"/>
      <c r="N25" s="38"/>
      <c r="O25" s="38"/>
      <c r="P25" s="127"/>
      <c r="Q25" s="38"/>
      <c r="R25" s="38"/>
      <c r="S25" s="38"/>
      <c r="T25" s="38"/>
      <c r="U25" s="38"/>
      <c r="V25" s="38"/>
      <c r="W25" s="38"/>
      <c r="X25" s="38"/>
      <c r="Y25" s="38"/>
    </row>
    <row r="26" s="26" customFormat="1" customHeight="1" spans="1:25">
      <c r="A26" s="70"/>
      <c r="B26" s="52" t="s">
        <v>170</v>
      </c>
      <c r="C26" s="53"/>
      <c r="D26" s="75">
        <v>35000</v>
      </c>
      <c r="E26" s="56">
        <v>1.1</v>
      </c>
      <c r="F26" s="56">
        <v>1.1</v>
      </c>
      <c r="G26" s="427"/>
      <c r="J26" s="38"/>
      <c r="K26" s="38"/>
      <c r="L26" s="38"/>
      <c r="M26" s="38"/>
      <c r="N26" s="38"/>
      <c r="O26" s="38"/>
      <c r="P26" s="127"/>
      <c r="Q26" s="38"/>
      <c r="R26" s="38"/>
      <c r="S26" s="38"/>
      <c r="T26" s="38"/>
      <c r="U26" s="38"/>
      <c r="V26" s="38"/>
      <c r="W26" s="38"/>
      <c r="X26" s="38"/>
      <c r="Y26" s="38"/>
    </row>
    <row r="27" s="26" customFormat="1" customHeight="1" spans="1:25">
      <c r="A27" s="70"/>
      <c r="B27" s="52" t="s">
        <v>171</v>
      </c>
      <c r="C27" s="53"/>
      <c r="D27" s="75">
        <v>3000</v>
      </c>
      <c r="E27" s="56">
        <v>1.1</v>
      </c>
      <c r="F27" s="56">
        <v>1.1</v>
      </c>
      <c r="G27" s="427"/>
      <c r="J27" s="38"/>
      <c r="K27" s="38"/>
      <c r="L27" s="38"/>
      <c r="M27" s="38"/>
      <c r="N27" s="38"/>
      <c r="O27" s="38"/>
      <c r="P27" s="127"/>
      <c r="Q27" s="38"/>
      <c r="R27" s="38"/>
      <c r="S27" s="38"/>
      <c r="T27" s="38"/>
      <c r="U27" s="38"/>
      <c r="V27" s="38"/>
      <c r="W27" s="38"/>
      <c r="X27" s="38"/>
      <c r="Y27" s="38"/>
    </row>
    <row r="28" s="26" customFormat="1" customHeight="1" spans="1:25">
      <c r="A28" s="70"/>
      <c r="B28" s="52" t="s">
        <v>1328</v>
      </c>
      <c r="C28" s="53"/>
      <c r="D28" s="75">
        <v>28000</v>
      </c>
      <c r="E28" s="56">
        <v>1.1</v>
      </c>
      <c r="F28" s="56">
        <v>1.1</v>
      </c>
      <c r="G28" s="427"/>
      <c r="J28" s="38"/>
      <c r="K28" s="38"/>
      <c r="L28" s="38"/>
      <c r="M28" s="38"/>
      <c r="N28" s="38"/>
      <c r="O28" s="38"/>
      <c r="P28" s="127"/>
      <c r="Q28" s="38"/>
      <c r="R28" s="38"/>
      <c r="S28" s="38"/>
      <c r="T28" s="38"/>
      <c r="U28" s="38"/>
      <c r="V28" s="38"/>
      <c r="W28" s="38"/>
      <c r="X28" s="38"/>
      <c r="Y28" s="38"/>
    </row>
    <row r="29" s="26" customFormat="1" customHeight="1" spans="1:25">
      <c r="A29" s="70"/>
      <c r="B29" s="52" t="s">
        <v>1329</v>
      </c>
      <c r="C29" s="53"/>
      <c r="D29" s="75">
        <v>15000</v>
      </c>
      <c r="E29" s="56">
        <v>1.1</v>
      </c>
      <c r="F29" s="56">
        <v>1.1</v>
      </c>
      <c r="G29" s="427"/>
      <c r="J29" s="38"/>
      <c r="K29" s="38"/>
      <c r="L29" s="38"/>
      <c r="M29" s="38"/>
      <c r="N29" s="38"/>
      <c r="O29" s="38"/>
      <c r="P29" s="127"/>
      <c r="Q29" s="38"/>
      <c r="R29" s="38"/>
      <c r="S29" s="38"/>
      <c r="T29" s="38"/>
      <c r="U29" s="38"/>
      <c r="V29" s="38"/>
      <c r="W29" s="38"/>
      <c r="X29" s="38"/>
      <c r="Y29" s="38"/>
    </row>
    <row r="30" s="26" customFormat="1" customHeight="1" spans="1:25">
      <c r="A30" s="70"/>
      <c r="B30" s="52" t="s">
        <v>1330</v>
      </c>
      <c r="C30" s="53"/>
      <c r="D30" s="75">
        <v>3000</v>
      </c>
      <c r="E30" s="56">
        <v>1.1</v>
      </c>
      <c r="F30" s="56">
        <v>1.1</v>
      </c>
      <c r="G30" s="427"/>
      <c r="J30" s="38"/>
      <c r="K30" s="38"/>
      <c r="L30" s="38"/>
      <c r="M30" s="38"/>
      <c r="N30" s="38"/>
      <c r="O30" s="38"/>
      <c r="P30" s="127"/>
      <c r="Q30" s="38"/>
      <c r="R30" s="38"/>
      <c r="S30" s="38"/>
      <c r="T30" s="38"/>
      <c r="U30" s="38"/>
      <c r="V30" s="38"/>
      <c r="W30" s="38"/>
      <c r="X30" s="38"/>
      <c r="Y30" s="38"/>
    </row>
    <row r="31" s="26" customFormat="1" customHeight="1" spans="1:25">
      <c r="A31" s="70"/>
      <c r="B31" s="52" t="s">
        <v>1331</v>
      </c>
      <c r="C31" s="53"/>
      <c r="D31" s="75">
        <v>2900</v>
      </c>
      <c r="E31" s="56">
        <v>1.1</v>
      </c>
      <c r="F31" s="56">
        <v>1.1</v>
      </c>
      <c r="G31" s="427"/>
      <c r="J31" s="38"/>
      <c r="K31" s="38"/>
      <c r="L31" s="38"/>
      <c r="M31" s="38"/>
      <c r="N31" s="38"/>
      <c r="O31" s="38"/>
      <c r="P31" s="127"/>
      <c r="Q31" s="38"/>
      <c r="R31" s="38"/>
      <c r="S31" s="38"/>
      <c r="T31" s="38"/>
      <c r="U31" s="38"/>
      <c r="V31" s="38"/>
      <c r="W31" s="38"/>
      <c r="X31" s="38"/>
      <c r="Y31" s="38"/>
    </row>
    <row r="32" s="26" customFormat="1" customHeight="1" spans="1:25">
      <c r="A32" s="70"/>
      <c r="B32" s="126"/>
      <c r="C32" s="38"/>
      <c r="D32" s="161"/>
      <c r="E32" s="128"/>
      <c r="F32" s="128"/>
      <c r="J32" s="38"/>
      <c r="K32" s="38"/>
      <c r="L32" s="38"/>
      <c r="M32" s="38"/>
      <c r="N32" s="38"/>
      <c r="O32" s="38"/>
      <c r="P32" s="127"/>
      <c r="Q32" s="38"/>
      <c r="R32" s="38"/>
      <c r="S32" s="38"/>
      <c r="T32" s="38"/>
      <c r="U32" s="38"/>
      <c r="V32" s="38"/>
      <c r="W32" s="38"/>
      <c r="X32" s="38"/>
      <c r="Y32" s="38"/>
    </row>
    <row r="33" s="26" customFormat="1" customHeight="1" spans="1:25">
      <c r="A33" s="70"/>
      <c r="B33" s="71" t="s">
        <v>142</v>
      </c>
      <c r="C33" s="77"/>
      <c r="D33" s="78">
        <f>SUM(D26:D32)</f>
        <v>86900</v>
      </c>
      <c r="E33" s="78">
        <f>SUMPRODUCT(D26:D32,E26:E32)</f>
        <v>95590</v>
      </c>
      <c r="F33" s="78">
        <f>SUMPRODUCT(D26:D32,E26:E32,F26:F32)</f>
        <v>105149</v>
      </c>
      <c r="J33" s="38"/>
      <c r="K33" s="38"/>
      <c r="L33" s="38"/>
      <c r="M33" s="38"/>
      <c r="N33" s="38"/>
      <c r="O33" s="38"/>
      <c r="P33" s="127"/>
      <c r="Q33" s="38"/>
      <c r="R33" s="38"/>
      <c r="S33" s="38"/>
      <c r="T33" s="38"/>
      <c r="U33" s="38"/>
      <c r="V33" s="38"/>
      <c r="W33" s="38"/>
      <c r="X33" s="38"/>
      <c r="Y33" s="38"/>
    </row>
    <row r="34" s="292" customFormat="1" spans="2:20">
      <c r="B34" s="253"/>
      <c r="C34" s="253"/>
      <c r="D34" s="253"/>
      <c r="E34" s="253"/>
      <c r="F34" s="257"/>
      <c r="G34" s="257"/>
      <c r="H34" s="257"/>
      <c r="I34" s="286"/>
      <c r="J34" s="286"/>
      <c r="K34" s="287"/>
      <c r="L34" s="33"/>
      <c r="M34" s="33"/>
      <c r="N34" s="33"/>
      <c r="O34" s="33"/>
      <c r="P34" s="33"/>
      <c r="Q34" s="33"/>
      <c r="R34" s="33"/>
      <c r="S34" s="33"/>
      <c r="T34" s="141"/>
    </row>
    <row r="35" s="201" customFormat="1" ht="12" spans="2:20">
      <c r="B35" s="319"/>
      <c r="C35" s="33"/>
      <c r="D35" s="33"/>
      <c r="E35" s="33"/>
      <c r="F35" s="33"/>
      <c r="G35" s="33"/>
      <c r="H35" s="33"/>
      <c r="I35" s="286"/>
      <c r="J35" s="286"/>
      <c r="K35" s="323" t="s">
        <v>72</v>
      </c>
      <c r="L35" s="324"/>
      <c r="M35" s="324"/>
      <c r="N35" s="33"/>
      <c r="O35" s="33"/>
      <c r="P35" s="33"/>
      <c r="Q35" s="33"/>
      <c r="R35" s="33"/>
      <c r="S35" s="33"/>
      <c r="T35" s="141"/>
    </row>
    <row r="36" s="141" customFormat="1" ht="11.25" spans="2:27">
      <c r="B36" s="33"/>
      <c r="C36" s="33"/>
      <c r="D36" s="33"/>
      <c r="E36" s="33"/>
      <c r="F36" s="33"/>
      <c r="G36" s="33"/>
      <c r="H36" s="33"/>
      <c r="I36" s="33"/>
      <c r="J36" s="33"/>
      <c r="K36" s="33"/>
      <c r="L36" s="33"/>
      <c r="M36" s="33"/>
      <c r="N36" s="33"/>
      <c r="O36" s="33"/>
      <c r="P36" s="124"/>
      <c r="Q36" s="33"/>
      <c r="R36" s="33"/>
      <c r="S36" s="33"/>
      <c r="Z36" s="447"/>
      <c r="AA36" s="447"/>
    </row>
    <row r="37" s="141" customFormat="1" ht="15.75" spans="1:29">
      <c r="A37" s="206">
        <v>2</v>
      </c>
      <c r="B37" s="36" t="s">
        <v>74</v>
      </c>
      <c r="C37" s="428"/>
      <c r="D37" s="37"/>
      <c r="E37" s="207"/>
      <c r="F37" s="35"/>
      <c r="G37" s="38"/>
      <c r="H37" s="38"/>
      <c r="I37" s="38"/>
      <c r="J37" s="125"/>
      <c r="K37" s="38"/>
      <c r="L37" s="38"/>
      <c r="M37" s="38"/>
      <c r="N37" s="126"/>
      <c r="O37" s="26"/>
      <c r="P37" s="26"/>
      <c r="Q37" s="38"/>
      <c r="R37" s="38"/>
      <c r="S37" s="291"/>
      <c r="T37" s="378"/>
      <c r="U37" s="378"/>
      <c r="V37" s="378"/>
      <c r="W37" s="378"/>
      <c r="AC37" s="447"/>
    </row>
    <row r="38" s="26" customFormat="1" spans="1:25">
      <c r="A38" s="70"/>
      <c r="B38" s="71"/>
      <c r="C38" s="208"/>
      <c r="D38" s="71"/>
      <c r="K38" s="38"/>
      <c r="L38" s="38"/>
      <c r="M38" s="38"/>
      <c r="O38" s="127"/>
      <c r="P38" s="127"/>
      <c r="Q38" s="38"/>
      <c r="R38" s="38"/>
      <c r="S38" s="38"/>
      <c r="T38" s="38"/>
      <c r="U38" s="38"/>
      <c r="V38" s="38"/>
      <c r="W38" s="38"/>
      <c r="X38" s="38"/>
      <c r="Y38" s="38"/>
    </row>
    <row r="39" s="26" customFormat="1" spans="1:25">
      <c r="A39" s="70"/>
      <c r="B39" s="71"/>
      <c r="C39" s="208"/>
      <c r="D39" s="209"/>
      <c r="E39" s="168" t="s">
        <v>202</v>
      </c>
      <c r="F39" s="210"/>
      <c r="G39" s="169"/>
      <c r="H39" s="50"/>
      <c r="M39" s="445"/>
      <c r="N39" s="445"/>
      <c r="O39" s="445"/>
      <c r="P39" s="127"/>
      <c r="Q39" s="38"/>
      <c r="R39" s="38"/>
      <c r="S39" s="38"/>
      <c r="T39" s="38"/>
      <c r="U39" s="38"/>
      <c r="V39" s="38"/>
      <c r="W39" s="38"/>
      <c r="X39" s="38"/>
      <c r="Y39" s="38"/>
    </row>
    <row r="40" s="127" customFormat="1" spans="1:70">
      <c r="A40" s="154"/>
      <c r="B40" s="229"/>
      <c r="C40" s="229"/>
      <c r="D40" s="429"/>
      <c r="E40" s="213" t="s">
        <v>203</v>
      </c>
      <c r="F40" s="214" t="s">
        <v>204</v>
      </c>
      <c r="G40" s="215" t="s">
        <v>205</v>
      </c>
      <c r="H40" s="430" t="s">
        <v>206</v>
      </c>
      <c r="I40" s="214" t="s">
        <v>207</v>
      </c>
      <c r="J40" s="271" t="s">
        <v>208</v>
      </c>
      <c r="K40" s="214" t="s">
        <v>209</v>
      </c>
      <c r="L40" s="214" t="s">
        <v>209</v>
      </c>
      <c r="M40" s="214" t="s">
        <v>211</v>
      </c>
      <c r="N40" s="214" t="s">
        <v>212</v>
      </c>
      <c r="O40" s="83"/>
      <c r="P40" s="83"/>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row>
    <row r="41" s="127" customFormat="1" spans="1:70">
      <c r="A41" s="154"/>
      <c r="B41" s="74" t="s">
        <v>213</v>
      </c>
      <c r="C41" s="431" t="s">
        <v>214</v>
      </c>
      <c r="D41" s="160" t="s">
        <v>215</v>
      </c>
      <c r="E41" s="219" t="s">
        <v>216</v>
      </c>
      <c r="F41" s="160" t="s">
        <v>216</v>
      </c>
      <c r="G41" s="220" t="s">
        <v>216</v>
      </c>
      <c r="H41" s="221" t="s">
        <v>216</v>
      </c>
      <c r="I41" s="160" t="s">
        <v>217</v>
      </c>
      <c r="J41" s="160"/>
      <c r="K41" s="160" t="s">
        <v>218</v>
      </c>
      <c r="L41" s="160" t="s">
        <v>1332</v>
      </c>
      <c r="M41" s="160" t="s">
        <v>219</v>
      </c>
      <c r="N41" s="160" t="s">
        <v>219</v>
      </c>
      <c r="O41" s="83"/>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row>
    <row r="42" s="127" customFormat="1" spans="1:70">
      <c r="A42" s="154"/>
      <c r="B42" s="52" t="s">
        <v>220</v>
      </c>
      <c r="C42" s="83" t="s">
        <v>221</v>
      </c>
      <c r="D42" s="432" t="s">
        <v>222</v>
      </c>
      <c r="E42" s="223">
        <v>0.36</v>
      </c>
      <c r="F42" s="223">
        <v>0.2</v>
      </c>
      <c r="G42" s="223">
        <v>0.26</v>
      </c>
      <c r="H42" s="433">
        <v>4.49</v>
      </c>
      <c r="I42" s="55">
        <v>1</v>
      </c>
      <c r="J42" s="83">
        <v>0.8</v>
      </c>
      <c r="K42" s="55">
        <v>1.05</v>
      </c>
      <c r="L42" s="55">
        <v>1.3</v>
      </c>
      <c r="M42" s="55">
        <v>0</v>
      </c>
      <c r="N42" s="55">
        <v>0</v>
      </c>
      <c r="O42" s="83"/>
      <c r="P42" s="272"/>
      <c r="Q42" s="288"/>
      <c r="R42" s="272"/>
      <c r="S42" s="272"/>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row>
    <row r="43" s="127" customFormat="1" spans="1:70">
      <c r="A43" s="154"/>
      <c r="B43" s="52" t="s">
        <v>224</v>
      </c>
      <c r="C43" s="83" t="s">
        <v>221</v>
      </c>
      <c r="D43" s="432" t="s">
        <v>225</v>
      </c>
      <c r="E43" s="223">
        <v>0.4</v>
      </c>
      <c r="F43" s="223">
        <v>0.2</v>
      </c>
      <c r="G43" s="223">
        <v>0.26</v>
      </c>
      <c r="H43" s="433">
        <v>6.99</v>
      </c>
      <c r="I43" s="55">
        <v>1</v>
      </c>
      <c r="J43" s="83">
        <v>0.8</v>
      </c>
      <c r="K43" s="55">
        <v>1.05</v>
      </c>
      <c r="L43" s="55">
        <v>1.3</v>
      </c>
      <c r="M43" s="55">
        <v>0</v>
      </c>
      <c r="N43" s="55">
        <v>0</v>
      </c>
      <c r="O43" s="38"/>
      <c r="P43" s="274"/>
      <c r="Q43" s="290"/>
      <c r="R43" s="290"/>
      <c r="S43" s="272"/>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row>
    <row r="44" s="127" customFormat="1" spans="1:70">
      <c r="A44" s="154"/>
      <c r="B44" s="52" t="s">
        <v>228</v>
      </c>
      <c r="C44" s="83" t="s">
        <v>221</v>
      </c>
      <c r="D44" s="432" t="s">
        <v>229</v>
      </c>
      <c r="E44" s="223">
        <v>0.37</v>
      </c>
      <c r="F44" s="223">
        <v>0.2</v>
      </c>
      <c r="G44" s="223">
        <v>0.26</v>
      </c>
      <c r="H44" s="433">
        <v>5.49</v>
      </c>
      <c r="I44" s="55">
        <v>1</v>
      </c>
      <c r="J44" s="83">
        <v>0.5</v>
      </c>
      <c r="K44" s="55">
        <v>1.05</v>
      </c>
      <c r="L44" s="55">
        <v>1.3</v>
      </c>
      <c r="M44" s="55">
        <v>0</v>
      </c>
      <c r="N44" s="55">
        <v>0</v>
      </c>
      <c r="O44" s="38"/>
      <c r="P44" s="274"/>
      <c r="Q44" s="290"/>
      <c r="R44" s="290"/>
      <c r="S44" s="272"/>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row>
    <row r="45" s="127" customFormat="1" spans="1:70">
      <c r="A45" s="154"/>
      <c r="B45" s="52" t="s">
        <v>232</v>
      </c>
      <c r="C45" s="83" t="s">
        <v>221</v>
      </c>
      <c r="D45" s="432" t="s">
        <v>233</v>
      </c>
      <c r="E45" s="223">
        <v>0.38</v>
      </c>
      <c r="F45" s="223">
        <v>0.2</v>
      </c>
      <c r="G45" s="223">
        <v>0.26</v>
      </c>
      <c r="H45" s="433">
        <v>6.99</v>
      </c>
      <c r="I45" s="55">
        <v>1</v>
      </c>
      <c r="J45" s="83">
        <v>0.55</v>
      </c>
      <c r="K45" s="55">
        <v>1.05</v>
      </c>
      <c r="L45" s="55">
        <v>1.3</v>
      </c>
      <c r="M45" s="55">
        <v>0</v>
      </c>
      <c r="N45" s="55">
        <v>0</v>
      </c>
      <c r="O45" s="38"/>
      <c r="P45" s="274"/>
      <c r="Q45" s="290"/>
      <c r="R45" s="290"/>
      <c r="S45" s="272"/>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row>
    <row r="46" s="127" customFormat="1" spans="1:70">
      <c r="A46" s="154"/>
      <c r="B46" s="52" t="s">
        <v>236</v>
      </c>
      <c r="C46" s="83" t="s">
        <v>221</v>
      </c>
      <c r="D46" s="432" t="s">
        <v>237</v>
      </c>
      <c r="E46" s="223">
        <v>0.37</v>
      </c>
      <c r="F46" s="223">
        <v>0.2</v>
      </c>
      <c r="G46" s="223">
        <v>0.26</v>
      </c>
      <c r="H46" s="433">
        <v>5.99</v>
      </c>
      <c r="I46" s="55">
        <v>1</v>
      </c>
      <c r="J46" s="83">
        <v>0.55</v>
      </c>
      <c r="K46" s="55">
        <v>1.05</v>
      </c>
      <c r="L46" s="55">
        <v>1.3</v>
      </c>
      <c r="M46" s="55">
        <v>0</v>
      </c>
      <c r="N46" s="55">
        <v>0</v>
      </c>
      <c r="O46" s="38"/>
      <c r="P46" s="274"/>
      <c r="Q46" s="290"/>
      <c r="R46" s="290"/>
      <c r="S46" s="272"/>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row>
    <row r="47" s="127" customFormat="1" spans="1:70">
      <c r="A47" s="154"/>
      <c r="B47" s="52" t="s">
        <v>238</v>
      </c>
      <c r="C47" s="83" t="s">
        <v>221</v>
      </c>
      <c r="D47" s="432" t="s">
        <v>239</v>
      </c>
      <c r="E47" s="223">
        <v>0.37</v>
      </c>
      <c r="F47" s="223">
        <v>0.2</v>
      </c>
      <c r="G47" s="223">
        <v>0.26</v>
      </c>
      <c r="H47" s="433">
        <v>5.99</v>
      </c>
      <c r="I47" s="55">
        <v>1</v>
      </c>
      <c r="J47" s="83">
        <v>0.55</v>
      </c>
      <c r="K47" s="55">
        <v>1.05</v>
      </c>
      <c r="L47" s="55">
        <v>1.3</v>
      </c>
      <c r="M47" s="55">
        <v>0</v>
      </c>
      <c r="N47" s="55">
        <v>0</v>
      </c>
      <c r="O47" s="38"/>
      <c r="P47" s="274"/>
      <c r="Q47" s="290"/>
      <c r="R47" s="290"/>
      <c r="S47" s="272"/>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row>
    <row r="48" s="127" customFormat="1" spans="1:70">
      <c r="A48" s="154"/>
      <c r="B48" s="52" t="s">
        <v>240</v>
      </c>
      <c r="C48" s="83" t="s">
        <v>241</v>
      </c>
      <c r="D48" s="432" t="s">
        <v>222</v>
      </c>
      <c r="E48" s="223">
        <v>0.36</v>
      </c>
      <c r="F48" s="223">
        <v>0.2</v>
      </c>
      <c r="G48" s="223">
        <v>0.26</v>
      </c>
      <c r="H48" s="433">
        <v>2.45</v>
      </c>
      <c r="I48" s="55">
        <v>124</v>
      </c>
      <c r="J48" s="83">
        <v>0.8</v>
      </c>
      <c r="K48" s="55">
        <v>130.8</v>
      </c>
      <c r="L48" s="55">
        <v>160.5</v>
      </c>
      <c r="M48" s="55" t="s">
        <v>242</v>
      </c>
      <c r="N48" s="55">
        <v>16</v>
      </c>
      <c r="O48" s="38"/>
      <c r="P48" s="274"/>
      <c r="Q48" s="290"/>
      <c r="R48" s="290"/>
      <c r="S48" s="272"/>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row>
    <row r="49" s="127" customFormat="1" spans="1:70">
      <c r="A49" s="154"/>
      <c r="B49" s="52" t="s">
        <v>243</v>
      </c>
      <c r="C49" s="83" t="s">
        <v>241</v>
      </c>
      <c r="D49" s="432" t="s">
        <v>225</v>
      </c>
      <c r="E49" s="223">
        <v>0.4</v>
      </c>
      <c r="F49" s="223">
        <v>0.2</v>
      </c>
      <c r="G49" s="223">
        <v>0.26</v>
      </c>
      <c r="H49" s="433">
        <v>2.99</v>
      </c>
      <c r="I49" s="55">
        <v>124</v>
      </c>
      <c r="J49" s="83">
        <v>0.8</v>
      </c>
      <c r="K49" s="55">
        <v>130.8</v>
      </c>
      <c r="L49" s="55">
        <v>160.5</v>
      </c>
      <c r="M49" s="55">
        <v>23.3</v>
      </c>
      <c r="N49" s="55">
        <v>16</v>
      </c>
      <c r="O49" s="38"/>
      <c r="P49" s="274"/>
      <c r="Q49" s="290"/>
      <c r="R49" s="290"/>
      <c r="S49" s="272"/>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row>
    <row r="50" s="127" customFormat="1" spans="1:70">
      <c r="A50" s="154"/>
      <c r="B50" s="52" t="s">
        <v>244</v>
      </c>
      <c r="C50" s="83" t="s">
        <v>221</v>
      </c>
      <c r="D50" s="432" t="s">
        <v>245</v>
      </c>
      <c r="E50" s="223">
        <v>0.37</v>
      </c>
      <c r="F50" s="223">
        <v>0.2</v>
      </c>
      <c r="G50" s="223">
        <v>0.26</v>
      </c>
      <c r="H50" s="433">
        <v>1.99</v>
      </c>
      <c r="I50" s="55">
        <v>1</v>
      </c>
      <c r="J50" s="83">
        <v>1</v>
      </c>
      <c r="K50" s="55">
        <v>1.05</v>
      </c>
      <c r="L50" s="55">
        <v>1.3</v>
      </c>
      <c r="M50" s="55">
        <v>0</v>
      </c>
      <c r="N50" s="55">
        <v>0</v>
      </c>
      <c r="O50" s="38"/>
      <c r="P50" s="274"/>
      <c r="Q50" s="290"/>
      <c r="R50" s="290"/>
      <c r="S50" s="272"/>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row>
    <row r="51" s="127" customFormat="1" spans="1:70">
      <c r="A51" s="154"/>
      <c r="B51" s="38"/>
      <c r="C51" s="126"/>
      <c r="D51" s="83"/>
      <c r="E51" s="83"/>
      <c r="F51" s="83"/>
      <c r="G51" s="83"/>
      <c r="H51" s="83"/>
      <c r="I51" s="252"/>
      <c r="J51" s="245"/>
      <c r="K51" s="83"/>
      <c r="L51" s="83"/>
      <c r="M51" s="83"/>
      <c r="N51" s="83"/>
      <c r="O51" s="83"/>
      <c r="P51" s="274"/>
      <c r="Q51" s="289"/>
      <c r="R51" s="290"/>
      <c r="S51" s="272"/>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row>
    <row r="52" s="38" customFormat="1" ht="11.25" spans="1:12">
      <c r="A52" s="251"/>
      <c r="C52" s="83"/>
      <c r="E52" s="126"/>
      <c r="H52" s="128"/>
      <c r="I52" s="128"/>
      <c r="J52" s="159"/>
      <c r="K52" s="83"/>
      <c r="L52" s="83"/>
    </row>
    <row r="53" s="376" customFormat="1" ht="15.75" spans="1:26">
      <c r="A53" s="434">
        <v>3</v>
      </c>
      <c r="B53" s="36" t="s">
        <v>1333</v>
      </c>
      <c r="C53" s="435"/>
      <c r="D53" s="436"/>
      <c r="E53" s="437"/>
      <c r="F53" s="437"/>
      <c r="G53" s="438"/>
      <c r="H53" s="438"/>
      <c r="I53" s="38"/>
      <c r="J53" s="38"/>
      <c r="K53" s="83"/>
      <c r="L53" s="38"/>
      <c r="M53" s="59"/>
      <c r="N53" s="41"/>
      <c r="O53" s="41"/>
      <c r="P53" s="41"/>
      <c r="Q53" s="41"/>
      <c r="R53" s="38"/>
      <c r="S53" s="38"/>
      <c r="T53" s="378"/>
      <c r="U53" s="378"/>
      <c r="V53" s="378"/>
      <c r="W53" s="378"/>
      <c r="X53" s="141"/>
      <c r="Y53" s="141"/>
      <c r="Z53" s="141"/>
    </row>
    <row r="54" s="38" customFormat="1" ht="11.25" spans="1:16">
      <c r="A54" s="228"/>
      <c r="C54" s="83"/>
      <c r="D54" s="222"/>
      <c r="E54" s="126"/>
      <c r="H54" s="128"/>
      <c r="I54" s="128"/>
      <c r="J54" s="159"/>
      <c r="K54" s="83"/>
      <c r="L54" s="83"/>
      <c r="N54" s="278"/>
      <c r="P54" s="278"/>
    </row>
    <row r="55" s="38" customFormat="1" ht="11.25" spans="1:16">
      <c r="A55" s="228"/>
      <c r="B55" s="229"/>
      <c r="C55" s="214"/>
      <c r="D55" s="230"/>
      <c r="E55" s="231" t="s">
        <v>103</v>
      </c>
      <c r="F55" s="232"/>
      <c r="G55" s="233"/>
      <c r="H55" s="230"/>
      <c r="I55" s="231" t="s">
        <v>104</v>
      </c>
      <c r="J55" s="232"/>
      <c r="K55" s="233"/>
      <c r="L55" s="230"/>
      <c r="M55" s="231" t="s">
        <v>105</v>
      </c>
      <c r="N55" s="277"/>
      <c r="O55" s="233"/>
      <c r="P55" s="278"/>
    </row>
    <row r="56" s="38" customFormat="1" ht="11.25" spans="1:16">
      <c r="A56" s="228"/>
      <c r="B56" s="229"/>
      <c r="C56" s="234" t="s">
        <v>221</v>
      </c>
      <c r="D56" s="235">
        <f>SUM(D59:D68)</f>
        <v>1</v>
      </c>
      <c r="E56" s="236">
        <f>H16</f>
        <v>100514.7291456</v>
      </c>
      <c r="F56" s="237"/>
      <c r="G56" s="238"/>
      <c r="H56" s="235">
        <f>SUM(H59:H68)</f>
        <v>1</v>
      </c>
      <c r="I56" s="236">
        <f>I16</f>
        <v>106999.5503808</v>
      </c>
      <c r="J56" s="237"/>
      <c r="K56" s="238"/>
      <c r="L56" s="235">
        <f>SUM(L59:L68)</f>
        <v>1</v>
      </c>
      <c r="M56" s="236">
        <f>J16</f>
        <v>110583.2673792</v>
      </c>
      <c r="N56" s="279"/>
      <c r="O56" s="238"/>
      <c r="P56" s="278"/>
    </row>
    <row r="57" s="38" customFormat="1" ht="11.25" spans="1:16">
      <c r="A57" s="228"/>
      <c r="B57" s="229"/>
      <c r="C57" s="237" t="s">
        <v>241</v>
      </c>
      <c r="D57" s="239"/>
      <c r="E57" s="238"/>
      <c r="F57" s="240">
        <f>SUM(F59:F68)</f>
        <v>1</v>
      </c>
      <c r="G57" s="241">
        <f>H19</f>
        <v>163997.7159744</v>
      </c>
      <c r="H57" s="239"/>
      <c r="I57" s="238"/>
      <c r="J57" s="240">
        <f>SUM(J59:J68)</f>
        <v>1</v>
      </c>
      <c r="K57" s="241">
        <f>I19</f>
        <v>174578.2137792</v>
      </c>
      <c r="L57" s="239"/>
      <c r="M57" s="238"/>
      <c r="N57" s="240">
        <f>SUM(N59:N68)</f>
        <v>1</v>
      </c>
      <c r="O57" s="241">
        <f>J19</f>
        <v>196592.4753408</v>
      </c>
      <c r="P57" s="278"/>
    </row>
    <row r="58" s="38" customFormat="1" ht="11.25" spans="1:16">
      <c r="A58" s="228"/>
      <c r="B58" s="74" t="s">
        <v>213</v>
      </c>
      <c r="C58" s="217" t="s">
        <v>214</v>
      </c>
      <c r="D58" s="242"/>
      <c r="E58" s="220"/>
      <c r="F58" s="74"/>
      <c r="G58" s="243"/>
      <c r="H58" s="242"/>
      <c r="I58" s="220"/>
      <c r="J58" s="74"/>
      <c r="K58" s="243"/>
      <c r="L58" s="242"/>
      <c r="M58" s="220"/>
      <c r="N58" s="280"/>
      <c r="O58" s="243"/>
      <c r="P58" s="278"/>
    </row>
    <row r="59" s="38" customFormat="1" ht="11.25" spans="1:16">
      <c r="A59" s="228"/>
      <c r="B59" s="291" t="str">
        <f t="shared" ref="B59:C67" si="0">B42</f>
        <v>BR01-01</v>
      </c>
      <c r="C59" s="83" t="str">
        <f t="shared" si="0"/>
        <v>[retail]</v>
      </c>
      <c r="D59" s="263">
        <v>0.11</v>
      </c>
      <c r="E59" s="245">
        <f t="shared" ref="E59:E67" si="1">IF(C59="[retail]",VLOOKUP(C59,retail_wholesale,3,FALSE)*D59,"")</f>
        <v>11056.620206016</v>
      </c>
      <c r="F59" s="83"/>
      <c r="G59" s="246" t="str">
        <f t="shared" ref="G59:G67" si="2">IF(C59="[wholesale]",F59*VLOOKUP(C59,retail_wholesale,5,FALSE),"")</f>
        <v/>
      </c>
      <c r="H59" s="263">
        <v>0.11</v>
      </c>
      <c r="I59" s="245">
        <f t="shared" ref="I59:I68" si="3">IF(C59="[retail]",VLOOKUP(C59,retail_wholesale,7,FALSE)*H59,"")</f>
        <v>11769.950541888</v>
      </c>
      <c r="J59" s="83"/>
      <c r="K59" s="281" t="str">
        <f>IF(C59="[wholesale]",VLOOKUP(C59,retail_wholesale,9,FALSE)*J59,"")</f>
        <v/>
      </c>
      <c r="L59" s="263">
        <v>0.15</v>
      </c>
      <c r="M59" s="245">
        <f t="shared" ref="M59:M67" si="4">IF(C59="[retail]",VLOOKUP(C59,retail_wholesale,11,FALSE)*L59,"")</f>
        <v>16587.49010688</v>
      </c>
      <c r="N59" s="278"/>
      <c r="O59" s="245" t="str">
        <f t="shared" ref="O59:O67" si="5">IF(C59="[wholesale]",VLOOKUP(C59,retail_wholesale,13,FALSE)*N59,"")</f>
        <v/>
      </c>
      <c r="P59" s="278"/>
    </row>
    <row r="60" s="38" customFormat="1" ht="11.25" spans="1:16">
      <c r="A60" s="228"/>
      <c r="B60" s="291" t="str">
        <f t="shared" si="0"/>
        <v>BR01-02</v>
      </c>
      <c r="C60" s="83" t="str">
        <f t="shared" si="0"/>
        <v>[retail]</v>
      </c>
      <c r="D60" s="263">
        <v>0.11</v>
      </c>
      <c r="E60" s="245">
        <f t="shared" si="1"/>
        <v>11056.620206016</v>
      </c>
      <c r="F60" s="83"/>
      <c r="G60" s="246" t="str">
        <f t="shared" si="2"/>
        <v/>
      </c>
      <c r="H60" s="263">
        <v>0.11</v>
      </c>
      <c r="I60" s="245">
        <f t="shared" si="3"/>
        <v>11769.950541888</v>
      </c>
      <c r="J60" s="83"/>
      <c r="K60" s="281" t="str">
        <f t="shared" ref="K60:K67" si="6">IF(C60="[wholesale]",VLOOKUP(C60,retail_wholesale,9,FALSE)*J60,"")</f>
        <v/>
      </c>
      <c r="L60" s="263">
        <v>0.16</v>
      </c>
      <c r="M60" s="245">
        <f t="shared" si="4"/>
        <v>17693.322780672</v>
      </c>
      <c r="N60" s="278"/>
      <c r="O60" s="245" t="str">
        <f t="shared" si="5"/>
        <v/>
      </c>
      <c r="P60" s="278"/>
    </row>
    <row r="61" s="38" customFormat="1" ht="11.25" spans="1:16">
      <c r="A61" s="228"/>
      <c r="B61" s="291" t="str">
        <f t="shared" si="0"/>
        <v>BR01-03</v>
      </c>
      <c r="C61" s="83" t="str">
        <f t="shared" si="0"/>
        <v>[retail]</v>
      </c>
      <c r="D61" s="263">
        <v>0.09</v>
      </c>
      <c r="E61" s="245">
        <f t="shared" si="1"/>
        <v>9046.325623104</v>
      </c>
      <c r="F61" s="83"/>
      <c r="G61" s="246" t="str">
        <f t="shared" si="2"/>
        <v/>
      </c>
      <c r="H61" s="263">
        <v>0.09</v>
      </c>
      <c r="I61" s="245">
        <f t="shared" si="3"/>
        <v>9629.959534272</v>
      </c>
      <c r="J61" s="83"/>
      <c r="K61" s="281" t="str">
        <f t="shared" si="6"/>
        <v/>
      </c>
      <c r="L61" s="263">
        <v>0.09</v>
      </c>
      <c r="M61" s="245">
        <f t="shared" si="4"/>
        <v>9952.494064128</v>
      </c>
      <c r="N61" s="278"/>
      <c r="O61" s="245" t="str">
        <f t="shared" si="5"/>
        <v/>
      </c>
      <c r="P61" s="278"/>
    </row>
    <row r="62" s="38" customFormat="1" ht="11.25" spans="1:16">
      <c r="A62" s="228"/>
      <c r="B62" s="291" t="str">
        <f t="shared" si="0"/>
        <v>BR01-04</v>
      </c>
      <c r="C62" s="83" t="str">
        <f t="shared" si="0"/>
        <v>[retail]</v>
      </c>
      <c r="D62" s="263">
        <v>0.23</v>
      </c>
      <c r="E62" s="245">
        <f t="shared" si="1"/>
        <v>23118.387703488</v>
      </c>
      <c r="F62" s="83"/>
      <c r="G62" s="246" t="str">
        <f t="shared" si="2"/>
        <v/>
      </c>
      <c r="H62" s="263">
        <v>0.23</v>
      </c>
      <c r="I62" s="245">
        <f t="shared" si="3"/>
        <v>24609.896587584</v>
      </c>
      <c r="J62" s="83"/>
      <c r="K62" s="281" t="str">
        <f t="shared" si="6"/>
        <v/>
      </c>
      <c r="L62" s="263">
        <v>0.2</v>
      </c>
      <c r="M62" s="245">
        <f t="shared" si="4"/>
        <v>22116.65347584</v>
      </c>
      <c r="N62" s="278"/>
      <c r="O62" s="245" t="str">
        <f t="shared" si="5"/>
        <v/>
      </c>
      <c r="P62" s="278"/>
    </row>
    <row r="63" s="38" customFormat="1" ht="11.25" spans="1:16">
      <c r="A63" s="228"/>
      <c r="B63" s="291" t="str">
        <f t="shared" si="0"/>
        <v>BR01-05</v>
      </c>
      <c r="C63" s="83" t="str">
        <f t="shared" si="0"/>
        <v>[retail]</v>
      </c>
      <c r="D63" s="263">
        <v>0.23</v>
      </c>
      <c r="E63" s="245">
        <f t="shared" si="1"/>
        <v>23118.387703488</v>
      </c>
      <c r="F63" s="83"/>
      <c r="G63" s="246" t="str">
        <f t="shared" si="2"/>
        <v/>
      </c>
      <c r="H63" s="263">
        <v>0.23</v>
      </c>
      <c r="I63" s="245">
        <f t="shared" si="3"/>
        <v>24609.896587584</v>
      </c>
      <c r="J63" s="83"/>
      <c r="K63" s="281" t="str">
        <f t="shared" si="6"/>
        <v/>
      </c>
      <c r="L63" s="263">
        <v>0.2</v>
      </c>
      <c r="M63" s="245">
        <f t="shared" si="4"/>
        <v>22116.65347584</v>
      </c>
      <c r="N63" s="278"/>
      <c r="O63" s="245" t="str">
        <f t="shared" si="5"/>
        <v/>
      </c>
      <c r="P63" s="278"/>
    </row>
    <row r="64" s="38" customFormat="1" ht="11.25" spans="1:16">
      <c r="A64" s="228"/>
      <c r="B64" s="291" t="str">
        <f t="shared" si="0"/>
        <v>BR01-06</v>
      </c>
      <c r="C64" s="83" t="str">
        <f t="shared" si="0"/>
        <v>[retail]</v>
      </c>
      <c r="D64" s="263">
        <v>0.23</v>
      </c>
      <c r="E64" s="245">
        <f t="shared" si="1"/>
        <v>23118.387703488</v>
      </c>
      <c r="F64" s="83"/>
      <c r="G64" s="246" t="str">
        <f t="shared" si="2"/>
        <v/>
      </c>
      <c r="H64" s="263">
        <v>0.23</v>
      </c>
      <c r="I64" s="245">
        <f t="shared" si="3"/>
        <v>24609.896587584</v>
      </c>
      <c r="J64" s="83"/>
      <c r="K64" s="281" t="str">
        <f t="shared" si="6"/>
        <v/>
      </c>
      <c r="L64" s="263">
        <v>0.2</v>
      </c>
      <c r="M64" s="245">
        <f t="shared" si="4"/>
        <v>22116.65347584</v>
      </c>
      <c r="N64" s="278"/>
      <c r="O64" s="245" t="str">
        <f t="shared" si="5"/>
        <v/>
      </c>
      <c r="P64" s="278"/>
    </row>
    <row r="65" s="38" customFormat="1" ht="11.25" spans="1:16">
      <c r="A65" s="228"/>
      <c r="B65" s="291" t="str">
        <f t="shared" si="0"/>
        <v>BR01-07</v>
      </c>
      <c r="C65" s="83" t="str">
        <f t="shared" si="0"/>
        <v>[wholesale]</v>
      </c>
      <c r="D65" s="448"/>
      <c r="E65" s="245" t="str">
        <f t="shared" si="1"/>
        <v/>
      </c>
      <c r="F65" s="263">
        <v>0.45</v>
      </c>
      <c r="G65" s="246">
        <f t="shared" si="2"/>
        <v>73798.97218848</v>
      </c>
      <c r="H65" s="83"/>
      <c r="I65" s="245" t="str">
        <f t="shared" si="3"/>
        <v/>
      </c>
      <c r="J65" s="263">
        <v>0.48</v>
      </c>
      <c r="K65" s="281">
        <f t="shared" si="6"/>
        <v>83797.542614016</v>
      </c>
      <c r="L65" s="83"/>
      <c r="M65" s="245" t="str">
        <f t="shared" si="4"/>
        <v/>
      </c>
      <c r="N65" s="263">
        <v>0.5</v>
      </c>
      <c r="O65" s="245">
        <f t="shared" si="5"/>
        <v>98296.2376704</v>
      </c>
      <c r="P65" s="278"/>
    </row>
    <row r="66" s="38" customFormat="1" ht="11.25" spans="1:16">
      <c r="A66" s="228"/>
      <c r="B66" s="291" t="str">
        <f t="shared" si="0"/>
        <v>BR01-08</v>
      </c>
      <c r="C66" s="83" t="str">
        <f t="shared" si="0"/>
        <v>[wholesale]</v>
      </c>
      <c r="D66" s="448"/>
      <c r="E66" s="245" t="str">
        <f t="shared" si="1"/>
        <v/>
      </c>
      <c r="F66" s="263">
        <v>0.55</v>
      </c>
      <c r="G66" s="246">
        <f t="shared" si="2"/>
        <v>90198.74378592</v>
      </c>
      <c r="H66" s="83"/>
      <c r="I66" s="245" t="str">
        <f t="shared" si="3"/>
        <v/>
      </c>
      <c r="J66" s="263">
        <v>0.52</v>
      </c>
      <c r="K66" s="281">
        <f t="shared" si="6"/>
        <v>90780.671165184</v>
      </c>
      <c r="L66" s="83"/>
      <c r="M66" s="245" t="str">
        <f t="shared" si="4"/>
        <v/>
      </c>
      <c r="N66" s="263">
        <v>0.5</v>
      </c>
      <c r="O66" s="245">
        <f t="shared" si="5"/>
        <v>98296.2376704</v>
      </c>
      <c r="P66" s="278"/>
    </row>
    <row r="67" s="38" customFormat="1" ht="11.25" spans="1:16">
      <c r="A67" s="228"/>
      <c r="B67" s="291" t="str">
        <f t="shared" si="0"/>
        <v>BR01-09</v>
      </c>
      <c r="C67" s="83" t="str">
        <f t="shared" si="0"/>
        <v>[retail]</v>
      </c>
      <c r="D67" s="263">
        <v>0</v>
      </c>
      <c r="E67" s="245">
        <f t="shared" si="1"/>
        <v>0</v>
      </c>
      <c r="F67" s="83"/>
      <c r="G67" s="246" t="str">
        <f t="shared" si="2"/>
        <v/>
      </c>
      <c r="H67" s="263">
        <v>0</v>
      </c>
      <c r="I67" s="245">
        <f t="shared" si="3"/>
        <v>0</v>
      </c>
      <c r="J67" s="83"/>
      <c r="K67" s="281" t="str">
        <f t="shared" si="6"/>
        <v/>
      </c>
      <c r="L67" s="263">
        <v>0</v>
      </c>
      <c r="M67" s="245">
        <f t="shared" si="4"/>
        <v>0</v>
      </c>
      <c r="N67" s="278"/>
      <c r="O67" s="245" t="str">
        <f t="shared" si="5"/>
        <v/>
      </c>
      <c r="P67" s="278"/>
    </row>
    <row r="68" s="276" customFormat="1" ht="11.25" spans="2:26">
      <c r="B68" s="251"/>
      <c r="C68" s="38"/>
      <c r="D68" s="83"/>
      <c r="E68" s="245"/>
      <c r="F68" s="83"/>
      <c r="G68" s="245"/>
      <c r="H68" s="83"/>
      <c r="I68" s="245" t="str">
        <f t="shared" si="3"/>
        <v/>
      </c>
      <c r="J68" s="83"/>
      <c r="K68" s="245"/>
      <c r="L68" s="83"/>
      <c r="M68" s="452"/>
      <c r="N68" s="59"/>
      <c r="O68" s="452"/>
      <c r="P68" s="41"/>
      <c r="Q68" s="41"/>
      <c r="R68" s="291"/>
      <c r="S68" s="288"/>
      <c r="T68" s="38"/>
      <c r="U68" s="38"/>
      <c r="V68" s="38"/>
      <c r="W68" s="38"/>
      <c r="X68" s="33"/>
      <c r="Y68" s="33"/>
      <c r="Z68" s="33"/>
    </row>
    <row r="69" s="29" customFormat="1" ht="15.75" spans="1:25">
      <c r="A69" s="449">
        <v>4</v>
      </c>
      <c r="B69" s="156" t="s">
        <v>1334</v>
      </c>
      <c r="C69" s="156"/>
      <c r="D69" s="449"/>
      <c r="E69" s="449"/>
      <c r="F69" s="449"/>
      <c r="G69" s="449"/>
      <c r="H69" s="450"/>
      <c r="I69" s="453"/>
      <c r="J69" s="454"/>
      <c r="K69" s="455"/>
      <c r="M69" s="456"/>
      <c r="N69" s="140"/>
      <c r="O69" s="455"/>
      <c r="P69" s="140"/>
      <c r="Q69" s="140"/>
      <c r="R69" s="140"/>
      <c r="S69" s="140"/>
      <c r="T69" s="140"/>
      <c r="U69" s="140"/>
      <c r="V69" s="140"/>
      <c r="W69" s="140"/>
      <c r="X69" s="140"/>
      <c r="Y69" s="140"/>
    </row>
    <row r="70" s="202" customFormat="1" spans="1:48">
      <c r="A70" s="258"/>
      <c r="B70" s="203"/>
      <c r="C70" s="203"/>
      <c r="D70" s="302"/>
      <c r="E70" s="203"/>
      <c r="F70" s="203"/>
      <c r="G70" s="203"/>
      <c r="H70" s="83"/>
      <c r="I70" s="83"/>
      <c r="J70" s="83"/>
      <c r="K70" s="83"/>
      <c r="L70" s="83"/>
      <c r="M70" s="83"/>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row>
    <row r="71" s="41" customFormat="1" spans="1:48">
      <c r="A71" s="451"/>
      <c r="B71" s="205" t="s">
        <v>254</v>
      </c>
      <c r="C71" s="38"/>
      <c r="D71" s="218" t="str">
        <f>B42</f>
        <v>BR01-01</v>
      </c>
      <c r="E71" s="160" t="str">
        <f>IF(B43="","",B43)</f>
        <v>BR01-02</v>
      </c>
      <c r="F71" s="160" t="str">
        <f>IF(B44="","",B44)</f>
        <v>BR01-03</v>
      </c>
      <c r="G71" s="160" t="str">
        <f>IF(B45="","",B45)</f>
        <v>BR01-04</v>
      </c>
      <c r="H71" s="74" t="str">
        <f>IF(B46="","",B46)</f>
        <v>BR01-05</v>
      </c>
      <c r="I71" s="74" t="str">
        <f>IF(B47="","",B47)</f>
        <v>BR01-06</v>
      </c>
      <c r="J71" s="74" t="str">
        <f>IF(B48="","",B48)</f>
        <v>BR01-07</v>
      </c>
      <c r="K71" s="74" t="str">
        <f>IF(B49="","",B49)</f>
        <v>BR01-08</v>
      </c>
      <c r="L71" s="74" t="str">
        <f>IF(B50="","",B50)</f>
        <v>BR01-09</v>
      </c>
      <c r="M71" s="38"/>
      <c r="N71" s="74"/>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row>
    <row r="72" s="41" customFormat="1" ht="11.25" spans="1:48">
      <c r="A72" s="451"/>
      <c r="B72" s="38"/>
      <c r="C72" s="38"/>
      <c r="D72" s="160" t="str">
        <f>C42</f>
        <v>[retail]</v>
      </c>
      <c r="E72" s="160" t="str">
        <f>C43</f>
        <v>[retail]</v>
      </c>
      <c r="F72" s="160" t="str">
        <f>C44</f>
        <v>[retail]</v>
      </c>
      <c r="G72" s="160" t="str">
        <f>C45</f>
        <v>[retail]</v>
      </c>
      <c r="H72" s="160" t="str">
        <f>C46</f>
        <v>[retail]</v>
      </c>
      <c r="I72" s="160" t="str">
        <f>C47</f>
        <v>[retail]</v>
      </c>
      <c r="J72" s="160" t="str">
        <f>C48</f>
        <v>[wholesale]</v>
      </c>
      <c r="K72" s="160" t="str">
        <f>C49</f>
        <v>[wholesale]</v>
      </c>
      <c r="L72" s="160" t="str">
        <f>C50</f>
        <v>[retail]</v>
      </c>
      <c r="M72" s="38"/>
      <c r="N72" s="74"/>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row>
    <row r="73" s="202" customFormat="1" spans="1:48">
      <c r="A73" s="258"/>
      <c r="B73" s="259" t="s">
        <v>103</v>
      </c>
      <c r="C73" s="259"/>
      <c r="D73" s="260" t="s">
        <v>255</v>
      </c>
      <c r="E73" s="259"/>
      <c r="F73" s="259"/>
      <c r="G73" s="259"/>
      <c r="H73" s="259"/>
      <c r="I73" s="259"/>
      <c r="J73" s="259"/>
      <c r="K73" s="259"/>
      <c r="L73" s="140"/>
      <c r="M73" s="140"/>
      <c r="N73" s="140"/>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row>
    <row r="74" s="202" customFormat="1" spans="1:48">
      <c r="A74" s="261"/>
      <c r="B74" s="262" t="s">
        <v>256</v>
      </c>
      <c r="C74" s="203"/>
      <c r="D74" s="263">
        <v>0.04</v>
      </c>
      <c r="E74" s="263">
        <v>0.06</v>
      </c>
      <c r="F74" s="263">
        <v>0.02</v>
      </c>
      <c r="G74" s="263">
        <v>0.05</v>
      </c>
      <c r="H74" s="263">
        <v>0.05</v>
      </c>
      <c r="I74" s="263">
        <v>0.05</v>
      </c>
      <c r="J74" s="263">
        <v>0.03</v>
      </c>
      <c r="K74" s="263">
        <v>0.03</v>
      </c>
      <c r="L74" s="457"/>
      <c r="M74" s="457"/>
      <c r="N74" s="457"/>
      <c r="O74" s="457"/>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row>
    <row r="75" s="202" customFormat="1" spans="1:48">
      <c r="A75" s="264"/>
      <c r="B75" s="262" t="s">
        <v>257</v>
      </c>
      <c r="C75" s="203"/>
      <c r="D75" s="263">
        <v>0.04</v>
      </c>
      <c r="E75" s="263">
        <v>0.05</v>
      </c>
      <c r="F75" s="263">
        <v>0.03</v>
      </c>
      <c r="G75" s="263">
        <v>0.05</v>
      </c>
      <c r="H75" s="263">
        <v>0.05</v>
      </c>
      <c r="I75" s="263">
        <v>0.05</v>
      </c>
      <c r="J75" s="263">
        <v>0.03</v>
      </c>
      <c r="K75" s="263">
        <v>0.03</v>
      </c>
      <c r="L75" s="457"/>
      <c r="M75" s="457"/>
      <c r="N75" s="457"/>
      <c r="O75" s="457"/>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row>
    <row r="76" s="202" customFormat="1" spans="1:48">
      <c r="A76" s="203"/>
      <c r="B76" s="96" t="s">
        <v>258</v>
      </c>
      <c r="C76" s="203"/>
      <c r="D76" s="263">
        <v>0.04</v>
      </c>
      <c r="E76" s="263">
        <v>0.06</v>
      </c>
      <c r="F76" s="263">
        <v>0.03</v>
      </c>
      <c r="G76" s="263">
        <v>0.06</v>
      </c>
      <c r="H76" s="263">
        <v>0.06</v>
      </c>
      <c r="I76" s="263">
        <v>0.06</v>
      </c>
      <c r="J76" s="263">
        <v>0.03</v>
      </c>
      <c r="K76" s="263">
        <v>0.03</v>
      </c>
      <c r="L76" s="457"/>
      <c r="M76" s="457"/>
      <c r="N76" s="457"/>
      <c r="O76" s="457"/>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row>
    <row r="77" s="203" customFormat="1" spans="2:48">
      <c r="B77" s="96" t="s">
        <v>259</v>
      </c>
      <c r="D77" s="263">
        <v>0.04</v>
      </c>
      <c r="E77" s="263">
        <v>0.06</v>
      </c>
      <c r="F77" s="263">
        <v>0.04</v>
      </c>
      <c r="G77" s="263">
        <v>0.07</v>
      </c>
      <c r="H77" s="263">
        <v>0.07</v>
      </c>
      <c r="I77" s="263">
        <v>0.07</v>
      </c>
      <c r="J77" s="263">
        <v>0.11</v>
      </c>
      <c r="K77" s="263">
        <v>0.11</v>
      </c>
      <c r="L77" s="457"/>
      <c r="M77" s="457"/>
      <c r="N77" s="457"/>
      <c r="O77" s="457"/>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row>
    <row r="78" s="203" customFormat="1" spans="2:48">
      <c r="B78" s="96" t="s">
        <v>260</v>
      </c>
      <c r="D78" s="263">
        <v>0.12</v>
      </c>
      <c r="E78" s="263">
        <v>0.11</v>
      </c>
      <c r="F78" s="263">
        <v>0.11</v>
      </c>
      <c r="G78" s="263">
        <v>0.08</v>
      </c>
      <c r="H78" s="263">
        <v>0.08</v>
      </c>
      <c r="I78" s="263">
        <v>0.08</v>
      </c>
      <c r="J78" s="263">
        <v>0.11</v>
      </c>
      <c r="K78" s="263">
        <v>0.11</v>
      </c>
      <c r="L78" s="457"/>
      <c r="M78" s="457"/>
      <c r="N78" s="457"/>
      <c r="O78" s="457"/>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row>
    <row r="79" s="203" customFormat="1" spans="1:48">
      <c r="A79" s="140"/>
      <c r="B79" s="96" t="s">
        <v>261</v>
      </c>
      <c r="D79" s="263">
        <v>0.12</v>
      </c>
      <c r="E79" s="263">
        <v>0.11</v>
      </c>
      <c r="F79" s="263">
        <v>0.12</v>
      </c>
      <c r="G79" s="263">
        <v>0.1</v>
      </c>
      <c r="H79" s="263">
        <v>0.1</v>
      </c>
      <c r="I79" s="263">
        <v>0.1</v>
      </c>
      <c r="J79" s="263">
        <v>0.14</v>
      </c>
      <c r="K79" s="263">
        <v>0.14</v>
      </c>
      <c r="L79" s="457"/>
      <c r="M79" s="457"/>
      <c r="N79" s="457"/>
      <c r="O79" s="457"/>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row>
    <row r="80" s="203" customFormat="1" spans="1:48">
      <c r="A80" s="140"/>
      <c r="B80" s="96" t="s">
        <v>262</v>
      </c>
      <c r="D80" s="263">
        <v>0.12</v>
      </c>
      <c r="E80" s="263">
        <v>0.11</v>
      </c>
      <c r="F80" s="263">
        <v>0.12</v>
      </c>
      <c r="G80" s="263">
        <v>0.1</v>
      </c>
      <c r="H80" s="263">
        <v>0.1</v>
      </c>
      <c r="I80" s="263">
        <v>0.1</v>
      </c>
      <c r="J80" s="263">
        <v>0.14</v>
      </c>
      <c r="K80" s="263">
        <v>0.14</v>
      </c>
      <c r="L80" s="457"/>
      <c r="M80" s="457"/>
      <c r="N80" s="457"/>
      <c r="O80" s="457"/>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row>
    <row r="81" s="203" customFormat="1" spans="1:48">
      <c r="A81" s="140"/>
      <c r="B81" s="96" t="s">
        <v>263</v>
      </c>
      <c r="D81" s="263">
        <v>0.12</v>
      </c>
      <c r="E81" s="263">
        <v>0.11</v>
      </c>
      <c r="F81" s="263">
        <v>0.12</v>
      </c>
      <c r="G81" s="263">
        <v>0.12</v>
      </c>
      <c r="H81" s="263">
        <v>0.12</v>
      </c>
      <c r="I81" s="263">
        <v>0.12</v>
      </c>
      <c r="J81" s="263">
        <v>0.12</v>
      </c>
      <c r="K81" s="263">
        <v>0.12</v>
      </c>
      <c r="L81" s="457"/>
      <c r="M81" s="457"/>
      <c r="N81" s="457"/>
      <c r="O81" s="457"/>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row>
    <row r="82" s="203" customFormat="1" spans="1:48">
      <c r="A82" s="140"/>
      <c r="B82" s="96" t="s">
        <v>264</v>
      </c>
      <c r="D82" s="263">
        <v>0.12</v>
      </c>
      <c r="E82" s="263">
        <v>0.11</v>
      </c>
      <c r="F82" s="263">
        <v>0.12</v>
      </c>
      <c r="G82" s="263">
        <v>0.12</v>
      </c>
      <c r="H82" s="263">
        <v>0.12</v>
      </c>
      <c r="I82" s="263">
        <v>0.12</v>
      </c>
      <c r="J82" s="263">
        <v>0.12</v>
      </c>
      <c r="K82" s="263">
        <v>0.12</v>
      </c>
      <c r="L82" s="457"/>
      <c r="M82" s="457"/>
      <c r="N82" s="457"/>
      <c r="O82" s="457"/>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row>
    <row r="83" s="203" customFormat="1" spans="1:48">
      <c r="A83" s="140"/>
      <c r="B83" s="96" t="s">
        <v>265</v>
      </c>
      <c r="D83" s="263">
        <v>0.1</v>
      </c>
      <c r="E83" s="263">
        <v>0.11</v>
      </c>
      <c r="F83" s="263">
        <v>0.11</v>
      </c>
      <c r="G83" s="263">
        <v>0.11</v>
      </c>
      <c r="H83" s="263">
        <v>0.11</v>
      </c>
      <c r="I83" s="263">
        <v>0.11</v>
      </c>
      <c r="J83" s="263">
        <v>0.11</v>
      </c>
      <c r="K83" s="263">
        <v>0.11</v>
      </c>
      <c r="L83" s="457"/>
      <c r="M83" s="457"/>
      <c r="N83" s="457"/>
      <c r="O83" s="457"/>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row>
    <row r="84" s="203" customFormat="1" spans="1:48">
      <c r="A84" s="140"/>
      <c r="B84" s="96" t="s">
        <v>266</v>
      </c>
      <c r="D84" s="263">
        <v>0.07</v>
      </c>
      <c r="E84" s="263">
        <v>0.06</v>
      </c>
      <c r="F84" s="263">
        <v>0.15</v>
      </c>
      <c r="G84" s="263">
        <v>0.07</v>
      </c>
      <c r="H84" s="263">
        <v>0.07</v>
      </c>
      <c r="I84" s="263">
        <v>0.07</v>
      </c>
      <c r="J84" s="263">
        <v>0.03</v>
      </c>
      <c r="K84" s="263">
        <v>0.03</v>
      </c>
      <c r="L84" s="457"/>
      <c r="M84" s="457"/>
      <c r="N84" s="457"/>
      <c r="O84" s="457"/>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row>
    <row r="85" s="203" customFormat="1" spans="1:48">
      <c r="A85" s="140"/>
      <c r="B85" s="96" t="s">
        <v>267</v>
      </c>
      <c r="D85" s="263">
        <v>0.07</v>
      </c>
      <c r="E85" s="263">
        <v>0.05</v>
      </c>
      <c r="F85" s="263">
        <v>0.03</v>
      </c>
      <c r="G85" s="263">
        <v>0.07</v>
      </c>
      <c r="H85" s="263">
        <v>0.07</v>
      </c>
      <c r="I85" s="263">
        <v>0.07</v>
      </c>
      <c r="J85" s="263">
        <v>0.03</v>
      </c>
      <c r="K85" s="263">
        <v>0.03</v>
      </c>
      <c r="L85" s="457"/>
      <c r="M85" s="457"/>
      <c r="N85" s="457"/>
      <c r="O85" s="457"/>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row>
    <row r="86" s="203" customFormat="1" spans="1:48">
      <c r="A86" s="140"/>
      <c r="B86" s="96" t="s">
        <v>268</v>
      </c>
      <c r="D86" s="265">
        <f t="shared" ref="D86:L86" si="7">SUM(D74:D85)</f>
        <v>1</v>
      </c>
      <c r="E86" s="265">
        <f t="shared" si="7"/>
        <v>1</v>
      </c>
      <c r="F86" s="265">
        <f t="shared" si="7"/>
        <v>1</v>
      </c>
      <c r="G86" s="265">
        <f t="shared" si="7"/>
        <v>1</v>
      </c>
      <c r="H86" s="265">
        <f t="shared" si="7"/>
        <v>1</v>
      </c>
      <c r="I86" s="265">
        <f t="shared" si="7"/>
        <v>1</v>
      </c>
      <c r="J86" s="265">
        <f t="shared" si="7"/>
        <v>1</v>
      </c>
      <c r="K86" s="265">
        <f t="shared" si="7"/>
        <v>1</v>
      </c>
      <c r="L86" s="265">
        <f t="shared" si="7"/>
        <v>0</v>
      </c>
      <c r="M86" s="265"/>
      <c r="N86" s="265"/>
      <c r="O86" s="265"/>
      <c r="P86" s="140"/>
      <c r="Q86" s="140"/>
      <c r="R86" s="140"/>
      <c r="S86" s="140"/>
      <c r="T86" s="140"/>
      <c r="U86" s="140"/>
      <c r="V86" s="140"/>
      <c r="W86" s="140"/>
      <c r="AG86" s="140"/>
      <c r="AH86" s="140"/>
      <c r="AI86" s="140"/>
      <c r="AJ86" s="140"/>
      <c r="AK86" s="140"/>
      <c r="AL86" s="140"/>
      <c r="AM86" s="140"/>
      <c r="AN86" s="140"/>
      <c r="AO86" s="140"/>
      <c r="AP86" s="140"/>
      <c r="AQ86" s="140"/>
      <c r="AR86" s="140"/>
      <c r="AS86" s="140"/>
      <c r="AT86" s="140"/>
      <c r="AU86" s="140"/>
      <c r="AV86" s="140"/>
    </row>
    <row r="87" s="203" customFormat="1" spans="1:48">
      <c r="A87" s="140"/>
      <c r="B87" s="96"/>
      <c r="D87" s="266" t="s">
        <v>269</v>
      </c>
      <c r="E87" s="267"/>
      <c r="F87" s="267"/>
      <c r="G87" s="267"/>
      <c r="H87" s="267"/>
      <c r="I87" s="267"/>
      <c r="J87" s="267"/>
      <c r="K87" s="267"/>
      <c r="L87" s="267"/>
      <c r="M87" s="267"/>
      <c r="N87" s="267"/>
      <c r="O87" s="267"/>
      <c r="P87" s="140"/>
      <c r="Q87" s="140"/>
      <c r="R87" s="140"/>
      <c r="S87" s="140"/>
      <c r="T87" s="140"/>
      <c r="U87" s="140"/>
      <c r="V87" s="140"/>
      <c r="W87" s="140"/>
      <c r="AG87" s="140"/>
      <c r="AH87" s="140"/>
      <c r="AI87" s="140"/>
      <c r="AJ87" s="140"/>
      <c r="AK87" s="140"/>
      <c r="AL87" s="140"/>
      <c r="AM87" s="140"/>
      <c r="AN87" s="140"/>
      <c r="AO87" s="140"/>
      <c r="AP87" s="140"/>
      <c r="AQ87" s="140"/>
      <c r="AR87" s="140"/>
      <c r="AS87" s="140"/>
      <c r="AT87" s="140"/>
      <c r="AU87" s="140"/>
      <c r="AV87" s="140"/>
    </row>
    <row r="88" s="203" customFormat="1" spans="1:48">
      <c r="A88" s="258"/>
      <c r="B88" s="262" t="s">
        <v>256</v>
      </c>
      <c r="D88" s="268">
        <f t="shared" ref="D88:L88" si="8">D100*D74</f>
        <v>442.26480824064</v>
      </c>
      <c r="E88" s="268">
        <f t="shared" si="8"/>
        <v>663.39721236096</v>
      </c>
      <c r="F88" s="268">
        <f t="shared" si="8"/>
        <v>180.92651246208</v>
      </c>
      <c r="G88" s="268">
        <f t="shared" si="8"/>
        <v>1155.9193851744</v>
      </c>
      <c r="H88" s="268">
        <f t="shared" si="8"/>
        <v>1155.9193851744</v>
      </c>
      <c r="I88" s="268">
        <f t="shared" si="8"/>
        <v>1155.9193851744</v>
      </c>
      <c r="J88" s="268">
        <f t="shared" si="8"/>
        <v>2213.9691656544</v>
      </c>
      <c r="K88" s="268">
        <f t="shared" si="8"/>
        <v>2705.9623135776</v>
      </c>
      <c r="L88" s="268">
        <f t="shared" si="8"/>
        <v>0</v>
      </c>
      <c r="M88" s="268"/>
      <c r="N88" s="268"/>
      <c r="O88" s="268"/>
      <c r="P88" s="140"/>
      <c r="Q88" s="140"/>
      <c r="R88" s="140"/>
      <c r="S88" s="140"/>
      <c r="T88" s="140"/>
      <c r="U88" s="140"/>
      <c r="V88" s="140"/>
      <c r="W88" s="140"/>
      <c r="AG88" s="140"/>
      <c r="AH88" s="140"/>
      <c r="AI88" s="140"/>
      <c r="AJ88" s="140"/>
      <c r="AK88" s="140"/>
      <c r="AL88" s="140"/>
      <c r="AM88" s="140"/>
      <c r="AN88" s="140"/>
      <c r="AO88" s="140"/>
      <c r="AP88" s="140"/>
      <c r="AQ88" s="140"/>
      <c r="AR88" s="140"/>
      <c r="AS88" s="140"/>
      <c r="AT88" s="140"/>
      <c r="AU88" s="140"/>
      <c r="AV88" s="140"/>
    </row>
    <row r="89" s="203" customFormat="1" spans="1:48">
      <c r="A89" s="258"/>
      <c r="B89" s="262" t="s">
        <v>257</v>
      </c>
      <c r="D89" s="268">
        <f t="shared" ref="D89:L89" si="9">D100*D75</f>
        <v>442.26480824064</v>
      </c>
      <c r="E89" s="268">
        <f t="shared" si="9"/>
        <v>552.8310103008</v>
      </c>
      <c r="F89" s="268">
        <f t="shared" si="9"/>
        <v>271.38976869312</v>
      </c>
      <c r="G89" s="268">
        <f t="shared" si="9"/>
        <v>1155.9193851744</v>
      </c>
      <c r="H89" s="268">
        <f t="shared" si="9"/>
        <v>1155.9193851744</v>
      </c>
      <c r="I89" s="268">
        <f t="shared" si="9"/>
        <v>1155.9193851744</v>
      </c>
      <c r="J89" s="268">
        <f t="shared" si="9"/>
        <v>2213.9691656544</v>
      </c>
      <c r="K89" s="268">
        <f t="shared" si="9"/>
        <v>2705.9623135776</v>
      </c>
      <c r="L89" s="268">
        <f t="shared" si="9"/>
        <v>0</v>
      </c>
      <c r="M89" s="268"/>
      <c r="N89" s="268"/>
      <c r="O89" s="268"/>
      <c r="P89" s="140"/>
      <c r="Q89" s="140"/>
      <c r="R89" s="140"/>
      <c r="S89" s="140"/>
      <c r="T89" s="140"/>
      <c r="U89" s="140"/>
      <c r="V89" s="140"/>
      <c r="W89" s="140"/>
      <c r="AG89" s="140"/>
      <c r="AH89" s="140"/>
      <c r="AI89" s="140"/>
      <c r="AJ89" s="140"/>
      <c r="AK89" s="140"/>
      <c r="AL89" s="140"/>
      <c r="AM89" s="140"/>
      <c r="AN89" s="140"/>
      <c r="AO89" s="140"/>
      <c r="AP89" s="140"/>
      <c r="AQ89" s="140"/>
      <c r="AR89" s="140"/>
      <c r="AS89" s="140"/>
      <c r="AT89" s="140"/>
      <c r="AU89" s="140"/>
      <c r="AV89" s="140"/>
    </row>
    <row r="90" s="203" customFormat="1" spans="1:48">
      <c r="A90" s="258"/>
      <c r="B90" s="96" t="s">
        <v>258</v>
      </c>
      <c r="D90" s="268">
        <f t="shared" ref="D90:L90" si="10">D100*D76</f>
        <v>442.26480824064</v>
      </c>
      <c r="E90" s="268">
        <f t="shared" si="10"/>
        <v>663.39721236096</v>
      </c>
      <c r="F90" s="268">
        <f t="shared" si="10"/>
        <v>271.38976869312</v>
      </c>
      <c r="G90" s="268">
        <f t="shared" si="10"/>
        <v>1387.10326220928</v>
      </c>
      <c r="H90" s="268">
        <f t="shared" si="10"/>
        <v>1387.10326220928</v>
      </c>
      <c r="I90" s="268">
        <f t="shared" si="10"/>
        <v>1387.10326220928</v>
      </c>
      <c r="J90" s="268">
        <f t="shared" si="10"/>
        <v>2213.9691656544</v>
      </c>
      <c r="K90" s="268">
        <f t="shared" si="10"/>
        <v>2705.9623135776</v>
      </c>
      <c r="L90" s="268">
        <f t="shared" si="10"/>
        <v>0</v>
      </c>
      <c r="M90" s="268"/>
      <c r="N90" s="268"/>
      <c r="O90" s="268"/>
      <c r="P90" s="140"/>
      <c r="Q90" s="140"/>
      <c r="R90" s="140"/>
      <c r="S90" s="140"/>
      <c r="T90" s="140"/>
      <c r="U90" s="140"/>
      <c r="V90" s="140"/>
      <c r="W90" s="140"/>
      <c r="AG90" s="140"/>
      <c r="AH90" s="140"/>
      <c r="AI90" s="140"/>
      <c r="AJ90" s="140"/>
      <c r="AK90" s="140"/>
      <c r="AL90" s="140"/>
      <c r="AM90" s="140"/>
      <c r="AN90" s="140"/>
      <c r="AO90" s="140"/>
      <c r="AP90" s="140"/>
      <c r="AQ90" s="140"/>
      <c r="AR90" s="140"/>
      <c r="AS90" s="140"/>
      <c r="AT90" s="140"/>
      <c r="AU90" s="140"/>
      <c r="AV90" s="140"/>
    </row>
    <row r="91" s="203" customFormat="1" spans="1:21">
      <c r="A91" s="269"/>
      <c r="B91" s="96" t="s">
        <v>259</v>
      </c>
      <c r="D91" s="268">
        <f t="shared" ref="D91:L91" si="11">D100*D77</f>
        <v>442.26480824064</v>
      </c>
      <c r="E91" s="268">
        <f t="shared" si="11"/>
        <v>663.39721236096</v>
      </c>
      <c r="F91" s="268">
        <f t="shared" si="11"/>
        <v>361.85302492416</v>
      </c>
      <c r="G91" s="268">
        <f t="shared" si="11"/>
        <v>1618.28713924416</v>
      </c>
      <c r="H91" s="268">
        <f t="shared" si="11"/>
        <v>1618.28713924416</v>
      </c>
      <c r="I91" s="268">
        <f t="shared" si="11"/>
        <v>1618.28713924416</v>
      </c>
      <c r="J91" s="268">
        <f t="shared" si="11"/>
        <v>8117.8869407328</v>
      </c>
      <c r="K91" s="268">
        <f t="shared" si="11"/>
        <v>9921.8618164512</v>
      </c>
      <c r="L91" s="268">
        <f t="shared" si="11"/>
        <v>0</v>
      </c>
      <c r="M91" s="268"/>
      <c r="N91" s="268"/>
      <c r="O91" s="268"/>
      <c r="P91" s="140"/>
      <c r="Q91" s="140"/>
      <c r="R91" s="140"/>
      <c r="S91" s="140"/>
      <c r="T91" s="140"/>
      <c r="U91" s="140"/>
    </row>
    <row r="92" s="203" customFormat="1" spans="1:21">
      <c r="A92" s="258"/>
      <c r="B92" s="96" t="s">
        <v>260</v>
      </c>
      <c r="D92" s="268">
        <f t="shared" ref="D92:L92" si="12">D100*D78</f>
        <v>1326.79442472192</v>
      </c>
      <c r="E92" s="268">
        <f t="shared" si="12"/>
        <v>1216.22822266176</v>
      </c>
      <c r="F92" s="268">
        <f t="shared" si="12"/>
        <v>995.09581854144</v>
      </c>
      <c r="G92" s="268">
        <f t="shared" si="12"/>
        <v>1849.47101627904</v>
      </c>
      <c r="H92" s="268">
        <f t="shared" si="12"/>
        <v>1849.47101627904</v>
      </c>
      <c r="I92" s="268">
        <f t="shared" si="12"/>
        <v>1849.47101627904</v>
      </c>
      <c r="J92" s="268">
        <f t="shared" si="12"/>
        <v>8117.8869407328</v>
      </c>
      <c r="K92" s="268">
        <f t="shared" si="12"/>
        <v>9921.8618164512</v>
      </c>
      <c r="L92" s="268">
        <f t="shared" si="12"/>
        <v>0</v>
      </c>
      <c r="M92" s="268"/>
      <c r="N92" s="268"/>
      <c r="O92" s="268"/>
      <c r="P92" s="140"/>
      <c r="Q92" s="140"/>
      <c r="R92" s="140"/>
      <c r="S92" s="140"/>
      <c r="T92" s="140"/>
      <c r="U92" s="140"/>
    </row>
    <row r="93" s="203" customFormat="1" spans="1:21">
      <c r="A93" s="258"/>
      <c r="B93" s="96" t="s">
        <v>261</v>
      </c>
      <c r="D93" s="268">
        <f t="shared" ref="D93:L93" si="13">D100*D79</f>
        <v>1326.79442472192</v>
      </c>
      <c r="E93" s="268">
        <f t="shared" si="13"/>
        <v>1216.22822266176</v>
      </c>
      <c r="F93" s="268">
        <f t="shared" si="13"/>
        <v>1085.55907477248</v>
      </c>
      <c r="G93" s="268">
        <f t="shared" si="13"/>
        <v>2311.8387703488</v>
      </c>
      <c r="H93" s="268">
        <f t="shared" si="13"/>
        <v>2311.8387703488</v>
      </c>
      <c r="I93" s="268">
        <f t="shared" si="13"/>
        <v>2311.8387703488</v>
      </c>
      <c r="J93" s="268">
        <f t="shared" si="13"/>
        <v>10331.8561063872</v>
      </c>
      <c r="K93" s="268">
        <f t="shared" si="13"/>
        <v>12627.8241300288</v>
      </c>
      <c r="L93" s="268">
        <f t="shared" si="13"/>
        <v>0</v>
      </c>
      <c r="M93" s="268"/>
      <c r="N93" s="268"/>
      <c r="O93" s="268"/>
      <c r="P93" s="140"/>
      <c r="Q93" s="140"/>
      <c r="R93" s="140"/>
      <c r="S93" s="140"/>
      <c r="T93" s="140"/>
      <c r="U93" s="140"/>
    </row>
    <row r="94" s="203" customFormat="1" spans="1:21">
      <c r="A94" s="258"/>
      <c r="B94" s="96" t="s">
        <v>262</v>
      </c>
      <c r="D94" s="268">
        <f t="shared" ref="D94:L94" si="14">D100*D80</f>
        <v>1326.79442472192</v>
      </c>
      <c r="E94" s="268">
        <f t="shared" si="14"/>
        <v>1216.22822266176</v>
      </c>
      <c r="F94" s="268">
        <f t="shared" si="14"/>
        <v>1085.55907477248</v>
      </c>
      <c r="G94" s="268">
        <f t="shared" si="14"/>
        <v>2311.8387703488</v>
      </c>
      <c r="H94" s="268">
        <f t="shared" si="14"/>
        <v>2311.8387703488</v>
      </c>
      <c r="I94" s="268">
        <f t="shared" si="14"/>
        <v>2311.8387703488</v>
      </c>
      <c r="J94" s="268">
        <f t="shared" si="14"/>
        <v>10331.8561063872</v>
      </c>
      <c r="K94" s="268">
        <f t="shared" si="14"/>
        <v>12627.8241300288</v>
      </c>
      <c r="L94" s="268">
        <f t="shared" si="14"/>
        <v>0</v>
      </c>
      <c r="M94" s="268"/>
      <c r="N94" s="268"/>
      <c r="O94" s="268"/>
      <c r="P94" s="140"/>
      <c r="Q94" s="140"/>
      <c r="R94" s="140"/>
      <c r="S94" s="140"/>
      <c r="T94" s="140"/>
      <c r="U94" s="140"/>
    </row>
    <row r="95" s="203" customFormat="1" spans="1:21">
      <c r="A95" s="258"/>
      <c r="B95" s="96" t="s">
        <v>263</v>
      </c>
      <c r="D95" s="268">
        <f t="shared" ref="D95:L95" si="15">D100*D81</f>
        <v>1326.79442472192</v>
      </c>
      <c r="E95" s="268">
        <f t="shared" si="15"/>
        <v>1216.22822266176</v>
      </c>
      <c r="F95" s="268">
        <f t="shared" si="15"/>
        <v>1085.55907477248</v>
      </c>
      <c r="G95" s="268">
        <f t="shared" si="15"/>
        <v>2774.20652441856</v>
      </c>
      <c r="H95" s="268">
        <f t="shared" si="15"/>
        <v>2774.20652441856</v>
      </c>
      <c r="I95" s="268">
        <f t="shared" si="15"/>
        <v>2774.20652441856</v>
      </c>
      <c r="J95" s="268">
        <f t="shared" si="15"/>
        <v>8855.8766626176</v>
      </c>
      <c r="K95" s="268">
        <f t="shared" si="15"/>
        <v>10823.8492543104</v>
      </c>
      <c r="L95" s="268">
        <f t="shared" si="15"/>
        <v>0</v>
      </c>
      <c r="M95" s="268"/>
      <c r="N95" s="268"/>
      <c r="O95" s="268"/>
      <c r="P95" s="140"/>
      <c r="Q95" s="140"/>
      <c r="R95" s="140"/>
      <c r="S95" s="140"/>
      <c r="T95" s="140"/>
      <c r="U95" s="140"/>
    </row>
    <row r="96" s="203" customFormat="1" spans="1:21">
      <c r="A96" s="258"/>
      <c r="B96" s="96" t="s">
        <v>264</v>
      </c>
      <c r="D96" s="268">
        <f t="shared" ref="D96:L96" si="16">D100*D82</f>
        <v>1326.79442472192</v>
      </c>
      <c r="E96" s="268">
        <f t="shared" si="16"/>
        <v>1216.22822266176</v>
      </c>
      <c r="F96" s="268">
        <f t="shared" si="16"/>
        <v>1085.55907477248</v>
      </c>
      <c r="G96" s="268">
        <f t="shared" si="16"/>
        <v>2774.20652441856</v>
      </c>
      <c r="H96" s="268">
        <f t="shared" si="16"/>
        <v>2774.20652441856</v>
      </c>
      <c r="I96" s="268">
        <f t="shared" si="16"/>
        <v>2774.20652441856</v>
      </c>
      <c r="J96" s="268">
        <f t="shared" si="16"/>
        <v>8855.8766626176</v>
      </c>
      <c r="K96" s="268">
        <f t="shared" si="16"/>
        <v>10823.8492543104</v>
      </c>
      <c r="L96" s="268">
        <f t="shared" si="16"/>
        <v>0</v>
      </c>
      <c r="M96" s="268"/>
      <c r="N96" s="268"/>
      <c r="O96" s="268"/>
      <c r="P96" s="140"/>
      <c r="Q96" s="140"/>
      <c r="R96" s="140"/>
      <c r="S96" s="140"/>
      <c r="T96" s="140"/>
      <c r="U96" s="140"/>
    </row>
    <row r="97" s="203" customFormat="1" spans="1:21">
      <c r="A97" s="258"/>
      <c r="B97" s="96" t="s">
        <v>265</v>
      </c>
      <c r="D97" s="268">
        <f t="shared" ref="D97:L97" si="17">D100*D83</f>
        <v>1105.6620206016</v>
      </c>
      <c r="E97" s="268">
        <f t="shared" si="17"/>
        <v>1216.22822266176</v>
      </c>
      <c r="F97" s="268">
        <f t="shared" si="17"/>
        <v>995.09581854144</v>
      </c>
      <c r="G97" s="268">
        <f t="shared" si="17"/>
        <v>2543.02264738368</v>
      </c>
      <c r="H97" s="268">
        <f t="shared" si="17"/>
        <v>2543.02264738368</v>
      </c>
      <c r="I97" s="268">
        <f t="shared" si="17"/>
        <v>2543.02264738368</v>
      </c>
      <c r="J97" s="268">
        <f t="shared" si="17"/>
        <v>8117.8869407328</v>
      </c>
      <c r="K97" s="268">
        <f t="shared" si="17"/>
        <v>9921.8618164512</v>
      </c>
      <c r="L97" s="268">
        <f t="shared" si="17"/>
        <v>0</v>
      </c>
      <c r="M97" s="268"/>
      <c r="N97" s="268"/>
      <c r="O97" s="268"/>
      <c r="P97" s="140"/>
      <c r="Q97" s="140"/>
      <c r="R97" s="140"/>
      <c r="S97" s="140"/>
      <c r="T97" s="140"/>
      <c r="U97" s="140"/>
    </row>
    <row r="98" s="203" customFormat="1" spans="1:21">
      <c r="A98" s="258"/>
      <c r="B98" s="96" t="s">
        <v>266</v>
      </c>
      <c r="D98" s="268">
        <f t="shared" ref="D98:L98" si="18">D100*D84</f>
        <v>773.96341442112</v>
      </c>
      <c r="E98" s="268">
        <f t="shared" si="18"/>
        <v>663.39721236096</v>
      </c>
      <c r="F98" s="268">
        <f t="shared" si="18"/>
        <v>1356.9488434656</v>
      </c>
      <c r="G98" s="268">
        <f t="shared" si="18"/>
        <v>1618.28713924416</v>
      </c>
      <c r="H98" s="268">
        <f t="shared" si="18"/>
        <v>1618.28713924416</v>
      </c>
      <c r="I98" s="268">
        <f t="shared" si="18"/>
        <v>1618.28713924416</v>
      </c>
      <c r="J98" s="268">
        <f t="shared" si="18"/>
        <v>2213.9691656544</v>
      </c>
      <c r="K98" s="268">
        <f t="shared" si="18"/>
        <v>2705.9623135776</v>
      </c>
      <c r="L98" s="268">
        <f t="shared" si="18"/>
        <v>0</v>
      </c>
      <c r="M98" s="268"/>
      <c r="N98" s="268"/>
      <c r="O98" s="268"/>
      <c r="P98" s="140"/>
      <c r="Q98" s="140"/>
      <c r="R98" s="140"/>
      <c r="S98" s="140"/>
      <c r="T98" s="140"/>
      <c r="U98" s="140"/>
    </row>
    <row r="99" s="203" customFormat="1" spans="1:21">
      <c r="A99" s="258"/>
      <c r="B99" s="96" t="s">
        <v>267</v>
      </c>
      <c r="D99" s="268">
        <f t="shared" ref="D99:L99" si="19">D100*D85</f>
        <v>773.96341442112</v>
      </c>
      <c r="E99" s="268">
        <f t="shared" si="19"/>
        <v>552.8310103008</v>
      </c>
      <c r="F99" s="268">
        <f t="shared" si="19"/>
        <v>271.38976869312</v>
      </c>
      <c r="G99" s="268">
        <f t="shared" si="19"/>
        <v>1618.28713924416</v>
      </c>
      <c r="H99" s="268">
        <f t="shared" si="19"/>
        <v>1618.28713924416</v>
      </c>
      <c r="I99" s="268">
        <f t="shared" si="19"/>
        <v>1618.28713924416</v>
      </c>
      <c r="J99" s="268">
        <f t="shared" si="19"/>
        <v>2213.9691656544</v>
      </c>
      <c r="K99" s="268">
        <f t="shared" si="19"/>
        <v>2705.9623135776</v>
      </c>
      <c r="L99" s="268">
        <f t="shared" si="19"/>
        <v>0</v>
      </c>
      <c r="M99" s="268"/>
      <c r="N99" s="268"/>
      <c r="O99" s="268"/>
      <c r="P99" s="140"/>
      <c r="Q99" s="140"/>
      <c r="R99" s="140"/>
      <c r="S99" s="140"/>
      <c r="T99" s="140"/>
      <c r="U99" s="140"/>
    </row>
    <row r="100" s="203" customFormat="1" spans="1:21">
      <c r="A100" s="258"/>
      <c r="B100" s="96" t="s">
        <v>268</v>
      </c>
      <c r="D100" s="268">
        <f t="shared" ref="D100:L100" si="20">VLOOKUP(D71,TargetedMSMkt,IF(D72="[retail]",4,6),FALSE)</f>
        <v>11056.620206016</v>
      </c>
      <c r="E100" s="268">
        <f t="shared" si="20"/>
        <v>11056.620206016</v>
      </c>
      <c r="F100" s="268">
        <f t="shared" si="20"/>
        <v>9046.325623104</v>
      </c>
      <c r="G100" s="268">
        <f t="shared" si="20"/>
        <v>23118.387703488</v>
      </c>
      <c r="H100" s="268">
        <f t="shared" si="20"/>
        <v>23118.387703488</v>
      </c>
      <c r="I100" s="268">
        <f t="shared" si="20"/>
        <v>23118.387703488</v>
      </c>
      <c r="J100" s="268">
        <f t="shared" si="20"/>
        <v>73798.97218848</v>
      </c>
      <c r="K100" s="268">
        <f t="shared" si="20"/>
        <v>90198.74378592</v>
      </c>
      <c r="L100" s="268">
        <f t="shared" si="20"/>
        <v>0</v>
      </c>
      <c r="M100" s="268"/>
      <c r="N100" s="268"/>
      <c r="O100" s="268"/>
      <c r="P100" s="140"/>
      <c r="Q100" s="140"/>
      <c r="R100" s="140"/>
      <c r="S100" s="140"/>
      <c r="T100" s="140"/>
      <c r="U100" s="140"/>
    </row>
    <row r="101" s="140" customFormat="1" spans="1:15">
      <c r="A101" s="258"/>
      <c r="B101" s="262" t="s">
        <v>270</v>
      </c>
      <c r="D101" s="293" t="str">
        <f t="shared" ref="D101:L101" si="21">IF(D72="[wholesale]",D100/capacity,"")</f>
        <v/>
      </c>
      <c r="E101" s="293" t="str">
        <f t="shared" si="21"/>
        <v/>
      </c>
      <c r="F101" s="293" t="str">
        <f t="shared" si="21"/>
        <v/>
      </c>
      <c r="G101" s="293" t="str">
        <f t="shared" si="21"/>
        <v/>
      </c>
      <c r="H101" s="293" t="str">
        <f t="shared" si="21"/>
        <v/>
      </c>
      <c r="I101" s="293" t="str">
        <f t="shared" si="21"/>
        <v/>
      </c>
      <c r="J101" s="293">
        <f t="shared" si="21"/>
        <v>59.515300152</v>
      </c>
      <c r="K101" s="293">
        <f t="shared" si="21"/>
        <v>72.740922408</v>
      </c>
      <c r="L101" s="293" t="str">
        <f t="shared" si="21"/>
        <v/>
      </c>
      <c r="M101" s="293"/>
      <c r="N101" s="293"/>
      <c r="O101" s="293"/>
    </row>
    <row r="102" s="204" customFormat="1" spans="1:19">
      <c r="A102" s="294"/>
      <c r="B102" s="295"/>
      <c r="C102" s="296" t="s">
        <v>142</v>
      </c>
      <c r="D102" s="266" t="s">
        <v>271</v>
      </c>
      <c r="E102" s="266"/>
      <c r="F102" s="266"/>
      <c r="G102" s="266"/>
      <c r="H102" s="266"/>
      <c r="I102" s="266"/>
      <c r="J102" s="266"/>
      <c r="K102" s="266"/>
      <c r="L102" s="266"/>
      <c r="M102" s="266"/>
      <c r="N102" s="266"/>
      <c r="O102" s="266"/>
      <c r="R102" s="267"/>
      <c r="S102" s="267"/>
    </row>
    <row r="103" s="140" customFormat="1" spans="1:19">
      <c r="A103" s="261"/>
      <c r="B103" s="262" t="s">
        <v>256</v>
      </c>
      <c r="C103" s="297">
        <f>SUM(D103:Z103)</f>
        <v>7</v>
      </c>
      <c r="D103" s="281">
        <f>ProductionFY1m(1,D71,VLOOKUP(D71,ProductsRangeMkt,3,FALSE),D88)</f>
        <v>0.333001394144593</v>
      </c>
      <c r="E103" s="281">
        <f>ProductionFY1m(1,E71,VLOOKUP(E71,ProductsRangeMkt,3,FALSE),E88)</f>
        <v>0.393782383419689</v>
      </c>
      <c r="F103" s="281">
        <f>ProductionFY1m(1,F71,VLOOKUP(F71,ProductsRangeMkt,3,FALSE),F88)</f>
        <v>0</v>
      </c>
      <c r="G103" s="281">
        <f>ProductionFY1m(1,G71,VLOOKUP(G71,ProductsRangeMkt,3,FALSE),G88)</f>
        <v>1</v>
      </c>
      <c r="H103" s="281">
        <f>ProductionFY1m(1,H71,VLOOKUP(H71,ProductsRangeMkt,3,FALSE),H88)</f>
        <v>1</v>
      </c>
      <c r="I103" s="281">
        <f>ProductionFY1m(1,I71,VLOOKUP(I71,ProductsRangeMkt,3,FALSE),I88)</f>
        <v>1</v>
      </c>
      <c r="J103" s="281">
        <f>ProductionFY1m(1,J71,VLOOKUP(J71,ProductsRangeMkt,3,FALSE),J88)</f>
        <v>1.66699860585541</v>
      </c>
      <c r="K103" s="281">
        <f>ProductionFY1m(1,K71,VLOOKUP(K71,ProductsRangeMkt,3,FALSE),K88)</f>
        <v>1.60621761658031</v>
      </c>
      <c r="L103" s="281">
        <f>ProductionFY1m(1,L71,VLOOKUP(L71,ProductsRangeMkt,3,FALSE),L88)</f>
        <v>0</v>
      </c>
      <c r="M103" s="281"/>
      <c r="N103" s="281"/>
      <c r="O103" s="281"/>
      <c r="R103" s="308"/>
      <c r="S103" s="308"/>
    </row>
    <row r="104" s="140" customFormat="1" spans="1:19">
      <c r="A104" s="264"/>
      <c r="B104" s="262" t="s">
        <v>257</v>
      </c>
      <c r="C104" s="297">
        <f t="shared" ref="C104:C114" si="22">SUM(D104:Z104)</f>
        <v>7</v>
      </c>
      <c r="D104" s="281">
        <f>ProductionFY1m(2,D71,VLOOKUP(D71,ProductsRangeMkt,3,FALSE),D89)</f>
        <v>0.333001394144593</v>
      </c>
      <c r="E104" s="281">
        <f>ProductionFY1m(2,E71,VLOOKUP(E71,ProductsRangeMkt,3,FALSE),E89)</f>
        <v>0.339285714285714</v>
      </c>
      <c r="F104" s="281">
        <f>ProductionFY1m(2,F71,VLOOKUP(F71,ProductsRangeMkt,3,FALSE),F89)</f>
        <v>0</v>
      </c>
      <c r="G104" s="281">
        <f>ProductionFY1m(2,G71,VLOOKUP(G71,ProductsRangeMkt,3,FALSE),G89)</f>
        <v>1</v>
      </c>
      <c r="H104" s="281">
        <f>ProductionFY1m(2,H71,VLOOKUP(H71,ProductsRangeMkt,3,FALSE),H89)</f>
        <v>1</v>
      </c>
      <c r="I104" s="281">
        <f>ProductionFY1m(2,I71,VLOOKUP(I71,ProductsRangeMkt,3,FALSE),I89)</f>
        <v>1</v>
      </c>
      <c r="J104" s="281">
        <f>ProductionFY1m(2,J71,VLOOKUP(J71,ProductsRangeMkt,3,FALSE),J89)</f>
        <v>1.66699860585541</v>
      </c>
      <c r="K104" s="281">
        <f>ProductionFY1m(2,K71,VLOOKUP(K71,ProductsRangeMkt,3,FALSE),K89)</f>
        <v>1.66071428571429</v>
      </c>
      <c r="L104" s="281">
        <f>ProductionFY1m(2,L71,VLOOKUP(L71,ProductsRangeMkt,3,FALSE),L89)</f>
        <v>0</v>
      </c>
      <c r="M104" s="281"/>
      <c r="N104" s="281"/>
      <c r="O104" s="281"/>
      <c r="R104" s="308"/>
      <c r="S104" s="308"/>
    </row>
    <row r="105" s="140" customFormat="1" spans="1:19">
      <c r="A105" s="203"/>
      <c r="B105" s="96" t="s">
        <v>258</v>
      </c>
      <c r="C105" s="297">
        <f t="shared" si="22"/>
        <v>7</v>
      </c>
      <c r="D105" s="281">
        <f>ProductionFY1m(3,D71,VLOOKUP(D71,ProductsRangeMkt,3,FALSE),D90)</f>
        <v>0.333001394144593</v>
      </c>
      <c r="E105" s="281">
        <f>ProductionFY1m(3,E71,VLOOKUP(E71,ProductsRangeMkt,3,FALSE),E90)</f>
        <v>0.393782383419689</v>
      </c>
      <c r="F105" s="281">
        <f>ProductionFY1m(3,F71,VLOOKUP(F71,ProductsRangeMkt,3,FALSE),F90)</f>
        <v>0</v>
      </c>
      <c r="G105" s="281">
        <f>ProductionFY1m(3,G71,VLOOKUP(G71,ProductsRangeMkt,3,FALSE),G90)</f>
        <v>1</v>
      </c>
      <c r="H105" s="281">
        <f>ProductionFY1m(3,H71,VLOOKUP(H71,ProductsRangeMkt,3,FALSE),H90)</f>
        <v>1</v>
      </c>
      <c r="I105" s="281">
        <f>ProductionFY1m(3,I71,VLOOKUP(I71,ProductsRangeMkt,3,FALSE),I90)</f>
        <v>1</v>
      </c>
      <c r="J105" s="281">
        <f>ProductionFY1m(3,J71,VLOOKUP(J71,ProductsRangeMkt,3,FALSE),J90)</f>
        <v>1.66699860585541</v>
      </c>
      <c r="K105" s="281">
        <f>ProductionFY1m(3,K71,VLOOKUP(K71,ProductsRangeMkt,3,FALSE),K90)</f>
        <v>1.60621761658031</v>
      </c>
      <c r="L105" s="281">
        <f>ProductionFY1m(3,L71,VLOOKUP(L71,ProductsRangeMkt,3,FALSE),L90)</f>
        <v>0</v>
      </c>
      <c r="M105" s="281"/>
      <c r="N105" s="281"/>
      <c r="O105" s="281"/>
      <c r="R105" s="308"/>
      <c r="S105" s="308"/>
    </row>
    <row r="106" s="140" customFormat="1" spans="1:19">
      <c r="A106" s="203"/>
      <c r="B106" s="96" t="s">
        <v>259</v>
      </c>
      <c r="C106" s="297">
        <f t="shared" si="22"/>
        <v>18</v>
      </c>
      <c r="D106" s="281">
        <f>ProductionFY1m(4,D71,VLOOKUP(D71,ProductsRangeMkt,3,FALSE),D91)</f>
        <v>0.361658735554045</v>
      </c>
      <c r="E106" s="281">
        <f>ProductionFY1m(4,E71,VLOOKUP(E71,ProductsRangeMkt,3,FALSE),E91)</f>
        <v>0.501374381528312</v>
      </c>
      <c r="F106" s="281">
        <f>ProductionFY1m(4,F71,VLOOKUP(F71,ProductsRangeMkt,3,FALSE),F91)</f>
        <v>0</v>
      </c>
      <c r="G106" s="281">
        <f>ProductionFY1m(4,G71,VLOOKUP(G71,ProductsRangeMkt,3,FALSE),G91)</f>
        <v>1</v>
      </c>
      <c r="H106" s="281">
        <f>ProductionFY1m(4,H71,VLOOKUP(H71,ProductsRangeMkt,3,FALSE),H91)</f>
        <v>1</v>
      </c>
      <c r="I106" s="281">
        <f>ProductionFY1m(4,I71,VLOOKUP(I71,ProductsRangeMkt,3,FALSE),I91)</f>
        <v>1</v>
      </c>
      <c r="J106" s="281">
        <f>ProductionFY1m(4,J71,VLOOKUP(J71,ProductsRangeMkt,3,FALSE),J91)</f>
        <v>6.63834126444595</v>
      </c>
      <c r="K106" s="281">
        <f>ProductionFY1m(4,K71,VLOOKUP(K71,ProductsRangeMkt,3,FALSE),K91)</f>
        <v>7.49862561847169</v>
      </c>
      <c r="L106" s="281">
        <f>ProductionFY1m(4,L71,VLOOKUP(L71,ProductsRangeMkt,3,FALSE),L91)</f>
        <v>0</v>
      </c>
      <c r="M106" s="281"/>
      <c r="N106" s="281"/>
      <c r="O106" s="281"/>
      <c r="R106" s="308"/>
      <c r="S106" s="308"/>
    </row>
    <row r="107" s="140" customFormat="1" spans="1:19">
      <c r="A107" s="203"/>
      <c r="B107" s="96" t="s">
        <v>260</v>
      </c>
      <c r="C107" s="297">
        <f t="shared" si="22"/>
        <v>20</v>
      </c>
      <c r="D107" s="281">
        <f>ProductionFY1m(5,D71,VLOOKUP(D71,ProductsRangeMkt,3,FALSE),D92)</f>
        <v>0.983364140480591</v>
      </c>
      <c r="E107" s="281">
        <f>ProductionFY1m(5,E71,VLOOKUP(E71,ProductsRangeMkt,3,FALSE),E92)</f>
        <v>0.982758620689655</v>
      </c>
      <c r="F107" s="281">
        <f>ProductionFY1m(5,F71,VLOOKUP(F71,ProductsRangeMkt,3,FALSE),F92)</f>
        <v>1</v>
      </c>
      <c r="G107" s="281">
        <f>ProductionFY1m(5,G71,VLOOKUP(G71,ProductsRangeMkt,3,FALSE),G92)</f>
        <v>1</v>
      </c>
      <c r="H107" s="281">
        <f>ProductionFY1m(5,H71,VLOOKUP(H71,ProductsRangeMkt,3,FALSE),H92)</f>
        <v>1</v>
      </c>
      <c r="I107" s="281">
        <f>ProductionFY1m(5,I71,VLOOKUP(I71,ProductsRangeMkt,3,FALSE),I92)</f>
        <v>1</v>
      </c>
      <c r="J107" s="281">
        <f>ProductionFY1m(5,J71,VLOOKUP(J71,ProductsRangeMkt,3,FALSE),J92)</f>
        <v>6.01663585951941</v>
      </c>
      <c r="K107" s="281">
        <f>ProductionFY1m(5,K71,VLOOKUP(K71,ProductsRangeMkt,3,FALSE),K92)</f>
        <v>8.01724137931035</v>
      </c>
      <c r="L107" s="281">
        <f>ProductionFY1m(5,L71,VLOOKUP(L71,ProductsRangeMkt,3,FALSE),L92)</f>
        <v>0</v>
      </c>
      <c r="M107" s="281"/>
      <c r="N107" s="281"/>
      <c r="O107" s="281"/>
      <c r="R107" s="308"/>
      <c r="S107" s="308"/>
    </row>
    <row r="108" s="140" customFormat="1" spans="2:19">
      <c r="B108" s="96" t="s">
        <v>261</v>
      </c>
      <c r="C108" s="297">
        <f t="shared" si="22"/>
        <v>27</v>
      </c>
      <c r="D108" s="281">
        <f>ProductionFY1m(6,D71,VLOOKUP(D71,ProductsRangeMkt,3,FALSE),D93)</f>
        <v>1.024230873945</v>
      </c>
      <c r="E108" s="281">
        <f>ProductionFY1m(6,E71,VLOOKUP(E71,ProductsRangeMkt,3,FALSE),E93)</f>
        <v>0.966372425388819</v>
      </c>
      <c r="F108" s="281">
        <f>ProductionFY1m(6,F71,VLOOKUP(F71,ProductsRangeMkt,3,FALSE),F93)</f>
        <v>1</v>
      </c>
      <c r="G108" s="281">
        <f>ProductionFY1m(6,G71,VLOOKUP(G71,ProductsRangeMkt,3,FALSE),G93)</f>
        <v>2</v>
      </c>
      <c r="H108" s="281">
        <f>ProductionFY1m(6,H71,VLOOKUP(H71,ProductsRangeMkt,3,FALSE),H93)</f>
        <v>2</v>
      </c>
      <c r="I108" s="281">
        <f>ProductionFY1m(6,I71,VLOOKUP(I71,ProductsRangeMkt,3,FALSE),I93)</f>
        <v>2</v>
      </c>
      <c r="J108" s="281">
        <f>ProductionFY1m(6,J71,VLOOKUP(J71,ProductsRangeMkt,3,FALSE),J93)</f>
        <v>7.975769126055</v>
      </c>
      <c r="K108" s="281">
        <f>ProductionFY1m(6,K71,VLOOKUP(K71,ProductsRangeMkt,3,FALSE),K93)</f>
        <v>10.0336275746112</v>
      </c>
      <c r="L108" s="281">
        <f>ProductionFY1m(6,L71,VLOOKUP(L71,ProductsRangeMkt,3,FALSE),L93)</f>
        <v>0</v>
      </c>
      <c r="M108" s="281"/>
      <c r="N108" s="281"/>
      <c r="O108" s="281"/>
      <c r="R108" s="308"/>
      <c r="S108" s="308"/>
    </row>
    <row r="109" s="140" customFormat="1" spans="2:19">
      <c r="B109" s="96" t="s">
        <v>262</v>
      </c>
      <c r="C109" s="297">
        <f t="shared" si="22"/>
        <v>27</v>
      </c>
      <c r="D109" s="281">
        <f>ProductionFY1m(7,D71,VLOOKUP(D71,ProductsRangeMkt,3,FALSE),D94)</f>
        <v>1.024230873945</v>
      </c>
      <c r="E109" s="281">
        <f>ProductionFY1m(7,E71,VLOOKUP(E71,ProductsRangeMkt,3,FALSE),E94)</f>
        <v>0.966372425388819</v>
      </c>
      <c r="F109" s="281">
        <f>ProductionFY1m(7,F71,VLOOKUP(F71,ProductsRangeMkt,3,FALSE),F94)</f>
        <v>1</v>
      </c>
      <c r="G109" s="281">
        <f>ProductionFY1m(7,G71,VLOOKUP(G71,ProductsRangeMkt,3,FALSE),G94)</f>
        <v>2</v>
      </c>
      <c r="H109" s="281">
        <f>ProductionFY1m(7,H71,VLOOKUP(H71,ProductsRangeMkt,3,FALSE),H94)</f>
        <v>2</v>
      </c>
      <c r="I109" s="281">
        <f>ProductionFY1m(7,I71,VLOOKUP(I71,ProductsRangeMkt,3,FALSE),I94)</f>
        <v>2</v>
      </c>
      <c r="J109" s="281">
        <f>ProductionFY1m(7,J71,VLOOKUP(J71,ProductsRangeMkt,3,FALSE),J94)</f>
        <v>7.975769126055</v>
      </c>
      <c r="K109" s="281">
        <f>ProductionFY1m(7,K71,VLOOKUP(K71,ProductsRangeMkt,3,FALSE),K94)</f>
        <v>10.0336275746112</v>
      </c>
      <c r="L109" s="281">
        <f>ProductionFY1m(7,L71,VLOOKUP(L71,ProductsRangeMkt,3,FALSE),L94)</f>
        <v>0</v>
      </c>
      <c r="M109" s="281"/>
      <c r="N109" s="281"/>
      <c r="O109" s="281"/>
      <c r="R109" s="308"/>
      <c r="S109" s="308"/>
    </row>
    <row r="110" s="140" customFormat="1" spans="2:19">
      <c r="B110" s="96" t="s">
        <v>263</v>
      </c>
      <c r="C110" s="297">
        <f t="shared" si="22"/>
        <v>24</v>
      </c>
      <c r="D110" s="281">
        <f>ProductionFY1m(8,D71,VLOOKUP(D71,ProductsRangeMkt,3,FALSE),D95)</f>
        <v>1.04239401496259</v>
      </c>
      <c r="E110" s="281">
        <f>ProductionFY1m(8,E71,VLOOKUP(E71,ProductsRangeMkt,3,FALSE),E95)</f>
        <v>0.909134847752538</v>
      </c>
      <c r="F110" s="281">
        <f>ProductionFY1m(8,F71,VLOOKUP(F71,ProductsRangeMkt,3,FALSE),F95)</f>
        <v>1</v>
      </c>
      <c r="G110" s="281">
        <f>ProductionFY1m(8,G71,VLOOKUP(G71,ProductsRangeMkt,3,FALSE),G95)</f>
        <v>2</v>
      </c>
      <c r="H110" s="281">
        <f>ProductionFY1m(8,H71,VLOOKUP(H71,ProductsRangeMkt,3,FALSE),H95)</f>
        <v>2</v>
      </c>
      <c r="I110" s="281">
        <f>ProductionFY1m(8,I71,VLOOKUP(I71,ProductsRangeMkt,3,FALSE),I95)</f>
        <v>2</v>
      </c>
      <c r="J110" s="281">
        <f>ProductionFY1m(8,J71,VLOOKUP(J71,ProductsRangeMkt,3,FALSE),J95)</f>
        <v>6.95760598503741</v>
      </c>
      <c r="K110" s="281">
        <f>ProductionFY1m(8,K71,VLOOKUP(K71,ProductsRangeMkt,3,FALSE),K95)</f>
        <v>8.09086515224746</v>
      </c>
      <c r="L110" s="281">
        <f>ProductionFY1m(8,L71,VLOOKUP(L71,ProductsRangeMkt,3,FALSE),L95)</f>
        <v>0</v>
      </c>
      <c r="M110" s="281"/>
      <c r="N110" s="281"/>
      <c r="O110" s="281"/>
      <c r="R110" s="308"/>
      <c r="S110" s="308"/>
    </row>
    <row r="111" s="140" customFormat="1" spans="2:19">
      <c r="B111" s="96" t="s">
        <v>264</v>
      </c>
      <c r="C111" s="297">
        <f t="shared" si="22"/>
        <v>24</v>
      </c>
      <c r="D111" s="281">
        <f>ProductionFY1m(9,D71,VLOOKUP(D71,ProductsRangeMkt,3,FALSE),D96)</f>
        <v>1.04239401496259</v>
      </c>
      <c r="E111" s="281">
        <f>ProductionFY1m(9,E71,VLOOKUP(E71,ProductsRangeMkt,3,FALSE),E96)</f>
        <v>0.909134847752538</v>
      </c>
      <c r="F111" s="281">
        <f>ProductionFY1m(9,F71,VLOOKUP(F71,ProductsRangeMkt,3,FALSE),F96)</f>
        <v>1</v>
      </c>
      <c r="G111" s="281">
        <f>ProductionFY1m(9,G71,VLOOKUP(G71,ProductsRangeMkt,3,FALSE),G96)</f>
        <v>2</v>
      </c>
      <c r="H111" s="281">
        <f>ProductionFY1m(9,H71,VLOOKUP(H71,ProductsRangeMkt,3,FALSE),H96)</f>
        <v>2</v>
      </c>
      <c r="I111" s="281">
        <f>ProductionFY1m(9,I71,VLOOKUP(I71,ProductsRangeMkt,3,FALSE),I96)</f>
        <v>2</v>
      </c>
      <c r="J111" s="281">
        <f>ProductionFY1m(9,J71,VLOOKUP(J71,ProductsRangeMkt,3,FALSE),J96)</f>
        <v>6.95760598503741</v>
      </c>
      <c r="K111" s="281">
        <f>ProductionFY1m(9,K71,VLOOKUP(K71,ProductsRangeMkt,3,FALSE),K96)</f>
        <v>8.09086515224746</v>
      </c>
      <c r="L111" s="281">
        <f>ProductionFY1m(9,L71,VLOOKUP(L71,ProductsRangeMkt,3,FALSE),L96)</f>
        <v>0</v>
      </c>
      <c r="M111" s="281"/>
      <c r="N111" s="281"/>
      <c r="O111" s="281"/>
      <c r="R111" s="308"/>
      <c r="S111" s="308"/>
    </row>
    <row r="112" s="140" customFormat="1" spans="2:19">
      <c r="B112" s="96" t="s">
        <v>265</v>
      </c>
      <c r="C112" s="297">
        <f t="shared" si="22"/>
        <v>23</v>
      </c>
      <c r="D112" s="281">
        <f>ProductionFY1m(10,D71,VLOOKUP(D71,ProductsRangeMkt,3,FALSE),D97)</f>
        <v>0.839116719242902</v>
      </c>
      <c r="E112" s="281">
        <f>ProductionFY1m(10,E71,VLOOKUP(E71,ProductsRangeMkt,3,FALSE),E97)</f>
        <v>0.982758620689655</v>
      </c>
      <c r="F112" s="281">
        <f>ProductionFY1m(10,F71,VLOOKUP(F71,ProductsRangeMkt,3,FALSE),F97)</f>
        <v>1</v>
      </c>
      <c r="G112" s="281">
        <f>ProductionFY1m(10,G71,VLOOKUP(G71,ProductsRangeMkt,3,FALSE),G97)</f>
        <v>2</v>
      </c>
      <c r="H112" s="281">
        <f>ProductionFY1m(10,H71,VLOOKUP(H71,ProductsRangeMkt,3,FALSE),H97)</f>
        <v>2</v>
      </c>
      <c r="I112" s="281">
        <f>ProductionFY1m(10,I71,VLOOKUP(I71,ProductsRangeMkt,3,FALSE),I97)</f>
        <v>2</v>
      </c>
      <c r="J112" s="281">
        <f>ProductionFY1m(10,J71,VLOOKUP(J71,ProductsRangeMkt,3,FALSE),J97)</f>
        <v>6.1608832807571</v>
      </c>
      <c r="K112" s="281">
        <f>ProductionFY1m(10,K71,VLOOKUP(K71,ProductsRangeMkt,3,FALSE),K97)</f>
        <v>8.01724137931035</v>
      </c>
      <c r="L112" s="281">
        <f>ProductionFY1m(10,L71,VLOOKUP(L71,ProductsRangeMkt,3,FALSE),L97)</f>
        <v>0</v>
      </c>
      <c r="M112" s="281"/>
      <c r="N112" s="281"/>
      <c r="O112" s="281"/>
      <c r="R112" s="308"/>
      <c r="S112" s="308"/>
    </row>
    <row r="113" s="140" customFormat="1" spans="2:19">
      <c r="B113" s="96" t="s">
        <v>266</v>
      </c>
      <c r="C113" s="297">
        <f t="shared" si="22"/>
        <v>8</v>
      </c>
      <c r="D113" s="281">
        <f>ProductionFY1m(11,D71,VLOOKUP(D71,ProductsRangeMkt,3,FALSE),D98)</f>
        <v>0.518059490084986</v>
      </c>
      <c r="E113" s="281">
        <f>ProductionFY1m(11,E71,VLOOKUP(E71,ProductsRangeMkt,3,FALSE),E98)</f>
        <v>0.393782383419689</v>
      </c>
      <c r="F113" s="281">
        <f>ProductionFY1m(11,F71,VLOOKUP(F71,ProductsRangeMkt,3,FALSE),F98)</f>
        <v>1</v>
      </c>
      <c r="G113" s="281">
        <f>ProductionFY1m(11,G71,VLOOKUP(G71,ProductsRangeMkt,3,FALSE),G98)</f>
        <v>1</v>
      </c>
      <c r="H113" s="281">
        <f>ProductionFY1m(11,H71,VLOOKUP(H71,ProductsRangeMkt,3,FALSE),H98)</f>
        <v>1</v>
      </c>
      <c r="I113" s="281">
        <f>ProductionFY1m(11,I71,VLOOKUP(I71,ProductsRangeMkt,3,FALSE),I98)</f>
        <v>1</v>
      </c>
      <c r="J113" s="281">
        <f>ProductionFY1m(11,J71,VLOOKUP(J71,ProductsRangeMkt,3,FALSE),J98)</f>
        <v>1.48194050991501</v>
      </c>
      <c r="K113" s="281">
        <f>ProductionFY1m(11,K71,VLOOKUP(K71,ProductsRangeMkt,3,FALSE),K98)</f>
        <v>1.60621761658031</v>
      </c>
      <c r="L113" s="281">
        <f>ProductionFY1m(11,L71,VLOOKUP(L71,ProductsRangeMkt,3,FALSE),L98)</f>
        <v>0</v>
      </c>
      <c r="M113" s="281"/>
      <c r="N113" s="281"/>
      <c r="O113" s="281"/>
      <c r="R113" s="308"/>
      <c r="S113" s="308"/>
    </row>
    <row r="114" s="140" customFormat="1" spans="2:19">
      <c r="B114" s="96" t="s">
        <v>267</v>
      </c>
      <c r="C114" s="297">
        <f t="shared" si="22"/>
        <v>7</v>
      </c>
      <c r="D114" s="281">
        <f>ProductionFY1m(12,D71,VLOOKUP(D71,ProductsRangeMkt,3,FALSE),D99)</f>
        <v>0.518059490084986</v>
      </c>
      <c r="E114" s="281">
        <f>ProductionFY1m(12,E71,VLOOKUP(E71,ProductsRangeMkt,3,FALSE),E99)</f>
        <v>0.339285714285714</v>
      </c>
      <c r="F114" s="281">
        <f>ProductionFY1m(12,F71,VLOOKUP(F71,ProductsRangeMkt,3,FALSE),F99)</f>
        <v>0</v>
      </c>
      <c r="G114" s="281">
        <f>ProductionFY1m(12,G71,VLOOKUP(G71,ProductsRangeMkt,3,FALSE),G99)</f>
        <v>1</v>
      </c>
      <c r="H114" s="281">
        <f>ProductionFY1m(12,H71,VLOOKUP(H71,ProductsRangeMkt,3,FALSE),H99)</f>
        <v>1</v>
      </c>
      <c r="I114" s="281">
        <f>ProductionFY1m(12,I71,VLOOKUP(I71,ProductsRangeMkt,3,FALSE),I99)</f>
        <v>1</v>
      </c>
      <c r="J114" s="281">
        <f>ProductionFY1m(12,J71,VLOOKUP(J71,ProductsRangeMkt,3,FALSE),J99)</f>
        <v>1.48194050991501</v>
      </c>
      <c r="K114" s="281">
        <f>ProductionFY1m(12,K71,VLOOKUP(K71,ProductsRangeMkt,3,FALSE),K99)</f>
        <v>1.66071428571429</v>
      </c>
      <c r="L114" s="281">
        <f>ProductionFY1m(12,L71,VLOOKUP(L71,ProductsRangeMkt,3,FALSE),L99)</f>
        <v>0</v>
      </c>
      <c r="M114" s="281"/>
      <c r="N114" s="281"/>
      <c r="O114" s="281"/>
      <c r="R114" s="308"/>
      <c r="S114" s="308"/>
    </row>
    <row r="115" s="140" customFormat="1" spans="1:19">
      <c r="A115" s="298" t="s">
        <v>272</v>
      </c>
      <c r="B115" s="203"/>
      <c r="C115" s="262" t="s">
        <v>117</v>
      </c>
      <c r="D115" s="299">
        <f t="shared" ref="D115:L115" si="23">SUM(D88:D99)</f>
        <v>11056.620206016</v>
      </c>
      <c r="E115" s="300">
        <f t="shared" si="23"/>
        <v>11056.620206016</v>
      </c>
      <c r="F115" s="300">
        <f t="shared" si="23"/>
        <v>9046.325623104</v>
      </c>
      <c r="G115" s="300">
        <f t="shared" si="23"/>
        <v>23118.387703488</v>
      </c>
      <c r="H115" s="300">
        <f t="shared" si="23"/>
        <v>23118.387703488</v>
      </c>
      <c r="I115" s="300">
        <f t="shared" si="23"/>
        <v>23118.387703488</v>
      </c>
      <c r="J115" s="300">
        <f t="shared" si="23"/>
        <v>73798.97218848</v>
      </c>
      <c r="K115" s="300">
        <f t="shared" si="23"/>
        <v>90198.74378592</v>
      </c>
      <c r="L115" s="300">
        <f t="shared" si="23"/>
        <v>0</v>
      </c>
      <c r="M115" s="300"/>
      <c r="N115" s="300"/>
      <c r="O115" s="309"/>
      <c r="R115" s="308"/>
      <c r="S115" s="308"/>
    </row>
    <row r="116" s="140" customFormat="1" spans="1:19">
      <c r="A116" s="298" t="s">
        <v>273</v>
      </c>
      <c r="B116" s="203"/>
      <c r="C116" s="262" t="s">
        <v>117</v>
      </c>
      <c r="D116" s="299">
        <f t="shared" ref="D116:L116" si="24">SUM(D103:D114)*capacity</f>
        <v>10357.1155442636</v>
      </c>
      <c r="E116" s="299">
        <f t="shared" si="24"/>
        <v>10016.5026875458</v>
      </c>
      <c r="F116" s="299">
        <f t="shared" si="24"/>
        <v>8680</v>
      </c>
      <c r="G116" s="299">
        <f t="shared" si="24"/>
        <v>21080</v>
      </c>
      <c r="H116" s="299">
        <f t="shared" si="24"/>
        <v>21080</v>
      </c>
      <c r="I116" s="299">
        <f t="shared" si="24"/>
        <v>21080</v>
      </c>
      <c r="J116" s="299">
        <f t="shared" si="24"/>
        <v>70242.8844557363</v>
      </c>
      <c r="K116" s="299">
        <f t="shared" si="24"/>
        <v>84223.4973124542</v>
      </c>
      <c r="L116" s="299">
        <f t="shared" si="24"/>
        <v>0</v>
      </c>
      <c r="M116" s="299"/>
      <c r="N116" s="299"/>
      <c r="O116" s="299"/>
      <c r="R116" s="308"/>
      <c r="S116" s="308"/>
    </row>
    <row r="117" s="140" customFormat="1" spans="1:19">
      <c r="A117" s="298" t="s">
        <v>274</v>
      </c>
      <c r="B117" s="203"/>
      <c r="C117" s="262" t="s">
        <v>117</v>
      </c>
      <c r="D117" s="299">
        <f t="shared" ref="D117:L117" si="25">D115-D116</f>
        <v>699.504661752362</v>
      </c>
      <c r="E117" s="300">
        <f t="shared" si="25"/>
        <v>1040.11751847018</v>
      </c>
      <c r="F117" s="300">
        <f t="shared" si="25"/>
        <v>366.325623104</v>
      </c>
      <c r="G117" s="300">
        <f t="shared" si="25"/>
        <v>2038.38770348801</v>
      </c>
      <c r="H117" s="300">
        <f t="shared" si="25"/>
        <v>2038.38770348801</v>
      </c>
      <c r="I117" s="300">
        <f t="shared" si="25"/>
        <v>2038.38770348801</v>
      </c>
      <c r="J117" s="300">
        <f t="shared" si="25"/>
        <v>3556.08773274366</v>
      </c>
      <c r="K117" s="300">
        <f t="shared" si="25"/>
        <v>5975.24647346586</v>
      </c>
      <c r="L117" s="300">
        <f t="shared" si="25"/>
        <v>0</v>
      </c>
      <c r="M117" s="300"/>
      <c r="N117" s="300"/>
      <c r="O117" s="300"/>
      <c r="R117" s="308"/>
      <c r="S117" s="308"/>
    </row>
    <row r="118" s="202" customFormat="1" spans="1:48">
      <c r="A118" s="258"/>
      <c r="B118" s="259" t="s">
        <v>104</v>
      </c>
      <c r="C118" s="259"/>
      <c r="D118" s="301" t="s">
        <v>255</v>
      </c>
      <c r="E118" s="301"/>
      <c r="F118" s="301"/>
      <c r="G118" s="301"/>
      <c r="H118" s="301"/>
      <c r="I118" s="301"/>
      <c r="J118" s="301"/>
      <c r="K118" s="301"/>
      <c r="L118" s="301"/>
      <c r="M118" s="301"/>
      <c r="N118" s="301"/>
      <c r="O118" s="301"/>
      <c r="P118" s="140"/>
      <c r="Q118" s="140"/>
      <c r="R118" s="140"/>
      <c r="S118" s="140"/>
      <c r="T118" s="140"/>
      <c r="U118" s="140"/>
      <c r="V118" s="140"/>
      <c r="W118" s="140"/>
      <c r="AG118" s="140"/>
      <c r="AH118" s="140"/>
      <c r="AI118" s="140"/>
      <c r="AJ118" s="140"/>
      <c r="AK118" s="140"/>
      <c r="AL118" s="140"/>
      <c r="AM118" s="140"/>
      <c r="AN118" s="140"/>
      <c r="AO118" s="140"/>
      <c r="AP118" s="140"/>
      <c r="AQ118" s="140"/>
      <c r="AR118" s="140"/>
      <c r="AS118" s="140"/>
      <c r="AT118" s="140"/>
      <c r="AU118" s="140"/>
      <c r="AV118" s="140"/>
    </row>
    <row r="119" s="202" customFormat="1" spans="1:48">
      <c r="A119" s="261"/>
      <c r="B119" s="262" t="s">
        <v>256</v>
      </c>
      <c r="C119" s="203"/>
      <c r="D119" s="263">
        <v>0.04</v>
      </c>
      <c r="E119" s="263">
        <v>0.06</v>
      </c>
      <c r="F119" s="263">
        <v>0.02</v>
      </c>
      <c r="G119" s="263">
        <v>0.05</v>
      </c>
      <c r="H119" s="263">
        <v>0.05</v>
      </c>
      <c r="I119" s="263">
        <v>0.05</v>
      </c>
      <c r="J119" s="263">
        <v>0.03</v>
      </c>
      <c r="K119" s="263">
        <v>0.03</v>
      </c>
      <c r="L119" s="457"/>
      <c r="M119" s="457"/>
      <c r="N119" s="457"/>
      <c r="O119" s="457"/>
      <c r="P119" s="140"/>
      <c r="Q119" s="140"/>
      <c r="R119" s="140"/>
      <c r="S119" s="140"/>
      <c r="T119" s="140"/>
      <c r="U119" s="140"/>
      <c r="V119" s="140"/>
      <c r="W119" s="140"/>
      <c r="AG119" s="140"/>
      <c r="AH119" s="140"/>
      <c r="AI119" s="140"/>
      <c r="AJ119" s="140"/>
      <c r="AK119" s="140"/>
      <c r="AL119" s="140"/>
      <c r="AM119" s="140"/>
      <c r="AN119" s="140"/>
      <c r="AO119" s="140"/>
      <c r="AP119" s="140"/>
      <c r="AQ119" s="140"/>
      <c r="AR119" s="140"/>
      <c r="AS119" s="140"/>
      <c r="AT119" s="140"/>
      <c r="AU119" s="140"/>
      <c r="AV119" s="140"/>
    </row>
    <row r="120" s="202" customFormat="1" spans="1:48">
      <c r="A120" s="264"/>
      <c r="B120" s="262" t="s">
        <v>257</v>
      </c>
      <c r="C120" s="203"/>
      <c r="D120" s="263">
        <v>0.04</v>
      </c>
      <c r="E120" s="263">
        <v>0.05</v>
      </c>
      <c r="F120" s="263">
        <v>0.03</v>
      </c>
      <c r="G120" s="263">
        <v>0.05</v>
      </c>
      <c r="H120" s="263">
        <v>0.05</v>
      </c>
      <c r="I120" s="263">
        <v>0.05</v>
      </c>
      <c r="J120" s="263">
        <v>0.03</v>
      </c>
      <c r="K120" s="263">
        <v>0.03</v>
      </c>
      <c r="L120" s="457"/>
      <c r="M120" s="457"/>
      <c r="N120" s="457"/>
      <c r="O120" s="457"/>
      <c r="P120" s="140"/>
      <c r="Q120" s="140"/>
      <c r="R120" s="140"/>
      <c r="S120" s="140"/>
      <c r="T120" s="140"/>
      <c r="U120" s="140"/>
      <c r="V120" s="140"/>
      <c r="W120" s="140"/>
      <c r="AG120" s="140"/>
      <c r="AH120" s="140"/>
      <c r="AI120" s="140"/>
      <c r="AJ120" s="140"/>
      <c r="AK120" s="140"/>
      <c r="AL120" s="140"/>
      <c r="AM120" s="140"/>
      <c r="AN120" s="140"/>
      <c r="AO120" s="140"/>
      <c r="AP120" s="140"/>
      <c r="AQ120" s="140"/>
      <c r="AR120" s="140"/>
      <c r="AS120" s="140"/>
      <c r="AT120" s="140"/>
      <c r="AU120" s="140"/>
      <c r="AV120" s="140"/>
    </row>
    <row r="121" s="202" customFormat="1" spans="1:48">
      <c r="A121" s="203"/>
      <c r="B121" s="96" t="s">
        <v>258</v>
      </c>
      <c r="C121" s="203"/>
      <c r="D121" s="263">
        <v>0.04</v>
      </c>
      <c r="E121" s="263">
        <v>0.06</v>
      </c>
      <c r="F121" s="263">
        <v>0.03</v>
      </c>
      <c r="G121" s="263">
        <v>0.06</v>
      </c>
      <c r="H121" s="263">
        <v>0.06</v>
      </c>
      <c r="I121" s="263">
        <v>0.06</v>
      </c>
      <c r="J121" s="263">
        <v>0.03</v>
      </c>
      <c r="K121" s="263">
        <v>0.03</v>
      </c>
      <c r="L121" s="457"/>
      <c r="M121" s="457"/>
      <c r="N121" s="457"/>
      <c r="O121" s="457"/>
      <c r="P121" s="140"/>
      <c r="Q121" s="140"/>
      <c r="R121" s="140"/>
      <c r="S121" s="140"/>
      <c r="T121" s="140"/>
      <c r="U121" s="140"/>
      <c r="V121" s="140"/>
      <c r="W121" s="140"/>
      <c r="AG121" s="140"/>
      <c r="AH121" s="140"/>
      <c r="AI121" s="140"/>
      <c r="AJ121" s="140"/>
      <c r="AK121" s="140"/>
      <c r="AL121" s="140"/>
      <c r="AM121" s="140"/>
      <c r="AN121" s="140"/>
      <c r="AO121" s="140"/>
      <c r="AP121" s="140"/>
      <c r="AQ121" s="140"/>
      <c r="AR121" s="140"/>
      <c r="AS121" s="140"/>
      <c r="AT121" s="140"/>
      <c r="AU121" s="140"/>
      <c r="AV121" s="140"/>
    </row>
    <row r="122" s="203" customFormat="1" spans="2:48">
      <c r="B122" s="96" t="s">
        <v>259</v>
      </c>
      <c r="D122" s="263">
        <v>0.04</v>
      </c>
      <c r="E122" s="263">
        <v>0.06</v>
      </c>
      <c r="F122" s="263">
        <v>0.04</v>
      </c>
      <c r="G122" s="263">
        <v>0.07</v>
      </c>
      <c r="H122" s="263">
        <v>0.07</v>
      </c>
      <c r="I122" s="263">
        <v>0.07</v>
      </c>
      <c r="J122" s="263">
        <v>0.11</v>
      </c>
      <c r="K122" s="263">
        <v>0.11</v>
      </c>
      <c r="L122" s="457"/>
      <c r="M122" s="457"/>
      <c r="N122" s="457"/>
      <c r="O122" s="457"/>
      <c r="P122" s="140"/>
      <c r="Q122" s="140"/>
      <c r="R122" s="140"/>
      <c r="S122" s="140"/>
      <c r="T122" s="140"/>
      <c r="U122" s="140"/>
      <c r="V122" s="140"/>
      <c r="W122" s="140"/>
      <c r="AG122" s="140"/>
      <c r="AH122" s="140"/>
      <c r="AI122" s="140"/>
      <c r="AJ122" s="140"/>
      <c r="AK122" s="140"/>
      <c r="AL122" s="140"/>
      <c r="AM122" s="140"/>
      <c r="AN122" s="140"/>
      <c r="AO122" s="140"/>
      <c r="AP122" s="140"/>
      <c r="AQ122" s="140"/>
      <c r="AR122" s="140"/>
      <c r="AS122" s="140"/>
      <c r="AT122" s="140"/>
      <c r="AU122" s="140"/>
      <c r="AV122" s="140"/>
    </row>
    <row r="123" s="203" customFormat="1" spans="2:48">
      <c r="B123" s="96" t="s">
        <v>260</v>
      </c>
      <c r="D123" s="263">
        <v>0.12</v>
      </c>
      <c r="E123" s="263">
        <v>0.11</v>
      </c>
      <c r="F123" s="263">
        <v>0.11</v>
      </c>
      <c r="G123" s="263">
        <v>0.08</v>
      </c>
      <c r="H123" s="263">
        <v>0.08</v>
      </c>
      <c r="I123" s="263">
        <v>0.08</v>
      </c>
      <c r="J123" s="263">
        <v>0.11</v>
      </c>
      <c r="K123" s="263">
        <v>0.11</v>
      </c>
      <c r="L123" s="457"/>
      <c r="M123" s="457"/>
      <c r="N123" s="457"/>
      <c r="O123" s="457"/>
      <c r="P123" s="140"/>
      <c r="Q123" s="140"/>
      <c r="R123" s="140"/>
      <c r="S123" s="140"/>
      <c r="T123" s="140"/>
      <c r="U123" s="140"/>
      <c r="V123" s="140"/>
      <c r="W123" s="140"/>
      <c r="AG123" s="140"/>
      <c r="AH123" s="140"/>
      <c r="AI123" s="140"/>
      <c r="AJ123" s="140"/>
      <c r="AK123" s="140"/>
      <c r="AL123" s="140"/>
      <c r="AM123" s="140"/>
      <c r="AN123" s="140"/>
      <c r="AO123" s="140"/>
      <c r="AP123" s="140"/>
      <c r="AQ123" s="140"/>
      <c r="AR123" s="140"/>
      <c r="AS123" s="140"/>
      <c r="AT123" s="140"/>
      <c r="AU123" s="140"/>
      <c r="AV123" s="140"/>
    </row>
    <row r="124" s="203" customFormat="1" spans="1:48">
      <c r="A124" s="140"/>
      <c r="B124" s="96" t="s">
        <v>261</v>
      </c>
      <c r="D124" s="263">
        <v>0.12</v>
      </c>
      <c r="E124" s="263">
        <v>0.11</v>
      </c>
      <c r="F124" s="263">
        <v>0.12</v>
      </c>
      <c r="G124" s="263">
        <v>0.1</v>
      </c>
      <c r="H124" s="263">
        <v>0.1</v>
      </c>
      <c r="I124" s="263">
        <v>0.1</v>
      </c>
      <c r="J124" s="263">
        <v>0.14</v>
      </c>
      <c r="K124" s="263">
        <v>0.14</v>
      </c>
      <c r="L124" s="457"/>
      <c r="M124" s="457"/>
      <c r="N124" s="457"/>
      <c r="O124" s="457"/>
      <c r="P124" s="140"/>
      <c r="Q124" s="140"/>
      <c r="R124" s="140"/>
      <c r="S124" s="140"/>
      <c r="T124" s="140"/>
      <c r="U124" s="140"/>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c r="AR124" s="140"/>
      <c r="AS124" s="140"/>
      <c r="AT124" s="140"/>
      <c r="AU124" s="140"/>
      <c r="AV124" s="140"/>
    </row>
    <row r="125" s="203" customFormat="1" spans="1:48">
      <c r="A125" s="140"/>
      <c r="B125" s="96" t="s">
        <v>262</v>
      </c>
      <c r="D125" s="263">
        <v>0.12</v>
      </c>
      <c r="E125" s="263">
        <v>0.11</v>
      </c>
      <c r="F125" s="263">
        <v>0.12</v>
      </c>
      <c r="G125" s="263">
        <v>0.1</v>
      </c>
      <c r="H125" s="263">
        <v>0.1</v>
      </c>
      <c r="I125" s="263">
        <v>0.1</v>
      </c>
      <c r="J125" s="263">
        <v>0.14</v>
      </c>
      <c r="K125" s="263">
        <v>0.14</v>
      </c>
      <c r="L125" s="457"/>
      <c r="M125" s="457"/>
      <c r="N125" s="457"/>
      <c r="O125" s="457"/>
      <c r="P125" s="140"/>
      <c r="Q125" s="140"/>
      <c r="R125" s="140"/>
      <c r="S125" s="140"/>
      <c r="T125" s="140"/>
      <c r="U125" s="140"/>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c r="AR125" s="140"/>
      <c r="AS125" s="140"/>
      <c r="AT125" s="140"/>
      <c r="AU125" s="140"/>
      <c r="AV125" s="140"/>
    </row>
    <row r="126" s="203" customFormat="1" spans="1:48">
      <c r="A126" s="140"/>
      <c r="B126" s="96" t="s">
        <v>263</v>
      </c>
      <c r="D126" s="263">
        <v>0.12</v>
      </c>
      <c r="E126" s="263">
        <v>0.11</v>
      </c>
      <c r="F126" s="263">
        <v>0.12</v>
      </c>
      <c r="G126" s="263">
        <v>0.12</v>
      </c>
      <c r="H126" s="263">
        <v>0.12</v>
      </c>
      <c r="I126" s="263">
        <v>0.12</v>
      </c>
      <c r="J126" s="263">
        <v>0.12</v>
      </c>
      <c r="K126" s="263">
        <v>0.12</v>
      </c>
      <c r="L126" s="457"/>
      <c r="M126" s="457"/>
      <c r="N126" s="457"/>
      <c r="O126" s="457"/>
      <c r="P126" s="140"/>
      <c r="Q126" s="140"/>
      <c r="R126" s="140"/>
      <c r="S126" s="140"/>
      <c r="T126" s="140"/>
      <c r="U126" s="140"/>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c r="AR126" s="140"/>
      <c r="AS126" s="140"/>
      <c r="AT126" s="140"/>
      <c r="AU126" s="140"/>
      <c r="AV126" s="140"/>
    </row>
    <row r="127" s="203" customFormat="1" spans="1:48">
      <c r="A127" s="140"/>
      <c r="B127" s="96" t="s">
        <v>264</v>
      </c>
      <c r="D127" s="263">
        <v>0.12</v>
      </c>
      <c r="E127" s="263">
        <v>0.11</v>
      </c>
      <c r="F127" s="263">
        <v>0.12</v>
      </c>
      <c r="G127" s="263">
        <v>0.12</v>
      </c>
      <c r="H127" s="263">
        <v>0.12</v>
      </c>
      <c r="I127" s="263">
        <v>0.12</v>
      </c>
      <c r="J127" s="263">
        <v>0.12</v>
      </c>
      <c r="K127" s="263">
        <v>0.12</v>
      </c>
      <c r="L127" s="457"/>
      <c r="M127" s="457"/>
      <c r="N127" s="457"/>
      <c r="O127" s="457"/>
      <c r="P127" s="140"/>
      <c r="Q127" s="140"/>
      <c r="R127" s="140"/>
      <c r="S127" s="140"/>
      <c r="T127" s="140"/>
      <c r="U127" s="140"/>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c r="AR127" s="140"/>
      <c r="AS127" s="140"/>
      <c r="AT127" s="140"/>
      <c r="AU127" s="140"/>
      <c r="AV127" s="140"/>
    </row>
    <row r="128" s="203" customFormat="1" spans="1:48">
      <c r="A128" s="140"/>
      <c r="B128" s="96" t="s">
        <v>265</v>
      </c>
      <c r="D128" s="263">
        <v>0.1</v>
      </c>
      <c r="E128" s="263">
        <v>0.11</v>
      </c>
      <c r="F128" s="263">
        <v>0.11</v>
      </c>
      <c r="G128" s="263">
        <v>0.11</v>
      </c>
      <c r="H128" s="263">
        <v>0.11</v>
      </c>
      <c r="I128" s="263">
        <v>0.11</v>
      </c>
      <c r="J128" s="263">
        <v>0.11</v>
      </c>
      <c r="K128" s="263">
        <v>0.11</v>
      </c>
      <c r="L128" s="457"/>
      <c r="M128" s="457"/>
      <c r="N128" s="457"/>
      <c r="O128" s="457"/>
      <c r="P128" s="140"/>
      <c r="Q128" s="140"/>
      <c r="R128" s="140"/>
      <c r="S128" s="140"/>
      <c r="T128" s="140"/>
      <c r="U128" s="140"/>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c r="AR128" s="140"/>
      <c r="AS128" s="140"/>
      <c r="AT128" s="140"/>
      <c r="AU128" s="140"/>
      <c r="AV128" s="140"/>
    </row>
    <row r="129" s="203" customFormat="1" spans="1:48">
      <c r="A129" s="140"/>
      <c r="B129" s="96" t="s">
        <v>266</v>
      </c>
      <c r="D129" s="263">
        <v>0.07</v>
      </c>
      <c r="E129" s="263">
        <v>0.06</v>
      </c>
      <c r="F129" s="263">
        <v>0.15</v>
      </c>
      <c r="G129" s="263">
        <v>0.07</v>
      </c>
      <c r="H129" s="263">
        <v>0.07</v>
      </c>
      <c r="I129" s="263">
        <v>0.07</v>
      </c>
      <c r="J129" s="263">
        <v>0.03</v>
      </c>
      <c r="K129" s="263">
        <v>0.03</v>
      </c>
      <c r="L129" s="457"/>
      <c r="M129" s="457"/>
      <c r="N129" s="457"/>
      <c r="O129" s="457"/>
      <c r="P129" s="140"/>
      <c r="Q129" s="140"/>
      <c r="R129" s="140"/>
      <c r="S129" s="140"/>
      <c r="T129" s="140"/>
      <c r="U129" s="140"/>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c r="AR129" s="140"/>
      <c r="AS129" s="140"/>
      <c r="AT129" s="140"/>
      <c r="AU129" s="140"/>
      <c r="AV129" s="140"/>
    </row>
    <row r="130" s="203" customFormat="1" spans="1:48">
      <c r="A130" s="140"/>
      <c r="B130" s="96" t="s">
        <v>267</v>
      </c>
      <c r="D130" s="263">
        <v>0.07</v>
      </c>
      <c r="E130" s="263">
        <v>0.05</v>
      </c>
      <c r="F130" s="263">
        <v>0.03</v>
      </c>
      <c r="G130" s="263">
        <v>0.07</v>
      </c>
      <c r="H130" s="263">
        <v>0.07</v>
      </c>
      <c r="I130" s="263">
        <v>0.07</v>
      </c>
      <c r="J130" s="263">
        <v>0.03</v>
      </c>
      <c r="K130" s="263">
        <v>0.03</v>
      </c>
      <c r="L130" s="457"/>
      <c r="M130" s="457"/>
      <c r="N130" s="457"/>
      <c r="O130" s="457"/>
      <c r="P130" s="140"/>
      <c r="Q130" s="140"/>
      <c r="R130" s="140"/>
      <c r="S130" s="140"/>
      <c r="T130" s="140"/>
      <c r="U130" s="140"/>
      <c r="V130" s="140"/>
      <c r="W130" s="140"/>
      <c r="X130" s="140"/>
      <c r="Y130" s="140"/>
      <c r="Z130" s="140"/>
      <c r="AA130" s="140"/>
      <c r="AB130" s="140"/>
      <c r="AC130" s="140"/>
      <c r="AD130" s="140"/>
      <c r="AE130" s="140"/>
      <c r="AF130" s="140"/>
      <c r="AG130" s="140"/>
      <c r="AH130" s="140"/>
      <c r="AI130" s="140"/>
      <c r="AJ130" s="140"/>
      <c r="AK130" s="140"/>
      <c r="AL130" s="140"/>
      <c r="AM130" s="140"/>
      <c r="AN130" s="140"/>
      <c r="AO130" s="140"/>
      <c r="AP130" s="140"/>
      <c r="AQ130" s="140"/>
      <c r="AR130" s="140"/>
      <c r="AS130" s="140"/>
      <c r="AT130" s="140"/>
      <c r="AU130" s="140"/>
      <c r="AV130" s="140"/>
    </row>
    <row r="131" s="203" customFormat="1" spans="1:48">
      <c r="A131" s="140"/>
      <c r="B131" s="96" t="s">
        <v>268</v>
      </c>
      <c r="D131" s="265">
        <f t="shared" ref="D131:L131" si="26">SUM(D119:D130)</f>
        <v>1</v>
      </c>
      <c r="E131" s="265">
        <f t="shared" si="26"/>
        <v>1</v>
      </c>
      <c r="F131" s="265">
        <f t="shared" si="26"/>
        <v>1</v>
      </c>
      <c r="G131" s="265">
        <f t="shared" si="26"/>
        <v>1</v>
      </c>
      <c r="H131" s="265">
        <f t="shared" si="26"/>
        <v>1</v>
      </c>
      <c r="I131" s="265">
        <f t="shared" si="26"/>
        <v>1</v>
      </c>
      <c r="J131" s="265">
        <f t="shared" si="26"/>
        <v>1</v>
      </c>
      <c r="K131" s="265">
        <f t="shared" si="26"/>
        <v>1</v>
      </c>
      <c r="L131" s="265">
        <f t="shared" si="26"/>
        <v>0</v>
      </c>
      <c r="M131" s="265"/>
      <c r="N131" s="265"/>
      <c r="O131" s="265"/>
      <c r="P131" s="140"/>
      <c r="Q131" s="140"/>
      <c r="R131" s="140"/>
      <c r="S131" s="140"/>
      <c r="T131" s="140"/>
      <c r="U131" s="140"/>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row>
    <row r="132" s="203" customFormat="1" spans="1:48">
      <c r="A132" s="140"/>
      <c r="B132" s="96"/>
      <c r="D132" s="266" t="s">
        <v>269</v>
      </c>
      <c r="E132" s="266"/>
      <c r="F132" s="266"/>
      <c r="G132" s="266"/>
      <c r="H132" s="266"/>
      <c r="I132" s="266"/>
      <c r="J132" s="266"/>
      <c r="K132" s="266"/>
      <c r="L132" s="266"/>
      <c r="M132" s="266"/>
      <c r="N132" s="266"/>
      <c r="O132" s="266"/>
      <c r="P132" s="140"/>
      <c r="Q132" s="140"/>
      <c r="R132" s="140"/>
      <c r="S132" s="140"/>
      <c r="T132" s="140"/>
      <c r="U132" s="140"/>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c r="AR132" s="140"/>
      <c r="AS132" s="140"/>
      <c r="AT132" s="140"/>
      <c r="AU132" s="140"/>
      <c r="AV132" s="140"/>
    </row>
    <row r="133" s="140" customFormat="1" spans="1:15">
      <c r="A133" s="258"/>
      <c r="B133" s="262" t="s">
        <v>256</v>
      </c>
      <c r="D133" s="268">
        <f t="shared" ref="D133:L133" si="27">D119*D145</f>
        <v>470.79802167552</v>
      </c>
      <c r="E133" s="268">
        <f t="shared" si="27"/>
        <v>706.19703251328</v>
      </c>
      <c r="F133" s="268">
        <f t="shared" si="27"/>
        <v>192.59919068544</v>
      </c>
      <c r="G133" s="268">
        <f t="shared" si="27"/>
        <v>1230.4948293792</v>
      </c>
      <c r="H133" s="268">
        <f t="shared" si="27"/>
        <v>1230.4948293792</v>
      </c>
      <c r="I133" s="268">
        <f t="shared" si="27"/>
        <v>1230.4948293792</v>
      </c>
      <c r="J133" s="268">
        <f t="shared" si="27"/>
        <v>2513.92627842048</v>
      </c>
      <c r="K133" s="268">
        <f t="shared" si="27"/>
        <v>2723.42013495552</v>
      </c>
      <c r="L133" s="268">
        <f t="shared" si="27"/>
        <v>0</v>
      </c>
      <c r="M133" s="268"/>
      <c r="N133" s="268"/>
      <c r="O133" s="268"/>
    </row>
    <row r="134" s="140" customFormat="1" spans="1:15">
      <c r="A134" s="258"/>
      <c r="B134" s="262" t="s">
        <v>257</v>
      </c>
      <c r="D134" s="268">
        <f t="shared" ref="D134:L134" si="28">D120*D145</f>
        <v>470.79802167552</v>
      </c>
      <c r="E134" s="268">
        <f t="shared" si="28"/>
        <v>588.4975270944</v>
      </c>
      <c r="F134" s="268">
        <f t="shared" si="28"/>
        <v>288.89878602816</v>
      </c>
      <c r="G134" s="268">
        <f t="shared" si="28"/>
        <v>1230.4948293792</v>
      </c>
      <c r="H134" s="268">
        <f t="shared" si="28"/>
        <v>1230.4948293792</v>
      </c>
      <c r="I134" s="268">
        <f t="shared" si="28"/>
        <v>1230.4948293792</v>
      </c>
      <c r="J134" s="268">
        <f t="shared" si="28"/>
        <v>2513.92627842048</v>
      </c>
      <c r="K134" s="268">
        <f t="shared" si="28"/>
        <v>2723.42013495552</v>
      </c>
      <c r="L134" s="268">
        <f t="shared" si="28"/>
        <v>0</v>
      </c>
      <c r="M134" s="268"/>
      <c r="N134" s="268"/>
      <c r="O134" s="268"/>
    </row>
    <row r="135" s="140" customFormat="1" spans="1:15">
      <c r="A135" s="258"/>
      <c r="B135" s="96" t="s">
        <v>258</v>
      </c>
      <c r="D135" s="268">
        <f t="shared" ref="D135:L135" si="29">D121*D145</f>
        <v>470.79802167552</v>
      </c>
      <c r="E135" s="268">
        <f t="shared" si="29"/>
        <v>706.19703251328</v>
      </c>
      <c r="F135" s="268">
        <f t="shared" si="29"/>
        <v>288.89878602816</v>
      </c>
      <c r="G135" s="268">
        <f t="shared" si="29"/>
        <v>1476.59379525504</v>
      </c>
      <c r="H135" s="268">
        <f t="shared" si="29"/>
        <v>1476.59379525504</v>
      </c>
      <c r="I135" s="268">
        <f t="shared" si="29"/>
        <v>1476.59379525504</v>
      </c>
      <c r="J135" s="268">
        <f t="shared" si="29"/>
        <v>2513.92627842048</v>
      </c>
      <c r="K135" s="268">
        <f t="shared" si="29"/>
        <v>2723.42013495552</v>
      </c>
      <c r="L135" s="268">
        <f t="shared" si="29"/>
        <v>0</v>
      </c>
      <c r="M135" s="268"/>
      <c r="N135" s="268"/>
      <c r="O135" s="268"/>
    </row>
    <row r="136" s="140" customFormat="1" spans="1:15">
      <c r="A136" s="258"/>
      <c r="B136" s="96" t="s">
        <v>259</v>
      </c>
      <c r="D136" s="268">
        <f t="shared" ref="D136:L136" si="30">D122*D145</f>
        <v>470.79802167552</v>
      </c>
      <c r="E136" s="268">
        <f t="shared" si="30"/>
        <v>706.19703251328</v>
      </c>
      <c r="F136" s="268">
        <f t="shared" si="30"/>
        <v>385.19838137088</v>
      </c>
      <c r="G136" s="268">
        <f t="shared" si="30"/>
        <v>1722.69276113088</v>
      </c>
      <c r="H136" s="268">
        <f t="shared" si="30"/>
        <v>1722.69276113088</v>
      </c>
      <c r="I136" s="268">
        <f t="shared" si="30"/>
        <v>1722.69276113088</v>
      </c>
      <c r="J136" s="268">
        <f t="shared" si="30"/>
        <v>9217.72968754176</v>
      </c>
      <c r="K136" s="268">
        <f t="shared" si="30"/>
        <v>9985.87382817024</v>
      </c>
      <c r="L136" s="268">
        <f t="shared" si="30"/>
        <v>0</v>
      </c>
      <c r="M136" s="268"/>
      <c r="N136" s="268"/>
      <c r="O136" s="268"/>
    </row>
    <row r="137" s="140" customFormat="1" spans="1:15">
      <c r="A137" s="222"/>
      <c r="B137" s="96" t="s">
        <v>260</v>
      </c>
      <c r="D137" s="268">
        <f t="shared" ref="D137:L137" si="31">D123*D145</f>
        <v>1412.39406502656</v>
      </c>
      <c r="E137" s="268">
        <f t="shared" si="31"/>
        <v>1294.69455960768</v>
      </c>
      <c r="F137" s="268">
        <f t="shared" si="31"/>
        <v>1059.29554876992</v>
      </c>
      <c r="G137" s="268">
        <f t="shared" si="31"/>
        <v>1968.79172700672</v>
      </c>
      <c r="H137" s="268">
        <f t="shared" si="31"/>
        <v>1968.79172700672</v>
      </c>
      <c r="I137" s="268">
        <f t="shared" si="31"/>
        <v>1968.79172700672</v>
      </c>
      <c r="J137" s="268">
        <f t="shared" si="31"/>
        <v>9217.72968754176</v>
      </c>
      <c r="K137" s="268">
        <f t="shared" si="31"/>
        <v>9985.87382817024</v>
      </c>
      <c r="L137" s="268">
        <f t="shared" si="31"/>
        <v>0</v>
      </c>
      <c r="M137" s="268"/>
      <c r="N137" s="268"/>
      <c r="O137" s="268"/>
    </row>
    <row r="138" s="140" customFormat="1" spans="1:15">
      <c r="A138" s="302"/>
      <c r="B138" s="96" t="s">
        <v>261</v>
      </c>
      <c r="D138" s="268">
        <f t="shared" ref="D138:L138" si="32">D124*D145</f>
        <v>1412.39406502656</v>
      </c>
      <c r="E138" s="268">
        <f t="shared" si="32"/>
        <v>1294.69455960768</v>
      </c>
      <c r="F138" s="268">
        <f t="shared" si="32"/>
        <v>1155.59514411264</v>
      </c>
      <c r="G138" s="268">
        <f t="shared" si="32"/>
        <v>2460.9896587584</v>
      </c>
      <c r="H138" s="268">
        <f t="shared" si="32"/>
        <v>2460.9896587584</v>
      </c>
      <c r="I138" s="268">
        <f t="shared" si="32"/>
        <v>2460.9896587584</v>
      </c>
      <c r="J138" s="268">
        <f t="shared" si="32"/>
        <v>11731.6559659622</v>
      </c>
      <c r="K138" s="268">
        <f t="shared" si="32"/>
        <v>12709.2939631258</v>
      </c>
      <c r="L138" s="268">
        <f t="shared" si="32"/>
        <v>0</v>
      </c>
      <c r="M138" s="268"/>
      <c r="N138" s="268"/>
      <c r="O138" s="268"/>
    </row>
    <row r="139" s="140" customFormat="1" spans="1:15">
      <c r="A139" s="302"/>
      <c r="B139" s="96" t="s">
        <v>262</v>
      </c>
      <c r="D139" s="268">
        <f t="shared" ref="D139:L139" si="33">D125*D145</f>
        <v>1412.39406502656</v>
      </c>
      <c r="E139" s="268">
        <f t="shared" si="33"/>
        <v>1294.69455960768</v>
      </c>
      <c r="F139" s="268">
        <f t="shared" si="33"/>
        <v>1155.59514411264</v>
      </c>
      <c r="G139" s="268">
        <f t="shared" si="33"/>
        <v>2460.9896587584</v>
      </c>
      <c r="H139" s="268">
        <f t="shared" si="33"/>
        <v>2460.9896587584</v>
      </c>
      <c r="I139" s="268">
        <f t="shared" si="33"/>
        <v>2460.9896587584</v>
      </c>
      <c r="J139" s="268">
        <f t="shared" si="33"/>
        <v>11731.6559659622</v>
      </c>
      <c r="K139" s="268">
        <f t="shared" si="33"/>
        <v>12709.2939631258</v>
      </c>
      <c r="L139" s="268">
        <f t="shared" si="33"/>
        <v>0</v>
      </c>
      <c r="M139" s="268"/>
      <c r="N139" s="268"/>
      <c r="O139" s="268"/>
    </row>
    <row r="140" s="140" customFormat="1" spans="1:15">
      <c r="A140" s="302"/>
      <c r="B140" s="96" t="s">
        <v>263</v>
      </c>
      <c r="D140" s="268">
        <f t="shared" ref="D140:L140" si="34">D126*D145</f>
        <v>1412.39406502656</v>
      </c>
      <c r="E140" s="268">
        <f t="shared" si="34"/>
        <v>1294.69455960768</v>
      </c>
      <c r="F140" s="268">
        <f t="shared" si="34"/>
        <v>1155.59514411264</v>
      </c>
      <c r="G140" s="268">
        <f t="shared" si="34"/>
        <v>2953.18759051008</v>
      </c>
      <c r="H140" s="268">
        <f t="shared" si="34"/>
        <v>2953.18759051008</v>
      </c>
      <c r="I140" s="268">
        <f t="shared" si="34"/>
        <v>2953.18759051008</v>
      </c>
      <c r="J140" s="268">
        <f t="shared" si="34"/>
        <v>10055.7051136819</v>
      </c>
      <c r="K140" s="268">
        <f t="shared" si="34"/>
        <v>10893.6805398221</v>
      </c>
      <c r="L140" s="268">
        <f t="shared" si="34"/>
        <v>0</v>
      </c>
      <c r="M140" s="268"/>
      <c r="N140" s="268"/>
      <c r="O140" s="268"/>
    </row>
    <row r="141" s="140" customFormat="1" spans="1:15">
      <c r="A141" s="303"/>
      <c r="B141" s="96" t="s">
        <v>264</v>
      </c>
      <c r="D141" s="268">
        <f t="shared" ref="D141:L141" si="35">D127*D145</f>
        <v>1412.39406502656</v>
      </c>
      <c r="E141" s="268">
        <f t="shared" si="35"/>
        <v>1294.69455960768</v>
      </c>
      <c r="F141" s="268">
        <f t="shared" si="35"/>
        <v>1155.59514411264</v>
      </c>
      <c r="G141" s="268">
        <f t="shared" si="35"/>
        <v>2953.18759051008</v>
      </c>
      <c r="H141" s="268">
        <f t="shared" si="35"/>
        <v>2953.18759051008</v>
      </c>
      <c r="I141" s="268">
        <f t="shared" si="35"/>
        <v>2953.18759051008</v>
      </c>
      <c r="J141" s="268">
        <f t="shared" si="35"/>
        <v>10055.7051136819</v>
      </c>
      <c r="K141" s="268">
        <f t="shared" si="35"/>
        <v>10893.6805398221</v>
      </c>
      <c r="L141" s="268">
        <f t="shared" si="35"/>
        <v>0</v>
      </c>
      <c r="M141" s="268"/>
      <c r="N141" s="268"/>
      <c r="O141" s="268"/>
    </row>
    <row r="142" s="140" customFormat="1" spans="1:15">
      <c r="A142" s="303"/>
      <c r="B142" s="96" t="s">
        <v>265</v>
      </c>
      <c r="D142" s="268">
        <f t="shared" ref="D142:L142" si="36">D128*D145</f>
        <v>1176.9950541888</v>
      </c>
      <c r="E142" s="268">
        <f t="shared" si="36"/>
        <v>1294.69455960768</v>
      </c>
      <c r="F142" s="268">
        <f t="shared" si="36"/>
        <v>1059.29554876992</v>
      </c>
      <c r="G142" s="268">
        <f t="shared" si="36"/>
        <v>2707.08862463424</v>
      </c>
      <c r="H142" s="268">
        <f t="shared" si="36"/>
        <v>2707.08862463424</v>
      </c>
      <c r="I142" s="268">
        <f t="shared" si="36"/>
        <v>2707.08862463424</v>
      </c>
      <c r="J142" s="268">
        <f t="shared" si="36"/>
        <v>9217.72968754176</v>
      </c>
      <c r="K142" s="268">
        <f t="shared" si="36"/>
        <v>9985.87382817024</v>
      </c>
      <c r="L142" s="268">
        <f t="shared" si="36"/>
        <v>0</v>
      </c>
      <c r="M142" s="268"/>
      <c r="N142" s="268"/>
      <c r="O142" s="268"/>
    </row>
    <row r="143" s="140" customFormat="1" spans="1:15">
      <c r="A143" s="303"/>
      <c r="B143" s="96" t="s">
        <v>266</v>
      </c>
      <c r="D143" s="268">
        <f t="shared" ref="D143:L143" si="37">D129*D145</f>
        <v>823.89653793216</v>
      </c>
      <c r="E143" s="268">
        <f t="shared" si="37"/>
        <v>706.19703251328</v>
      </c>
      <c r="F143" s="268">
        <f t="shared" si="37"/>
        <v>1444.4939301408</v>
      </c>
      <c r="G143" s="268">
        <f t="shared" si="37"/>
        <v>1722.69276113088</v>
      </c>
      <c r="H143" s="268">
        <f t="shared" si="37"/>
        <v>1722.69276113088</v>
      </c>
      <c r="I143" s="268">
        <f t="shared" si="37"/>
        <v>1722.69276113088</v>
      </c>
      <c r="J143" s="268">
        <f t="shared" si="37"/>
        <v>2513.92627842048</v>
      </c>
      <c r="K143" s="268">
        <f t="shared" si="37"/>
        <v>2723.42013495552</v>
      </c>
      <c r="L143" s="268">
        <f t="shared" si="37"/>
        <v>0</v>
      </c>
      <c r="M143" s="268"/>
      <c r="N143" s="268"/>
      <c r="O143" s="268"/>
    </row>
    <row r="144" s="203" customFormat="1" spans="1:21">
      <c r="A144" s="303"/>
      <c r="B144" s="96" t="s">
        <v>267</v>
      </c>
      <c r="D144" s="268">
        <f t="shared" ref="D144:L144" si="38">D130*D145</f>
        <v>823.89653793216</v>
      </c>
      <c r="E144" s="268">
        <f t="shared" si="38"/>
        <v>588.4975270944</v>
      </c>
      <c r="F144" s="268">
        <f t="shared" si="38"/>
        <v>288.89878602816</v>
      </c>
      <c r="G144" s="268">
        <f t="shared" si="38"/>
        <v>1722.69276113088</v>
      </c>
      <c r="H144" s="268">
        <f t="shared" si="38"/>
        <v>1722.69276113088</v>
      </c>
      <c r="I144" s="268">
        <f t="shared" si="38"/>
        <v>1722.69276113088</v>
      </c>
      <c r="J144" s="268">
        <f t="shared" si="38"/>
        <v>2513.92627842048</v>
      </c>
      <c r="K144" s="268">
        <f t="shared" si="38"/>
        <v>2723.42013495552</v>
      </c>
      <c r="L144" s="268">
        <f t="shared" si="38"/>
        <v>0</v>
      </c>
      <c r="M144" s="268"/>
      <c r="N144" s="268"/>
      <c r="O144" s="268"/>
      <c r="P144" s="140"/>
      <c r="Q144" s="140"/>
      <c r="R144" s="140"/>
      <c r="S144" s="140"/>
      <c r="T144" s="140"/>
      <c r="U144" s="140"/>
    </row>
    <row r="145" s="203" customFormat="1" spans="1:21">
      <c r="A145" s="303"/>
      <c r="B145" s="96" t="s">
        <v>268</v>
      </c>
      <c r="D145" s="268">
        <f t="shared" ref="D145:L145" si="39">VLOOKUP(D71,TargetedMSMkt,IF(D72="[retail]",8,10),FALSE)</f>
        <v>11769.950541888</v>
      </c>
      <c r="E145" s="268">
        <f t="shared" si="39"/>
        <v>11769.950541888</v>
      </c>
      <c r="F145" s="268">
        <f t="shared" si="39"/>
        <v>9629.959534272</v>
      </c>
      <c r="G145" s="268">
        <f t="shared" si="39"/>
        <v>24609.896587584</v>
      </c>
      <c r="H145" s="268">
        <f t="shared" si="39"/>
        <v>24609.896587584</v>
      </c>
      <c r="I145" s="268">
        <f t="shared" si="39"/>
        <v>24609.896587584</v>
      </c>
      <c r="J145" s="268">
        <f t="shared" si="39"/>
        <v>83797.542614016</v>
      </c>
      <c r="K145" s="268">
        <f t="shared" si="39"/>
        <v>90780.671165184</v>
      </c>
      <c r="L145" s="268">
        <f t="shared" si="39"/>
        <v>0</v>
      </c>
      <c r="M145" s="268"/>
      <c r="N145" s="268"/>
      <c r="O145" s="268"/>
      <c r="P145" s="140"/>
      <c r="Q145" s="140"/>
      <c r="R145" s="140"/>
      <c r="S145" s="140"/>
      <c r="T145" s="140"/>
      <c r="U145" s="140"/>
    </row>
    <row r="146" s="203" customFormat="1" spans="1:21">
      <c r="A146" s="258"/>
      <c r="B146" s="262" t="s">
        <v>270</v>
      </c>
      <c r="D146" s="293" t="str">
        <f t="shared" ref="D146:L146" si="40">IF(D72="[wholesale]",D145/capacity,"")</f>
        <v/>
      </c>
      <c r="E146" s="293" t="str">
        <f t="shared" si="40"/>
        <v/>
      </c>
      <c r="F146" s="293" t="str">
        <f t="shared" si="40"/>
        <v/>
      </c>
      <c r="G146" s="293" t="str">
        <f t="shared" si="40"/>
        <v/>
      </c>
      <c r="H146" s="293" t="str">
        <f t="shared" si="40"/>
        <v/>
      </c>
      <c r="I146" s="293" t="str">
        <f t="shared" si="40"/>
        <v/>
      </c>
      <c r="J146" s="293">
        <f t="shared" si="40"/>
        <v>67.5786633984</v>
      </c>
      <c r="K146" s="293">
        <f t="shared" si="40"/>
        <v>73.2102186816</v>
      </c>
      <c r="L146" s="293" t="str">
        <f t="shared" si="40"/>
        <v/>
      </c>
      <c r="M146" s="293"/>
      <c r="N146" s="293"/>
      <c r="O146" s="293"/>
      <c r="P146" s="140"/>
      <c r="Q146" s="140"/>
      <c r="R146" s="140"/>
      <c r="S146" s="140"/>
      <c r="T146" s="140"/>
      <c r="U146" s="140"/>
    </row>
    <row r="147" s="140" customFormat="1" spans="1:19">
      <c r="A147" s="258"/>
      <c r="B147" s="262"/>
      <c r="C147" s="304" t="s">
        <v>142</v>
      </c>
      <c r="D147" s="266" t="s">
        <v>271</v>
      </c>
      <c r="E147" s="266"/>
      <c r="F147" s="266"/>
      <c r="G147" s="266"/>
      <c r="H147" s="266"/>
      <c r="I147" s="266"/>
      <c r="J147" s="266"/>
      <c r="K147" s="266"/>
      <c r="L147" s="266"/>
      <c r="M147" s="266"/>
      <c r="N147" s="266"/>
      <c r="O147" s="266"/>
      <c r="P147" s="308"/>
      <c r="R147" s="308"/>
      <c r="S147" s="308"/>
    </row>
    <row r="148" s="140" customFormat="1" spans="1:19">
      <c r="A148" s="261"/>
      <c r="B148" s="262" t="s">
        <v>256</v>
      </c>
      <c r="C148" s="297">
        <f t="shared" ref="C148:C159" si="41">SUM(D148:Z148)</f>
        <v>7</v>
      </c>
      <c r="D148" s="305">
        <f>ProductionFY2m(1,D71,VLOOKUP(D71,ProductsRangeMkt,3,FALSE),D133)</f>
        <v>0.315471698113208</v>
      </c>
      <c r="E148" s="305">
        <f>ProductionFY2m(1,E71,VLOOKUP(E71,ProductsRangeMkt,3,FALSE),E133)</f>
        <v>0.411822660098522</v>
      </c>
      <c r="F148" s="305">
        <f>ProductionFY2m(1,F71,VLOOKUP(F71,ProductsRangeMkt,3,FALSE),F133)</f>
        <v>0</v>
      </c>
      <c r="G148" s="305">
        <f>ProductionFY2m(1,G71,VLOOKUP(G71,ProductsRangeMkt,3,FALSE),G133)</f>
        <v>1</v>
      </c>
      <c r="H148" s="305">
        <f>ProductionFY2m(1,H71,VLOOKUP(H71,ProductsRangeMkt,3,FALSE),H133)</f>
        <v>1</v>
      </c>
      <c r="I148" s="305">
        <f>ProductionFY2m(1,I71,VLOOKUP(I71,ProductsRangeMkt,3,FALSE),I133)</f>
        <v>1</v>
      </c>
      <c r="J148" s="305">
        <f>ProductionFY2m(1,J71,VLOOKUP(J71,ProductsRangeMkt,3,FALSE),J133)</f>
        <v>1.68452830188679</v>
      </c>
      <c r="K148" s="305">
        <f>ProductionFY2m(1,K71,VLOOKUP(K71,ProductsRangeMkt,3,FALSE),K133)</f>
        <v>1.58817733990148</v>
      </c>
      <c r="L148" s="305">
        <f>ProductionFY2m(1,L71,VLOOKUP(L71,ProductsRangeMkt,3,FALSE),L133)</f>
        <v>0</v>
      </c>
      <c r="M148" s="305"/>
      <c r="N148" s="305"/>
      <c r="O148" s="305"/>
      <c r="P148" s="308"/>
      <c r="R148" s="308"/>
      <c r="S148" s="308"/>
    </row>
    <row r="149" s="140" customFormat="1" spans="1:19">
      <c r="A149" s="264"/>
      <c r="B149" s="262" t="s">
        <v>257</v>
      </c>
      <c r="C149" s="297">
        <f t="shared" si="41"/>
        <v>7</v>
      </c>
      <c r="D149" s="305">
        <f>ProductionFY2m(2,D71,VLOOKUP(D71,ProductsRangeMkt,3,FALSE),D134)</f>
        <v>0.315471698113208</v>
      </c>
      <c r="E149" s="305">
        <f>ProductionFY2m(2,E71,VLOOKUP(E71,ProductsRangeMkt,3,FALSE),E134)</f>
        <v>0.355381737799694</v>
      </c>
      <c r="F149" s="305">
        <f>ProductionFY2m(2,F71,VLOOKUP(F71,ProductsRangeMkt,3,FALSE),F134)</f>
        <v>0</v>
      </c>
      <c r="G149" s="305">
        <f>ProductionFY2m(2,G71,VLOOKUP(G71,ProductsRangeMkt,3,FALSE),G134)</f>
        <v>1</v>
      </c>
      <c r="H149" s="305">
        <f>ProductionFY2m(2,H71,VLOOKUP(H71,ProductsRangeMkt,3,FALSE),H134)</f>
        <v>1</v>
      </c>
      <c r="I149" s="305">
        <f>ProductionFY2m(2,I71,VLOOKUP(I71,ProductsRangeMkt,3,FALSE),I134)</f>
        <v>1</v>
      </c>
      <c r="J149" s="305">
        <f>ProductionFY2m(2,J71,VLOOKUP(J71,ProductsRangeMkt,3,FALSE),J134)</f>
        <v>1.68452830188679</v>
      </c>
      <c r="K149" s="305">
        <f>ProductionFY2m(2,K71,VLOOKUP(K71,ProductsRangeMkt,3,FALSE),K134)</f>
        <v>1.64461826220031</v>
      </c>
      <c r="L149" s="305">
        <f>ProductionFY2m(2,L71,VLOOKUP(L71,ProductsRangeMkt,3,FALSE),L134)</f>
        <v>0</v>
      </c>
      <c r="M149" s="305"/>
      <c r="N149" s="305"/>
      <c r="O149" s="305"/>
      <c r="P149" s="308"/>
      <c r="R149" s="308"/>
      <c r="S149" s="308"/>
    </row>
    <row r="150" s="140" customFormat="1" spans="1:19">
      <c r="A150" s="203"/>
      <c r="B150" s="96" t="s">
        <v>258</v>
      </c>
      <c r="C150" s="297">
        <f t="shared" si="41"/>
        <v>7</v>
      </c>
      <c r="D150" s="305">
        <f>ProductionFY2m(3,D71,VLOOKUP(D71,ProductsRangeMkt,3,FALSE),D135)</f>
        <v>0.315471698113208</v>
      </c>
      <c r="E150" s="305">
        <f>ProductionFY2m(3,E71,VLOOKUP(E71,ProductsRangeMkt,3,FALSE),E135)</f>
        <v>0.411822660098522</v>
      </c>
      <c r="F150" s="305">
        <f>ProductionFY2m(3,F71,VLOOKUP(F71,ProductsRangeMkt,3,FALSE),F135)</f>
        <v>0</v>
      </c>
      <c r="G150" s="305">
        <f>ProductionFY2m(3,G71,VLOOKUP(G71,ProductsRangeMkt,3,FALSE),G135)</f>
        <v>1</v>
      </c>
      <c r="H150" s="305">
        <f>ProductionFY2m(3,H71,VLOOKUP(H71,ProductsRangeMkt,3,FALSE),H135)</f>
        <v>1</v>
      </c>
      <c r="I150" s="305">
        <f>ProductionFY2m(3,I71,VLOOKUP(I71,ProductsRangeMkt,3,FALSE),I135)</f>
        <v>1</v>
      </c>
      <c r="J150" s="305">
        <f>ProductionFY2m(3,J71,VLOOKUP(J71,ProductsRangeMkt,3,FALSE),J135)</f>
        <v>1.68452830188679</v>
      </c>
      <c r="K150" s="305">
        <f>ProductionFY2m(3,K71,VLOOKUP(K71,ProductsRangeMkt,3,FALSE),K135)</f>
        <v>1.58817733990148</v>
      </c>
      <c r="L150" s="305">
        <f>ProductionFY2m(3,L71,VLOOKUP(L71,ProductsRangeMkt,3,FALSE),L135)</f>
        <v>0</v>
      </c>
      <c r="M150" s="305"/>
      <c r="N150" s="305"/>
      <c r="O150" s="305"/>
      <c r="P150" s="308"/>
      <c r="R150" s="308"/>
      <c r="S150" s="308"/>
    </row>
    <row r="151" s="140" customFormat="1" spans="1:19">
      <c r="A151" s="203"/>
      <c r="B151" s="96" t="s">
        <v>259</v>
      </c>
      <c r="C151" s="297">
        <f t="shared" si="41"/>
        <v>19</v>
      </c>
      <c r="D151" s="305">
        <f>ProductionFY2m(4,D71,VLOOKUP(D71,ProductsRangeMkt,3,FALSE),D136)</f>
        <v>0.388746803069054</v>
      </c>
      <c r="E151" s="305">
        <f>ProductionFY2m(4,E71,VLOOKUP(E71,ProductsRangeMkt,3,FALSE),E136)</f>
        <v>0.528389339513326</v>
      </c>
      <c r="F151" s="305">
        <f>ProductionFY2m(4,F71,VLOOKUP(F71,ProductsRangeMkt,3,FALSE),F136)</f>
        <v>0</v>
      </c>
      <c r="G151" s="305">
        <f>ProductionFY2m(4,G71,VLOOKUP(G71,ProductsRangeMkt,3,FALSE),G136)</f>
        <v>1</v>
      </c>
      <c r="H151" s="305">
        <f>ProductionFY2m(4,H71,VLOOKUP(H71,ProductsRangeMkt,3,FALSE),H136)</f>
        <v>1</v>
      </c>
      <c r="I151" s="305">
        <f>ProductionFY2m(4,I71,VLOOKUP(I71,ProductsRangeMkt,3,FALSE),I136)</f>
        <v>1</v>
      </c>
      <c r="J151" s="305">
        <f>ProductionFY2m(4,J71,VLOOKUP(J71,ProductsRangeMkt,3,FALSE),J136)</f>
        <v>7.61125319693095</v>
      </c>
      <c r="K151" s="305">
        <f>ProductionFY2m(4,K71,VLOOKUP(K71,ProductsRangeMkt,3,FALSE),K136)</f>
        <v>7.47161066048667</v>
      </c>
      <c r="L151" s="305">
        <f>ProductionFY2m(4,L71,VLOOKUP(L71,ProductsRangeMkt,3,FALSE),L136)</f>
        <v>0</v>
      </c>
      <c r="M151" s="305"/>
      <c r="N151" s="305"/>
      <c r="O151" s="305"/>
      <c r="P151" s="308"/>
      <c r="R151" s="308"/>
      <c r="S151" s="308"/>
    </row>
    <row r="152" s="140" customFormat="1" spans="1:19">
      <c r="A152" s="203"/>
      <c r="B152" s="96" t="s">
        <v>260</v>
      </c>
      <c r="C152" s="297">
        <f t="shared" si="41"/>
        <v>24</v>
      </c>
      <c r="D152" s="305">
        <f>ProductionFY2m(5,D71,VLOOKUP(D71,ProductsRangeMkt,3,FALSE),D137)</f>
        <v>1.06293706293706</v>
      </c>
      <c r="E152" s="305">
        <f>ProductionFY2m(5,E71,VLOOKUP(E71,ProductsRangeMkt,3,FALSE),E137)</f>
        <v>1.0329489291598</v>
      </c>
      <c r="F152" s="305">
        <f>ProductionFY2m(5,F71,VLOOKUP(F71,ProductsRangeMkt,3,FALSE),F137)</f>
        <v>1</v>
      </c>
      <c r="G152" s="305">
        <f>ProductionFY2m(5,G71,VLOOKUP(G71,ProductsRangeMkt,3,FALSE),G137)</f>
        <v>2</v>
      </c>
      <c r="H152" s="305">
        <f>ProductionFY2m(5,H71,VLOOKUP(H71,ProductsRangeMkt,3,FALSE),H137)</f>
        <v>2</v>
      </c>
      <c r="I152" s="305">
        <f>ProductionFY2m(5,I71,VLOOKUP(I71,ProductsRangeMkt,3,FALSE),I137)</f>
        <v>2</v>
      </c>
      <c r="J152" s="305">
        <f>ProductionFY2m(5,J71,VLOOKUP(J71,ProductsRangeMkt,3,FALSE),J137)</f>
        <v>6.93706293706294</v>
      </c>
      <c r="K152" s="305">
        <f>ProductionFY2m(5,K71,VLOOKUP(K71,ProductsRangeMkt,3,FALSE),K137)</f>
        <v>7.9670510708402</v>
      </c>
      <c r="L152" s="305">
        <f>ProductionFY2m(5,L71,VLOOKUP(L71,ProductsRangeMkt,3,FALSE),L137)</f>
        <v>0</v>
      </c>
      <c r="M152" s="305"/>
      <c r="N152" s="305"/>
      <c r="O152" s="305"/>
      <c r="P152" s="308"/>
      <c r="R152" s="308"/>
      <c r="S152" s="308"/>
    </row>
    <row r="153" s="140" customFormat="1" spans="2:19">
      <c r="B153" s="96" t="s">
        <v>261</v>
      </c>
      <c r="C153" s="297">
        <f t="shared" si="41"/>
        <v>28</v>
      </c>
      <c r="D153" s="305">
        <f>ProductionFY2m(6,D71,VLOOKUP(D71,ProductsRangeMkt,3,FALSE),D138)</f>
        <v>1.0745501285347</v>
      </c>
      <c r="E153" s="305">
        <f>ProductionFY2m(6,E71,VLOOKUP(E71,ProductsRangeMkt,3,FALSE),E138)</f>
        <v>1.01697028189971</v>
      </c>
      <c r="F153" s="305">
        <f>ProductionFY2m(6,F71,VLOOKUP(F71,ProductsRangeMkt,3,FALSE),F138)</f>
        <v>1</v>
      </c>
      <c r="G153" s="305">
        <f>ProductionFY2m(6,G71,VLOOKUP(G71,ProductsRangeMkt,3,FALSE),G138)</f>
        <v>2</v>
      </c>
      <c r="H153" s="305">
        <f>ProductionFY2m(6,H71,VLOOKUP(H71,ProductsRangeMkt,3,FALSE),H138)</f>
        <v>2</v>
      </c>
      <c r="I153" s="305">
        <f>ProductionFY2m(6,I71,VLOOKUP(I71,ProductsRangeMkt,3,FALSE),I138)</f>
        <v>2</v>
      </c>
      <c r="J153" s="305">
        <f>ProductionFY2m(6,J71,VLOOKUP(J71,ProductsRangeMkt,3,FALSE),J138)</f>
        <v>8.92544987146529</v>
      </c>
      <c r="K153" s="305">
        <f>ProductionFY2m(6,K71,VLOOKUP(K71,ProductsRangeMkt,3,FALSE),K138)</f>
        <v>9.98302971810029</v>
      </c>
      <c r="L153" s="305">
        <f>ProductionFY2m(6,L71,VLOOKUP(L71,ProductsRangeMkt,3,FALSE),L138)</f>
        <v>0</v>
      </c>
      <c r="M153" s="305"/>
      <c r="N153" s="305"/>
      <c r="O153" s="305"/>
      <c r="P153" s="308"/>
      <c r="R153" s="308"/>
      <c r="S153" s="308"/>
    </row>
    <row r="154" s="140" customFormat="1" spans="2:19">
      <c r="B154" s="96" t="s">
        <v>262</v>
      </c>
      <c r="C154" s="297">
        <f t="shared" si="41"/>
        <v>28</v>
      </c>
      <c r="D154" s="305">
        <f>ProductionFY2m(7,D71,VLOOKUP(D71,ProductsRangeMkt,3,FALSE),D139)</f>
        <v>1.0745501285347</v>
      </c>
      <c r="E154" s="305">
        <f>ProductionFY2m(7,E71,VLOOKUP(E71,ProductsRangeMkt,3,FALSE),E139)</f>
        <v>1.01697028189971</v>
      </c>
      <c r="F154" s="305">
        <f>ProductionFY2m(7,F71,VLOOKUP(F71,ProductsRangeMkt,3,FALSE),F139)</f>
        <v>1</v>
      </c>
      <c r="G154" s="305">
        <f>ProductionFY2m(7,G71,VLOOKUP(G71,ProductsRangeMkt,3,FALSE),G139)</f>
        <v>2</v>
      </c>
      <c r="H154" s="305">
        <f>ProductionFY2m(7,H71,VLOOKUP(H71,ProductsRangeMkt,3,FALSE),H139)</f>
        <v>2</v>
      </c>
      <c r="I154" s="305">
        <f>ProductionFY2m(7,I71,VLOOKUP(I71,ProductsRangeMkt,3,FALSE),I139)</f>
        <v>2</v>
      </c>
      <c r="J154" s="305">
        <f>ProductionFY2m(7,J71,VLOOKUP(J71,ProductsRangeMkt,3,FALSE),J139)</f>
        <v>8.92544987146529</v>
      </c>
      <c r="K154" s="305">
        <f>ProductionFY2m(7,K71,VLOOKUP(K71,ProductsRangeMkt,3,FALSE),K139)</f>
        <v>9.98302971810029</v>
      </c>
      <c r="L154" s="305">
        <f>ProductionFY2m(7,L71,VLOOKUP(L71,ProductsRangeMkt,3,FALSE),L139)</f>
        <v>0</v>
      </c>
      <c r="M154" s="305"/>
      <c r="N154" s="305"/>
      <c r="O154" s="305"/>
      <c r="P154" s="308"/>
      <c r="R154" s="308"/>
      <c r="S154" s="308"/>
    </row>
    <row r="155" s="140" customFormat="1" spans="2:19">
      <c r="B155" s="96" t="s">
        <v>263</v>
      </c>
      <c r="C155" s="297">
        <f t="shared" si="41"/>
        <v>26</v>
      </c>
      <c r="D155" s="305">
        <f>ProductionFY2m(8,D71,VLOOKUP(D71,ProductsRangeMkt,3,FALSE),D140)</f>
        <v>1.10842663523866</v>
      </c>
      <c r="E155" s="305">
        <f>ProductionFY2m(8,E71,VLOOKUP(E71,ProductsRangeMkt,3,FALSE),E140)</f>
        <v>1.06223721295569</v>
      </c>
      <c r="F155" s="305">
        <f>ProductionFY2m(8,F71,VLOOKUP(F71,ProductsRangeMkt,3,FALSE),F140)</f>
        <v>1</v>
      </c>
      <c r="G155" s="305">
        <f>ProductionFY2m(8,G71,VLOOKUP(G71,ProductsRangeMkt,3,FALSE),G140)</f>
        <v>2</v>
      </c>
      <c r="H155" s="305">
        <f>ProductionFY2m(8,H71,VLOOKUP(H71,ProductsRangeMkt,3,FALSE),H140)</f>
        <v>2</v>
      </c>
      <c r="I155" s="305">
        <f>ProductionFY2m(8,I71,VLOOKUP(I71,ProductsRangeMkt,3,FALSE),I140)</f>
        <v>2</v>
      </c>
      <c r="J155" s="305">
        <f>ProductionFY2m(8,J71,VLOOKUP(J71,ProductsRangeMkt,3,FALSE),J140)</f>
        <v>7.89157336476134</v>
      </c>
      <c r="K155" s="305">
        <f>ProductionFY2m(8,K71,VLOOKUP(K71,ProductsRangeMkt,3,FALSE),K140)</f>
        <v>8.93776278704431</v>
      </c>
      <c r="L155" s="305">
        <f>ProductionFY2m(8,L71,VLOOKUP(L71,ProductsRangeMkt,3,FALSE),L140)</f>
        <v>0</v>
      </c>
      <c r="M155" s="305"/>
      <c r="N155" s="305"/>
      <c r="O155" s="305"/>
      <c r="P155" s="308"/>
      <c r="R155" s="308"/>
      <c r="S155" s="308"/>
    </row>
    <row r="156" s="140" customFormat="1" spans="2:19">
      <c r="B156" s="96" t="s">
        <v>264</v>
      </c>
      <c r="C156" s="297">
        <f t="shared" si="41"/>
        <v>26</v>
      </c>
      <c r="D156" s="305">
        <f>ProductionFY2m(9,D71,VLOOKUP(D71,ProductsRangeMkt,3,FALSE),D141)</f>
        <v>1.10842663523866</v>
      </c>
      <c r="E156" s="305">
        <f>ProductionFY2m(9,E71,VLOOKUP(E71,ProductsRangeMkt,3,FALSE),E141)</f>
        <v>1.06223721295569</v>
      </c>
      <c r="F156" s="305">
        <f>ProductionFY2m(9,F71,VLOOKUP(F71,ProductsRangeMkt,3,FALSE),F141)</f>
        <v>1</v>
      </c>
      <c r="G156" s="305">
        <f>ProductionFY2m(9,G71,VLOOKUP(G71,ProductsRangeMkt,3,FALSE),G141)</f>
        <v>2</v>
      </c>
      <c r="H156" s="305">
        <f>ProductionFY2m(9,H71,VLOOKUP(H71,ProductsRangeMkt,3,FALSE),H141)</f>
        <v>2</v>
      </c>
      <c r="I156" s="305">
        <f>ProductionFY2m(9,I71,VLOOKUP(I71,ProductsRangeMkt,3,FALSE),I141)</f>
        <v>2</v>
      </c>
      <c r="J156" s="305">
        <f>ProductionFY2m(9,J71,VLOOKUP(J71,ProductsRangeMkt,3,FALSE),J141)</f>
        <v>7.89157336476134</v>
      </c>
      <c r="K156" s="305">
        <f>ProductionFY2m(9,K71,VLOOKUP(K71,ProductsRangeMkt,3,FALSE),K141)</f>
        <v>8.93776278704431</v>
      </c>
      <c r="L156" s="305">
        <f>ProductionFY2m(9,L71,VLOOKUP(L71,ProductsRangeMkt,3,FALSE),L141)</f>
        <v>0</v>
      </c>
      <c r="M156" s="305"/>
      <c r="N156" s="305"/>
      <c r="O156" s="305"/>
      <c r="P156" s="308"/>
      <c r="R156" s="308"/>
      <c r="S156" s="308"/>
    </row>
    <row r="157" s="140" customFormat="1" spans="2:19">
      <c r="B157" s="96" t="s">
        <v>265</v>
      </c>
      <c r="C157" s="297">
        <f t="shared" si="41"/>
        <v>24</v>
      </c>
      <c r="D157" s="305">
        <f>ProductionFY2m(10,D71,VLOOKUP(D71,ProductsRangeMkt,3,FALSE),D142)</f>
        <v>0.905840286054827</v>
      </c>
      <c r="E157" s="305">
        <f>ProductionFY2m(10,E71,VLOOKUP(E71,ProductsRangeMkt,3,FALSE),E142)</f>
        <v>1.0329489291598</v>
      </c>
      <c r="F157" s="305">
        <f>ProductionFY2m(10,F71,VLOOKUP(F71,ProductsRangeMkt,3,FALSE),F142)</f>
        <v>1</v>
      </c>
      <c r="G157" s="305">
        <f>ProductionFY2m(10,G71,VLOOKUP(G71,ProductsRangeMkt,3,FALSE),G142)</f>
        <v>2</v>
      </c>
      <c r="H157" s="305">
        <f>ProductionFY2m(10,H71,VLOOKUP(H71,ProductsRangeMkt,3,FALSE),H142)</f>
        <v>2</v>
      </c>
      <c r="I157" s="305">
        <f>ProductionFY2m(10,I71,VLOOKUP(I71,ProductsRangeMkt,3,FALSE),I142)</f>
        <v>2</v>
      </c>
      <c r="J157" s="305">
        <f>ProductionFY2m(10,J71,VLOOKUP(J71,ProductsRangeMkt,3,FALSE),J142)</f>
        <v>7.09415971394517</v>
      </c>
      <c r="K157" s="305">
        <f>ProductionFY2m(10,K71,VLOOKUP(K71,ProductsRangeMkt,3,FALSE),K142)</f>
        <v>7.9670510708402</v>
      </c>
      <c r="L157" s="305">
        <f>ProductionFY2m(10,L71,VLOOKUP(L71,ProductsRangeMkt,3,FALSE),L142)</f>
        <v>0</v>
      </c>
      <c r="M157" s="305"/>
      <c r="N157" s="305"/>
      <c r="O157" s="305"/>
      <c r="P157" s="308"/>
      <c r="R157" s="308"/>
      <c r="S157" s="308"/>
    </row>
    <row r="158" s="140" customFormat="1" spans="2:19">
      <c r="B158" s="96" t="s">
        <v>266</v>
      </c>
      <c r="C158" s="297">
        <f t="shared" si="41"/>
        <v>8</v>
      </c>
      <c r="D158" s="305">
        <f>ProductionFY2m(11,D71,VLOOKUP(D71,ProductsRangeMkt,3,FALSE),D143)</f>
        <v>0.493673021764805</v>
      </c>
      <c r="E158" s="305">
        <f>ProductionFY2m(11,E71,VLOOKUP(E71,ProductsRangeMkt,3,FALSE),E143)</f>
        <v>0.411822660098522</v>
      </c>
      <c r="F158" s="305">
        <f>ProductionFY2m(11,F71,VLOOKUP(F71,ProductsRangeMkt,3,FALSE),F143)</f>
        <v>1</v>
      </c>
      <c r="G158" s="305">
        <f>ProductionFY2m(11,G71,VLOOKUP(G71,ProductsRangeMkt,3,FALSE),G143)</f>
        <v>1</v>
      </c>
      <c r="H158" s="305">
        <f>ProductionFY2m(11,H71,VLOOKUP(H71,ProductsRangeMkt,3,FALSE),H143)</f>
        <v>1</v>
      </c>
      <c r="I158" s="305">
        <f>ProductionFY2m(11,I71,VLOOKUP(I71,ProductsRangeMkt,3,FALSE),I143)</f>
        <v>1</v>
      </c>
      <c r="J158" s="305">
        <f>ProductionFY2m(11,J71,VLOOKUP(J71,ProductsRangeMkt,3,FALSE),J143)</f>
        <v>1.50632697823519</v>
      </c>
      <c r="K158" s="305">
        <f>ProductionFY2m(11,K71,VLOOKUP(K71,ProductsRangeMkt,3,FALSE),K143)</f>
        <v>1.58817733990148</v>
      </c>
      <c r="L158" s="305">
        <f>ProductionFY2m(11,L71,VLOOKUP(L71,ProductsRangeMkt,3,FALSE),L143)</f>
        <v>0</v>
      </c>
      <c r="M158" s="305"/>
      <c r="N158" s="305"/>
      <c r="O158" s="305"/>
      <c r="P158" s="308"/>
      <c r="R158" s="308"/>
      <c r="S158" s="308"/>
    </row>
    <row r="159" s="140" customFormat="1" spans="2:19">
      <c r="B159" s="96" t="s">
        <v>267</v>
      </c>
      <c r="C159" s="297">
        <f t="shared" si="41"/>
        <v>7</v>
      </c>
      <c r="D159" s="305">
        <f>ProductionFY2m(12,D71,VLOOKUP(D71,ProductsRangeMkt,3,FALSE),D144)</f>
        <v>0.493673021764805</v>
      </c>
      <c r="E159" s="305">
        <f>ProductionFY2m(12,E71,VLOOKUP(E71,ProductsRangeMkt,3,FALSE),E144)</f>
        <v>0.355381737799694</v>
      </c>
      <c r="F159" s="305">
        <f>ProductionFY2m(12,F71,VLOOKUP(F71,ProductsRangeMkt,3,FALSE),F144)</f>
        <v>0</v>
      </c>
      <c r="G159" s="305">
        <f>ProductionFY2m(12,G71,VLOOKUP(G71,ProductsRangeMkt,3,FALSE),G144)</f>
        <v>1</v>
      </c>
      <c r="H159" s="305">
        <f>ProductionFY2m(12,H71,VLOOKUP(H71,ProductsRangeMkt,3,FALSE),H144)</f>
        <v>1</v>
      </c>
      <c r="I159" s="305">
        <f>ProductionFY2m(12,I71,VLOOKUP(I71,ProductsRangeMkt,3,FALSE),I144)</f>
        <v>1</v>
      </c>
      <c r="J159" s="305">
        <f>ProductionFY2m(12,J71,VLOOKUP(J71,ProductsRangeMkt,3,FALSE),J144)</f>
        <v>1.50632697823519</v>
      </c>
      <c r="K159" s="305">
        <f>ProductionFY2m(12,K71,VLOOKUP(K71,ProductsRangeMkt,3,FALSE),K144)</f>
        <v>1.64461826220031</v>
      </c>
      <c r="L159" s="305">
        <f>ProductionFY2m(12,L71,VLOOKUP(L71,ProductsRangeMkt,3,FALSE),L144)</f>
        <v>0</v>
      </c>
      <c r="M159" s="305"/>
      <c r="N159" s="305"/>
      <c r="O159" s="305"/>
      <c r="P159" s="308"/>
      <c r="R159" s="308"/>
      <c r="S159" s="308"/>
    </row>
    <row r="160" s="203" customFormat="1" spans="1:19">
      <c r="A160" s="298" t="s">
        <v>272</v>
      </c>
      <c r="C160" s="262" t="s">
        <v>117</v>
      </c>
      <c r="D160" s="299">
        <f t="shared" ref="D160:L160" si="42">SUM(D133:D144)</f>
        <v>11769.950541888</v>
      </c>
      <c r="E160" s="300">
        <f t="shared" si="42"/>
        <v>11769.950541888</v>
      </c>
      <c r="F160" s="300">
        <f t="shared" si="42"/>
        <v>9629.959534272</v>
      </c>
      <c r="G160" s="300">
        <f t="shared" si="42"/>
        <v>24609.896587584</v>
      </c>
      <c r="H160" s="300">
        <f t="shared" si="42"/>
        <v>24609.896587584</v>
      </c>
      <c r="I160" s="300">
        <f t="shared" si="42"/>
        <v>24609.896587584</v>
      </c>
      <c r="J160" s="300">
        <f t="shared" si="42"/>
        <v>83797.542614016</v>
      </c>
      <c r="K160" s="300">
        <f t="shared" si="42"/>
        <v>90780.671165184</v>
      </c>
      <c r="L160" s="300">
        <f t="shared" si="42"/>
        <v>0</v>
      </c>
      <c r="M160" s="300"/>
      <c r="N160" s="300"/>
      <c r="O160" s="309"/>
      <c r="P160" s="308"/>
      <c r="Q160" s="140"/>
      <c r="R160" s="308"/>
      <c r="S160" s="308"/>
    </row>
    <row r="161" s="203" customFormat="1" spans="1:19">
      <c r="A161" s="298" t="s">
        <v>273</v>
      </c>
      <c r="C161" s="262" t="s">
        <v>117</v>
      </c>
      <c r="D161" s="299">
        <f t="shared" ref="D161:L161" si="43">SUM(D148:D159)*capacity</f>
        <v>10734.9761336714</v>
      </c>
      <c r="E161" s="299">
        <f t="shared" si="43"/>
        <v>10786.677717864</v>
      </c>
      <c r="F161" s="299">
        <f t="shared" si="43"/>
        <v>8680</v>
      </c>
      <c r="G161" s="299">
        <f t="shared" si="43"/>
        <v>22320</v>
      </c>
      <c r="H161" s="299">
        <f t="shared" si="43"/>
        <v>22320</v>
      </c>
      <c r="I161" s="299">
        <f t="shared" si="43"/>
        <v>22320</v>
      </c>
      <c r="J161" s="299">
        <f t="shared" si="43"/>
        <v>78545.0238663286</v>
      </c>
      <c r="K161" s="299">
        <f t="shared" si="43"/>
        <v>85933.322282136</v>
      </c>
      <c r="L161" s="299">
        <f t="shared" si="43"/>
        <v>0</v>
      </c>
      <c r="M161" s="299"/>
      <c r="N161" s="299"/>
      <c r="O161" s="299"/>
      <c r="P161" s="308"/>
      <c r="Q161" s="140"/>
      <c r="R161" s="308"/>
      <c r="S161" s="308"/>
    </row>
    <row r="162" s="203" customFormat="1" spans="1:19">
      <c r="A162" s="298" t="s">
        <v>274</v>
      </c>
      <c r="C162" s="262" t="s">
        <v>117</v>
      </c>
      <c r="D162" s="299">
        <f t="shared" ref="D162:L162" si="44">D160-D161</f>
        <v>1034.97440821665</v>
      </c>
      <c r="E162" s="300">
        <f t="shared" si="44"/>
        <v>983.272824024041</v>
      </c>
      <c r="F162" s="300">
        <f t="shared" si="44"/>
        <v>949.959534272</v>
      </c>
      <c r="G162" s="300">
        <f t="shared" si="44"/>
        <v>2289.89658758401</v>
      </c>
      <c r="H162" s="300">
        <f t="shared" si="44"/>
        <v>2289.89658758401</v>
      </c>
      <c r="I162" s="300">
        <f t="shared" si="44"/>
        <v>2289.89658758401</v>
      </c>
      <c r="J162" s="300">
        <f t="shared" si="44"/>
        <v>5252.51874768737</v>
      </c>
      <c r="K162" s="300">
        <f t="shared" si="44"/>
        <v>4847.34888304799</v>
      </c>
      <c r="L162" s="300">
        <f t="shared" si="44"/>
        <v>0</v>
      </c>
      <c r="M162" s="300"/>
      <c r="N162" s="300"/>
      <c r="O162" s="300"/>
      <c r="P162" s="308"/>
      <c r="Q162" s="140"/>
      <c r="R162" s="308"/>
      <c r="S162" s="308"/>
    </row>
    <row r="163" s="202" customFormat="1" spans="1:48">
      <c r="A163" s="258"/>
      <c r="B163" s="259" t="s">
        <v>105</v>
      </c>
      <c r="C163" s="259"/>
      <c r="D163" s="260" t="s">
        <v>255</v>
      </c>
      <c r="E163" s="260"/>
      <c r="F163" s="260"/>
      <c r="G163" s="260"/>
      <c r="H163" s="260"/>
      <c r="I163" s="260"/>
      <c r="J163" s="260"/>
      <c r="K163" s="260"/>
      <c r="L163" s="260"/>
      <c r="M163" s="260"/>
      <c r="N163" s="260"/>
      <c r="O163" s="26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row>
    <row r="164" s="202" customFormat="1" spans="1:48">
      <c r="A164" s="261"/>
      <c r="B164" s="262" t="s">
        <v>256</v>
      </c>
      <c r="C164" s="203"/>
      <c r="D164" s="263">
        <v>0.04</v>
      </c>
      <c r="E164" s="263">
        <v>0.06</v>
      </c>
      <c r="F164" s="263">
        <v>0.06</v>
      </c>
      <c r="G164" s="263">
        <v>0.05</v>
      </c>
      <c r="H164" s="263">
        <v>0.05</v>
      </c>
      <c r="I164" s="263">
        <v>0.05</v>
      </c>
      <c r="J164" s="263">
        <v>0.03</v>
      </c>
      <c r="K164" s="263">
        <v>0.03</v>
      </c>
      <c r="L164" s="457"/>
      <c r="M164" s="457"/>
      <c r="N164" s="457"/>
      <c r="O164" s="457"/>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row>
    <row r="165" s="202" customFormat="1" spans="1:48">
      <c r="A165" s="264"/>
      <c r="B165" s="262" t="s">
        <v>257</v>
      </c>
      <c r="C165" s="203"/>
      <c r="D165" s="263">
        <v>0.04</v>
      </c>
      <c r="E165" s="263">
        <v>0.05</v>
      </c>
      <c r="F165" s="263">
        <v>0.06</v>
      </c>
      <c r="G165" s="263">
        <v>0.05</v>
      </c>
      <c r="H165" s="263">
        <v>0.05</v>
      </c>
      <c r="I165" s="263">
        <v>0.05</v>
      </c>
      <c r="J165" s="263">
        <v>0.03</v>
      </c>
      <c r="K165" s="263">
        <v>0.03</v>
      </c>
      <c r="L165" s="457"/>
      <c r="M165" s="457"/>
      <c r="N165" s="457"/>
      <c r="O165" s="457"/>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row>
    <row r="166" s="202" customFormat="1" spans="1:48">
      <c r="A166" s="203"/>
      <c r="B166" s="96" t="s">
        <v>258</v>
      </c>
      <c r="C166" s="203"/>
      <c r="D166" s="263">
        <v>0.04</v>
      </c>
      <c r="E166" s="263">
        <v>0.06</v>
      </c>
      <c r="F166" s="263">
        <v>0.06</v>
      </c>
      <c r="G166" s="263">
        <v>0.06</v>
      </c>
      <c r="H166" s="263">
        <v>0.06</v>
      </c>
      <c r="I166" s="263">
        <v>0.06</v>
      </c>
      <c r="J166" s="263">
        <v>0.03</v>
      </c>
      <c r="K166" s="263">
        <v>0.03</v>
      </c>
      <c r="L166" s="457"/>
      <c r="M166" s="457"/>
      <c r="N166" s="457"/>
      <c r="O166" s="457"/>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row>
    <row r="167" s="203" customFormat="1" spans="2:48">
      <c r="B167" s="96" t="s">
        <v>259</v>
      </c>
      <c r="D167" s="263">
        <v>0.04</v>
      </c>
      <c r="E167" s="263">
        <v>0.06</v>
      </c>
      <c r="F167" s="263">
        <v>0.06</v>
      </c>
      <c r="G167" s="263">
        <v>0.07</v>
      </c>
      <c r="H167" s="263">
        <v>0.07</v>
      </c>
      <c r="I167" s="263">
        <v>0.07</v>
      </c>
      <c r="J167" s="263">
        <v>0.11</v>
      </c>
      <c r="K167" s="263">
        <v>0.11</v>
      </c>
      <c r="L167" s="457"/>
      <c r="M167" s="457"/>
      <c r="N167" s="457"/>
      <c r="O167" s="457"/>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row>
    <row r="168" s="203" customFormat="1" spans="2:48">
      <c r="B168" s="96" t="s">
        <v>260</v>
      </c>
      <c r="D168" s="263">
        <v>0.12</v>
      </c>
      <c r="E168" s="263">
        <v>0.11</v>
      </c>
      <c r="F168" s="263">
        <v>0.11</v>
      </c>
      <c r="G168" s="263">
        <v>0.08</v>
      </c>
      <c r="H168" s="263">
        <v>0.08</v>
      </c>
      <c r="I168" s="263">
        <v>0.08</v>
      </c>
      <c r="J168" s="263">
        <v>0.11</v>
      </c>
      <c r="K168" s="263">
        <v>0.11</v>
      </c>
      <c r="L168" s="457"/>
      <c r="M168" s="457"/>
      <c r="N168" s="457"/>
      <c r="O168" s="457"/>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row>
    <row r="169" s="203" customFormat="1" spans="1:48">
      <c r="A169" s="140"/>
      <c r="B169" s="96" t="s">
        <v>261</v>
      </c>
      <c r="D169" s="263">
        <v>0.12</v>
      </c>
      <c r="E169" s="263">
        <v>0.11</v>
      </c>
      <c r="F169" s="263">
        <v>0.1</v>
      </c>
      <c r="G169" s="263">
        <v>0.1</v>
      </c>
      <c r="H169" s="263">
        <v>0.1</v>
      </c>
      <c r="I169" s="263">
        <v>0.1</v>
      </c>
      <c r="J169" s="263">
        <v>0.14</v>
      </c>
      <c r="K169" s="263">
        <v>0.14</v>
      </c>
      <c r="L169" s="457"/>
      <c r="M169" s="457"/>
      <c r="N169" s="457"/>
      <c r="O169" s="457"/>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row>
    <row r="170" s="203" customFormat="1" spans="1:48">
      <c r="A170" s="140"/>
      <c r="B170" s="96" t="s">
        <v>262</v>
      </c>
      <c r="D170" s="263">
        <v>0.12</v>
      </c>
      <c r="E170" s="263">
        <v>0.11</v>
      </c>
      <c r="F170" s="263">
        <v>0.1</v>
      </c>
      <c r="G170" s="263">
        <v>0.1</v>
      </c>
      <c r="H170" s="263">
        <v>0.1</v>
      </c>
      <c r="I170" s="263">
        <v>0.1</v>
      </c>
      <c r="J170" s="263">
        <v>0.14</v>
      </c>
      <c r="K170" s="263">
        <v>0.14</v>
      </c>
      <c r="L170" s="457"/>
      <c r="M170" s="457"/>
      <c r="N170" s="457"/>
      <c r="O170" s="457"/>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row>
    <row r="171" s="203" customFormat="1" spans="1:48">
      <c r="A171" s="140"/>
      <c r="B171" s="96" t="s">
        <v>263</v>
      </c>
      <c r="D171" s="263">
        <v>0.12</v>
      </c>
      <c r="E171" s="263">
        <v>0.11</v>
      </c>
      <c r="F171" s="263">
        <v>0.1</v>
      </c>
      <c r="G171" s="263">
        <v>0.12</v>
      </c>
      <c r="H171" s="263">
        <v>0.12</v>
      </c>
      <c r="I171" s="263">
        <v>0.12</v>
      </c>
      <c r="J171" s="263">
        <v>0.12</v>
      </c>
      <c r="K171" s="263">
        <v>0.12</v>
      </c>
      <c r="L171" s="457"/>
      <c r="M171" s="457"/>
      <c r="N171" s="457"/>
      <c r="O171" s="457"/>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row>
    <row r="172" s="203" customFormat="1" spans="1:48">
      <c r="A172" s="140"/>
      <c r="B172" s="96" t="s">
        <v>264</v>
      </c>
      <c r="D172" s="263">
        <v>0.12</v>
      </c>
      <c r="E172" s="263">
        <v>0.11</v>
      </c>
      <c r="F172" s="263">
        <v>0.1</v>
      </c>
      <c r="G172" s="263">
        <v>0.12</v>
      </c>
      <c r="H172" s="263">
        <v>0.12</v>
      </c>
      <c r="I172" s="263">
        <v>0.12</v>
      </c>
      <c r="J172" s="263">
        <v>0.12</v>
      </c>
      <c r="K172" s="263">
        <v>0.12</v>
      </c>
      <c r="L172" s="457"/>
      <c r="M172" s="457"/>
      <c r="N172" s="457"/>
      <c r="O172" s="457"/>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row>
    <row r="173" s="203" customFormat="1" spans="1:48">
      <c r="A173" s="140"/>
      <c r="B173" s="96" t="s">
        <v>265</v>
      </c>
      <c r="D173" s="263">
        <v>0.1</v>
      </c>
      <c r="E173" s="263">
        <v>0.11</v>
      </c>
      <c r="F173" s="263">
        <v>0.1</v>
      </c>
      <c r="G173" s="263">
        <v>0.11</v>
      </c>
      <c r="H173" s="263">
        <v>0.11</v>
      </c>
      <c r="I173" s="263">
        <v>0.11</v>
      </c>
      <c r="J173" s="263">
        <v>0.11</v>
      </c>
      <c r="K173" s="263">
        <v>0.11</v>
      </c>
      <c r="L173" s="457"/>
      <c r="M173" s="457"/>
      <c r="N173" s="457"/>
      <c r="O173" s="457"/>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row>
    <row r="174" s="203" customFormat="1" spans="1:48">
      <c r="A174" s="140"/>
      <c r="B174" s="96" t="s">
        <v>266</v>
      </c>
      <c r="D174" s="263">
        <v>0.07</v>
      </c>
      <c r="E174" s="263">
        <v>0.06</v>
      </c>
      <c r="F174" s="263">
        <v>0.12</v>
      </c>
      <c r="G174" s="263">
        <v>0.07</v>
      </c>
      <c r="H174" s="263">
        <v>0.07</v>
      </c>
      <c r="I174" s="263">
        <v>0.07</v>
      </c>
      <c r="J174" s="263">
        <v>0.03</v>
      </c>
      <c r="K174" s="263">
        <v>0.03</v>
      </c>
      <c r="L174" s="457"/>
      <c r="M174" s="457"/>
      <c r="N174" s="457"/>
      <c r="O174" s="457"/>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row>
    <row r="175" s="203" customFormat="1" spans="1:48">
      <c r="A175" s="140"/>
      <c r="B175" s="96" t="s">
        <v>267</v>
      </c>
      <c r="D175" s="263">
        <v>0.07</v>
      </c>
      <c r="E175" s="263">
        <v>0.05</v>
      </c>
      <c r="F175" s="263">
        <v>0.03</v>
      </c>
      <c r="G175" s="263">
        <v>0.07</v>
      </c>
      <c r="H175" s="263">
        <v>0.07</v>
      </c>
      <c r="I175" s="263">
        <v>0.07</v>
      </c>
      <c r="J175" s="263">
        <v>0.03</v>
      </c>
      <c r="K175" s="263">
        <v>0.03</v>
      </c>
      <c r="L175" s="457"/>
      <c r="M175" s="457"/>
      <c r="N175" s="457"/>
      <c r="O175" s="457"/>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row>
    <row r="176" s="203" customFormat="1" spans="1:48">
      <c r="A176" s="140"/>
      <c r="B176" s="96" t="s">
        <v>268</v>
      </c>
      <c r="D176" s="265">
        <f t="shared" ref="D176:L176" si="45">SUM(D164:D175)</f>
        <v>1</v>
      </c>
      <c r="E176" s="265">
        <f t="shared" si="45"/>
        <v>1</v>
      </c>
      <c r="F176" s="265">
        <f t="shared" si="45"/>
        <v>1</v>
      </c>
      <c r="G176" s="265">
        <f t="shared" si="45"/>
        <v>1</v>
      </c>
      <c r="H176" s="265">
        <f t="shared" si="45"/>
        <v>1</v>
      </c>
      <c r="I176" s="265">
        <f t="shared" si="45"/>
        <v>1</v>
      </c>
      <c r="J176" s="265">
        <f t="shared" si="45"/>
        <v>1</v>
      </c>
      <c r="K176" s="265">
        <f t="shared" si="45"/>
        <v>1</v>
      </c>
      <c r="L176" s="265">
        <f t="shared" si="45"/>
        <v>0</v>
      </c>
      <c r="M176" s="265"/>
      <c r="N176" s="265"/>
      <c r="O176" s="265"/>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row>
    <row r="177" s="203" customFormat="1" spans="1:48">
      <c r="A177" s="140"/>
      <c r="B177" s="96"/>
      <c r="D177" s="266" t="s">
        <v>269</v>
      </c>
      <c r="E177" s="266"/>
      <c r="F177" s="266"/>
      <c r="G177" s="266"/>
      <c r="H177" s="266"/>
      <c r="I177" s="266"/>
      <c r="J177" s="266"/>
      <c r="K177" s="266"/>
      <c r="L177" s="266"/>
      <c r="M177" s="266"/>
      <c r="N177" s="266"/>
      <c r="O177" s="266"/>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row>
    <row r="178" s="203" customFormat="1" spans="1:21">
      <c r="A178" s="303"/>
      <c r="B178" s="262" t="s">
        <v>256</v>
      </c>
      <c r="D178" s="268">
        <f t="shared" ref="D178:L178" si="46">D190*D164</f>
        <v>663.4996042752</v>
      </c>
      <c r="E178" s="268">
        <f t="shared" si="46"/>
        <v>1061.59936684032</v>
      </c>
      <c r="F178" s="268">
        <f t="shared" si="46"/>
        <v>597.14964384768</v>
      </c>
      <c r="G178" s="268">
        <f t="shared" si="46"/>
        <v>1105.832673792</v>
      </c>
      <c r="H178" s="268">
        <f t="shared" si="46"/>
        <v>1105.832673792</v>
      </c>
      <c r="I178" s="268">
        <f t="shared" si="46"/>
        <v>1105.832673792</v>
      </c>
      <c r="J178" s="268">
        <f t="shared" si="46"/>
        <v>2948.887130112</v>
      </c>
      <c r="K178" s="268">
        <f t="shared" si="46"/>
        <v>2948.887130112</v>
      </c>
      <c r="L178" s="268">
        <f t="shared" si="46"/>
        <v>0</v>
      </c>
      <c r="M178" s="268"/>
      <c r="N178" s="268"/>
      <c r="O178" s="268"/>
      <c r="P178" s="140"/>
      <c r="Q178" s="140"/>
      <c r="R178" s="140"/>
      <c r="S178" s="140"/>
      <c r="T178" s="140"/>
      <c r="U178" s="140"/>
    </row>
    <row r="179" s="203" customFormat="1" spans="1:21">
      <c r="A179" s="303"/>
      <c r="B179" s="262" t="s">
        <v>257</v>
      </c>
      <c r="D179" s="268">
        <f t="shared" ref="D179:L179" si="47">D190*D165</f>
        <v>663.4996042752</v>
      </c>
      <c r="E179" s="268">
        <f t="shared" si="47"/>
        <v>884.6661390336</v>
      </c>
      <c r="F179" s="268">
        <f t="shared" si="47"/>
        <v>597.14964384768</v>
      </c>
      <c r="G179" s="268">
        <f t="shared" si="47"/>
        <v>1105.832673792</v>
      </c>
      <c r="H179" s="268">
        <f t="shared" si="47"/>
        <v>1105.832673792</v>
      </c>
      <c r="I179" s="268">
        <f t="shared" si="47"/>
        <v>1105.832673792</v>
      </c>
      <c r="J179" s="268">
        <f t="shared" si="47"/>
        <v>2948.887130112</v>
      </c>
      <c r="K179" s="268">
        <f t="shared" si="47"/>
        <v>2948.887130112</v>
      </c>
      <c r="L179" s="268">
        <f t="shared" si="47"/>
        <v>0</v>
      </c>
      <c r="M179" s="268"/>
      <c r="N179" s="268"/>
      <c r="O179" s="268"/>
      <c r="P179" s="140"/>
      <c r="Q179" s="140"/>
      <c r="R179" s="140"/>
      <c r="S179" s="140"/>
      <c r="T179" s="140"/>
      <c r="U179" s="140"/>
    </row>
    <row r="180" s="203" customFormat="1" spans="1:21">
      <c r="A180" s="303"/>
      <c r="B180" s="96" t="s">
        <v>258</v>
      </c>
      <c r="D180" s="268">
        <f t="shared" ref="D180:L180" si="48">D190*D166</f>
        <v>663.4996042752</v>
      </c>
      <c r="E180" s="268">
        <f t="shared" si="48"/>
        <v>1061.59936684032</v>
      </c>
      <c r="F180" s="268">
        <f t="shared" si="48"/>
        <v>597.14964384768</v>
      </c>
      <c r="G180" s="268">
        <f t="shared" si="48"/>
        <v>1326.9992085504</v>
      </c>
      <c r="H180" s="268">
        <f t="shared" si="48"/>
        <v>1326.9992085504</v>
      </c>
      <c r="I180" s="268">
        <f t="shared" si="48"/>
        <v>1326.9992085504</v>
      </c>
      <c r="J180" s="268">
        <f t="shared" si="48"/>
        <v>2948.887130112</v>
      </c>
      <c r="K180" s="268">
        <f t="shared" si="48"/>
        <v>2948.887130112</v>
      </c>
      <c r="L180" s="268">
        <f t="shared" si="48"/>
        <v>0</v>
      </c>
      <c r="M180" s="268"/>
      <c r="N180" s="268"/>
      <c r="O180" s="268"/>
      <c r="P180" s="140"/>
      <c r="Q180" s="140"/>
      <c r="R180" s="140"/>
      <c r="S180" s="140"/>
      <c r="T180" s="140"/>
      <c r="U180" s="140"/>
    </row>
    <row r="181" s="203" customFormat="1" spans="1:21">
      <c r="A181" s="303"/>
      <c r="B181" s="96" t="s">
        <v>259</v>
      </c>
      <c r="D181" s="268">
        <f t="shared" ref="D181:L181" si="49">D190*D167</f>
        <v>663.4996042752</v>
      </c>
      <c r="E181" s="268">
        <f t="shared" si="49"/>
        <v>1061.59936684032</v>
      </c>
      <c r="F181" s="268">
        <f t="shared" si="49"/>
        <v>597.14964384768</v>
      </c>
      <c r="G181" s="268">
        <f t="shared" si="49"/>
        <v>1548.1657433088</v>
      </c>
      <c r="H181" s="268">
        <f t="shared" si="49"/>
        <v>1548.1657433088</v>
      </c>
      <c r="I181" s="268">
        <f t="shared" si="49"/>
        <v>1548.1657433088</v>
      </c>
      <c r="J181" s="268">
        <f t="shared" si="49"/>
        <v>10812.586143744</v>
      </c>
      <c r="K181" s="268">
        <f t="shared" si="49"/>
        <v>10812.586143744</v>
      </c>
      <c r="L181" s="268">
        <f t="shared" si="49"/>
        <v>0</v>
      </c>
      <c r="M181" s="268"/>
      <c r="N181" s="268"/>
      <c r="O181" s="268"/>
      <c r="P181" s="140"/>
      <c r="Q181" s="140"/>
      <c r="R181" s="140"/>
      <c r="S181" s="140"/>
      <c r="T181" s="140"/>
      <c r="U181" s="140"/>
    </row>
    <row r="182" s="203" customFormat="1" spans="1:21">
      <c r="A182" s="303"/>
      <c r="B182" s="96" t="s">
        <v>260</v>
      </c>
      <c r="D182" s="268">
        <f t="shared" ref="D182:L182" si="50">D190*D168</f>
        <v>1990.4988128256</v>
      </c>
      <c r="E182" s="268">
        <f t="shared" si="50"/>
        <v>1946.26550587392</v>
      </c>
      <c r="F182" s="268">
        <f t="shared" si="50"/>
        <v>1094.77434705408</v>
      </c>
      <c r="G182" s="268">
        <f t="shared" si="50"/>
        <v>1769.3322780672</v>
      </c>
      <c r="H182" s="268">
        <f t="shared" si="50"/>
        <v>1769.3322780672</v>
      </c>
      <c r="I182" s="268">
        <f t="shared" si="50"/>
        <v>1769.3322780672</v>
      </c>
      <c r="J182" s="268">
        <f t="shared" si="50"/>
        <v>10812.586143744</v>
      </c>
      <c r="K182" s="268">
        <f t="shared" si="50"/>
        <v>10812.586143744</v>
      </c>
      <c r="L182" s="268">
        <f t="shared" si="50"/>
        <v>0</v>
      </c>
      <c r="M182" s="268"/>
      <c r="N182" s="268"/>
      <c r="O182" s="268"/>
      <c r="P182" s="140"/>
      <c r="Q182" s="140"/>
      <c r="R182" s="140"/>
      <c r="S182" s="140"/>
      <c r="T182" s="140"/>
      <c r="U182" s="140"/>
    </row>
    <row r="183" s="203" customFormat="1" spans="1:21">
      <c r="A183" s="303"/>
      <c r="B183" s="96" t="s">
        <v>261</v>
      </c>
      <c r="D183" s="268">
        <f t="shared" ref="D183:L183" si="51">D190*D169</f>
        <v>1990.4988128256</v>
      </c>
      <c r="E183" s="268">
        <f t="shared" si="51"/>
        <v>1946.26550587392</v>
      </c>
      <c r="F183" s="268">
        <f t="shared" si="51"/>
        <v>995.2494064128</v>
      </c>
      <c r="G183" s="268">
        <f t="shared" si="51"/>
        <v>2211.665347584</v>
      </c>
      <c r="H183" s="268">
        <f t="shared" si="51"/>
        <v>2211.665347584</v>
      </c>
      <c r="I183" s="268">
        <f t="shared" si="51"/>
        <v>2211.665347584</v>
      </c>
      <c r="J183" s="268">
        <f t="shared" si="51"/>
        <v>13761.473273856</v>
      </c>
      <c r="K183" s="268">
        <f t="shared" si="51"/>
        <v>13761.473273856</v>
      </c>
      <c r="L183" s="268">
        <f t="shared" si="51"/>
        <v>0</v>
      </c>
      <c r="M183" s="268"/>
      <c r="N183" s="268"/>
      <c r="O183" s="268"/>
      <c r="P183" s="140"/>
      <c r="Q183" s="140"/>
      <c r="R183" s="140"/>
      <c r="S183" s="140"/>
      <c r="T183" s="140"/>
      <c r="U183" s="140"/>
    </row>
    <row r="184" s="203" customFormat="1" spans="1:21">
      <c r="A184" s="303"/>
      <c r="B184" s="96" t="s">
        <v>262</v>
      </c>
      <c r="D184" s="268">
        <f t="shared" ref="D184:L184" si="52">D190*D170</f>
        <v>1990.4988128256</v>
      </c>
      <c r="E184" s="268">
        <f t="shared" si="52"/>
        <v>1946.26550587392</v>
      </c>
      <c r="F184" s="268">
        <f t="shared" si="52"/>
        <v>995.2494064128</v>
      </c>
      <c r="G184" s="268">
        <f t="shared" si="52"/>
        <v>2211.665347584</v>
      </c>
      <c r="H184" s="268">
        <f t="shared" si="52"/>
        <v>2211.665347584</v>
      </c>
      <c r="I184" s="268">
        <f t="shared" si="52"/>
        <v>2211.665347584</v>
      </c>
      <c r="J184" s="268">
        <f t="shared" si="52"/>
        <v>13761.473273856</v>
      </c>
      <c r="K184" s="268">
        <f t="shared" si="52"/>
        <v>13761.473273856</v>
      </c>
      <c r="L184" s="268">
        <f t="shared" si="52"/>
        <v>0</v>
      </c>
      <c r="M184" s="268"/>
      <c r="N184" s="268"/>
      <c r="O184" s="268"/>
      <c r="P184" s="140"/>
      <c r="Q184" s="140"/>
      <c r="R184" s="140"/>
      <c r="S184" s="140"/>
      <c r="T184" s="140"/>
      <c r="U184" s="140"/>
    </row>
    <row r="185" s="203" customFormat="1" spans="1:21">
      <c r="A185" s="303"/>
      <c r="B185" s="96" t="s">
        <v>263</v>
      </c>
      <c r="D185" s="268">
        <f t="shared" ref="D185:L185" si="53">D190*D171</f>
        <v>1990.4988128256</v>
      </c>
      <c r="E185" s="268">
        <f t="shared" si="53"/>
        <v>1946.26550587392</v>
      </c>
      <c r="F185" s="268">
        <f t="shared" si="53"/>
        <v>995.2494064128</v>
      </c>
      <c r="G185" s="268">
        <f t="shared" si="53"/>
        <v>2653.9984171008</v>
      </c>
      <c r="H185" s="268">
        <f t="shared" si="53"/>
        <v>2653.9984171008</v>
      </c>
      <c r="I185" s="268">
        <f t="shared" si="53"/>
        <v>2653.9984171008</v>
      </c>
      <c r="J185" s="268">
        <f t="shared" si="53"/>
        <v>11795.548520448</v>
      </c>
      <c r="K185" s="268">
        <f t="shared" si="53"/>
        <v>11795.548520448</v>
      </c>
      <c r="L185" s="268">
        <f t="shared" si="53"/>
        <v>0</v>
      </c>
      <c r="M185" s="268"/>
      <c r="N185" s="268"/>
      <c r="O185" s="268"/>
      <c r="P185" s="293"/>
      <c r="Q185" s="293"/>
      <c r="R185" s="293"/>
      <c r="S185" s="293"/>
      <c r="T185" s="293"/>
      <c r="U185" s="293"/>
    </row>
    <row r="186" s="203" customFormat="1" spans="1:21">
      <c r="A186" s="303"/>
      <c r="B186" s="96" t="s">
        <v>264</v>
      </c>
      <c r="D186" s="268">
        <f t="shared" ref="D186:L186" si="54">D190*D172</f>
        <v>1990.4988128256</v>
      </c>
      <c r="E186" s="268">
        <f t="shared" si="54"/>
        <v>1946.26550587392</v>
      </c>
      <c r="F186" s="268">
        <f t="shared" si="54"/>
        <v>995.2494064128</v>
      </c>
      <c r="G186" s="268">
        <f t="shared" si="54"/>
        <v>2653.9984171008</v>
      </c>
      <c r="H186" s="268">
        <f t="shared" si="54"/>
        <v>2653.9984171008</v>
      </c>
      <c r="I186" s="268">
        <f t="shared" si="54"/>
        <v>2653.9984171008</v>
      </c>
      <c r="J186" s="268">
        <f t="shared" si="54"/>
        <v>11795.548520448</v>
      </c>
      <c r="K186" s="268">
        <f t="shared" si="54"/>
        <v>11795.548520448</v>
      </c>
      <c r="L186" s="268">
        <f t="shared" si="54"/>
        <v>0</v>
      </c>
      <c r="M186" s="268"/>
      <c r="N186" s="268"/>
      <c r="O186" s="268"/>
      <c r="P186" s="293"/>
      <c r="Q186" s="293"/>
      <c r="R186" s="293"/>
      <c r="S186" s="293"/>
      <c r="T186" s="293"/>
      <c r="U186" s="293"/>
    </row>
    <row r="187" s="203" customFormat="1" spans="1:21">
      <c r="A187" s="303"/>
      <c r="B187" s="96" t="s">
        <v>265</v>
      </c>
      <c r="D187" s="268">
        <f t="shared" ref="D187:L187" si="55">D190*D173</f>
        <v>1658.749010688</v>
      </c>
      <c r="E187" s="268">
        <f t="shared" si="55"/>
        <v>1946.26550587392</v>
      </c>
      <c r="F187" s="268">
        <f t="shared" si="55"/>
        <v>995.2494064128</v>
      </c>
      <c r="G187" s="268">
        <f t="shared" si="55"/>
        <v>2432.8318823424</v>
      </c>
      <c r="H187" s="268">
        <f t="shared" si="55"/>
        <v>2432.8318823424</v>
      </c>
      <c r="I187" s="268">
        <f t="shared" si="55"/>
        <v>2432.8318823424</v>
      </c>
      <c r="J187" s="268">
        <f t="shared" si="55"/>
        <v>10812.586143744</v>
      </c>
      <c r="K187" s="268">
        <f t="shared" si="55"/>
        <v>10812.586143744</v>
      </c>
      <c r="L187" s="268">
        <f t="shared" si="55"/>
        <v>0</v>
      </c>
      <c r="M187" s="268"/>
      <c r="N187" s="268"/>
      <c r="O187" s="268"/>
      <c r="P187" s="293"/>
      <c r="Q187" s="293"/>
      <c r="R187" s="293"/>
      <c r="S187" s="293"/>
      <c r="T187" s="293"/>
      <c r="U187" s="293"/>
    </row>
    <row r="188" s="205" customFormat="1" spans="1:21">
      <c r="A188" s="303"/>
      <c r="B188" s="96" t="s">
        <v>266</v>
      </c>
      <c r="D188" s="268">
        <f t="shared" ref="D188:L188" si="56">D190*D174</f>
        <v>1161.1243074816</v>
      </c>
      <c r="E188" s="268">
        <f t="shared" si="56"/>
        <v>1061.59936684032</v>
      </c>
      <c r="F188" s="268">
        <f t="shared" si="56"/>
        <v>1194.29928769536</v>
      </c>
      <c r="G188" s="268">
        <f t="shared" si="56"/>
        <v>1548.1657433088</v>
      </c>
      <c r="H188" s="268">
        <f t="shared" si="56"/>
        <v>1548.1657433088</v>
      </c>
      <c r="I188" s="268">
        <f t="shared" si="56"/>
        <v>1548.1657433088</v>
      </c>
      <c r="J188" s="268">
        <f t="shared" si="56"/>
        <v>2948.887130112</v>
      </c>
      <c r="K188" s="268">
        <f t="shared" si="56"/>
        <v>2948.887130112</v>
      </c>
      <c r="L188" s="268">
        <f t="shared" si="56"/>
        <v>0</v>
      </c>
      <c r="M188" s="268"/>
      <c r="N188" s="268"/>
      <c r="O188" s="268"/>
      <c r="P188" s="293"/>
      <c r="Q188" s="293"/>
      <c r="R188" s="293"/>
      <c r="S188" s="293"/>
      <c r="T188" s="293"/>
      <c r="U188" s="293"/>
    </row>
    <row r="189" s="205" customFormat="1" spans="1:21">
      <c r="A189" s="303"/>
      <c r="B189" s="96" t="s">
        <v>267</v>
      </c>
      <c r="D189" s="268">
        <f t="shared" ref="D189:L189" si="57">D190*D175</f>
        <v>1161.1243074816</v>
      </c>
      <c r="E189" s="268">
        <f t="shared" si="57"/>
        <v>884.6661390336</v>
      </c>
      <c r="F189" s="268">
        <f t="shared" si="57"/>
        <v>298.57482192384</v>
      </c>
      <c r="G189" s="268">
        <f t="shared" si="57"/>
        <v>1548.1657433088</v>
      </c>
      <c r="H189" s="268">
        <f t="shared" si="57"/>
        <v>1548.1657433088</v>
      </c>
      <c r="I189" s="268">
        <f t="shared" si="57"/>
        <v>1548.1657433088</v>
      </c>
      <c r="J189" s="268">
        <f t="shared" si="57"/>
        <v>2948.887130112</v>
      </c>
      <c r="K189" s="268">
        <f t="shared" si="57"/>
        <v>2948.887130112</v>
      </c>
      <c r="L189" s="268">
        <f t="shared" si="57"/>
        <v>0</v>
      </c>
      <c r="M189" s="268"/>
      <c r="N189" s="268"/>
      <c r="O189" s="268"/>
      <c r="P189" s="293"/>
      <c r="Q189" s="293"/>
      <c r="R189" s="293"/>
      <c r="S189" s="293"/>
      <c r="T189" s="293"/>
      <c r="U189" s="293"/>
    </row>
    <row r="190" s="203" customFormat="1" spans="1:21">
      <c r="A190" s="303"/>
      <c r="B190" s="96" t="s">
        <v>268</v>
      </c>
      <c r="D190" s="268">
        <f t="shared" ref="D190:L190" si="58">VLOOKUP(D71,TargetedMSMkt,IF(D72="[retail]",12,14),FALSE)</f>
        <v>16587.49010688</v>
      </c>
      <c r="E190" s="268">
        <f t="shared" si="58"/>
        <v>17693.322780672</v>
      </c>
      <c r="F190" s="268">
        <f t="shared" si="58"/>
        <v>9952.494064128</v>
      </c>
      <c r="G190" s="268">
        <f t="shared" si="58"/>
        <v>22116.65347584</v>
      </c>
      <c r="H190" s="268">
        <f t="shared" si="58"/>
        <v>22116.65347584</v>
      </c>
      <c r="I190" s="268">
        <f t="shared" si="58"/>
        <v>22116.65347584</v>
      </c>
      <c r="J190" s="268">
        <f t="shared" si="58"/>
        <v>98296.2376704</v>
      </c>
      <c r="K190" s="268">
        <f t="shared" si="58"/>
        <v>98296.2376704</v>
      </c>
      <c r="L190" s="268">
        <f t="shared" si="58"/>
        <v>0</v>
      </c>
      <c r="M190" s="268"/>
      <c r="N190" s="268"/>
      <c r="O190" s="268"/>
      <c r="P190" s="293"/>
      <c r="Q190" s="293"/>
      <c r="R190" s="293"/>
      <c r="S190" s="293"/>
      <c r="T190" s="293"/>
      <c r="U190" s="293"/>
    </row>
    <row r="191" s="205" customFormat="1" spans="1:21">
      <c r="A191" s="258"/>
      <c r="B191" s="262" t="s">
        <v>270</v>
      </c>
      <c r="D191" s="293" t="str">
        <f t="shared" ref="D191:L191" si="59">IF(D72="[wholesale]",D190/capacity,"")</f>
        <v/>
      </c>
      <c r="E191" s="293" t="str">
        <f t="shared" si="59"/>
        <v/>
      </c>
      <c r="F191" s="293" t="str">
        <f t="shared" si="59"/>
        <v/>
      </c>
      <c r="G191" s="293" t="str">
        <f t="shared" si="59"/>
        <v/>
      </c>
      <c r="H191" s="293" t="str">
        <f t="shared" si="59"/>
        <v/>
      </c>
      <c r="I191" s="293" t="str">
        <f t="shared" si="59"/>
        <v/>
      </c>
      <c r="J191" s="293">
        <f t="shared" si="59"/>
        <v>79.2711594116129</v>
      </c>
      <c r="K191" s="293">
        <f t="shared" si="59"/>
        <v>79.2711594116129</v>
      </c>
      <c r="L191" s="293" t="str">
        <f t="shared" si="59"/>
        <v/>
      </c>
      <c r="M191" s="293"/>
      <c r="N191" s="293"/>
      <c r="O191" s="293"/>
      <c r="P191" s="308"/>
      <c r="Q191" s="140"/>
      <c r="R191" s="308"/>
      <c r="S191" s="308"/>
      <c r="T191" s="203"/>
      <c r="U191" s="203"/>
    </row>
    <row r="192" s="140" customFormat="1" spans="1:19">
      <c r="A192" s="258"/>
      <c r="B192" s="262"/>
      <c r="C192" s="304" t="s">
        <v>142</v>
      </c>
      <c r="D192" s="266" t="s">
        <v>271</v>
      </c>
      <c r="E192" s="266"/>
      <c r="F192" s="266"/>
      <c r="G192" s="266"/>
      <c r="H192" s="266"/>
      <c r="I192" s="266"/>
      <c r="J192" s="266"/>
      <c r="K192" s="266"/>
      <c r="L192" s="266"/>
      <c r="M192" s="266"/>
      <c r="N192" s="266"/>
      <c r="O192" s="266"/>
      <c r="P192" s="308"/>
      <c r="R192" s="308"/>
      <c r="S192" s="308"/>
    </row>
    <row r="193" s="140" customFormat="1" spans="1:19">
      <c r="A193" s="261"/>
      <c r="B193" s="262" t="s">
        <v>256</v>
      </c>
      <c r="C193" s="297">
        <f t="shared" ref="C193:C204" si="60">SUM(D193:Z193)</f>
        <v>9</v>
      </c>
      <c r="D193" s="281">
        <f>ProductionFY3m(1,D71,VLOOKUP(D71,ProductsRangeMkt,3,FALSE),D178)</f>
        <v>0.551020408163265</v>
      </c>
      <c r="E193" s="281">
        <f>ProductionFY3m(1,E71,VLOOKUP(E71,ProductsRangeMkt,3,FALSE),E178)</f>
        <v>0.794117647058823</v>
      </c>
      <c r="F193" s="281">
        <f>ProductionFY3m(1,F71,VLOOKUP(F71,ProductsRangeMkt,3,FALSE),F178)</f>
        <v>0</v>
      </c>
      <c r="G193" s="281">
        <f>ProductionFY3m(1,G71,VLOOKUP(G71,ProductsRangeMkt,3,FALSE),G178)</f>
        <v>1</v>
      </c>
      <c r="H193" s="281">
        <f>ProductionFY3m(1,H71,VLOOKUP(H71,ProductsRangeMkt,3,FALSE),H178)</f>
        <v>1</v>
      </c>
      <c r="I193" s="281">
        <f>ProductionFY3m(1,I71,VLOOKUP(I71,ProductsRangeMkt,3,FALSE),I178)</f>
        <v>1</v>
      </c>
      <c r="J193" s="281">
        <f>ProductionFY3m(1,J71,VLOOKUP(J71,ProductsRangeMkt,3,FALSE),J178)</f>
        <v>2.44897959183673</v>
      </c>
      <c r="K193" s="281">
        <f>ProductionFY3m(1,K71,VLOOKUP(K71,ProductsRangeMkt,3,FALSE),K178)</f>
        <v>2.20588235294118</v>
      </c>
      <c r="L193" s="281">
        <f>ProductionFY3m(1,L71,VLOOKUP(L71,ProductsRangeMkt,3,FALSE),L178)</f>
        <v>0</v>
      </c>
      <c r="M193" s="281"/>
      <c r="N193" s="281"/>
      <c r="O193" s="281"/>
      <c r="P193" s="308"/>
      <c r="R193" s="308"/>
      <c r="S193" s="308"/>
    </row>
    <row r="194" s="140" customFormat="1" spans="1:19">
      <c r="A194" s="264"/>
      <c r="B194" s="262" t="s">
        <v>257</v>
      </c>
      <c r="C194" s="297">
        <f t="shared" si="60"/>
        <v>9</v>
      </c>
      <c r="D194" s="281">
        <f>ProductionFY3m(2,D71,VLOOKUP(D71,ProductsRangeMkt,3,FALSE),D179)</f>
        <v>0.551020408163265</v>
      </c>
      <c r="E194" s="281">
        <f>ProductionFY3m(2,E71,VLOOKUP(E71,ProductsRangeMkt,3,FALSE),E179)</f>
        <v>0.692307692307692</v>
      </c>
      <c r="F194" s="281">
        <f>ProductionFY3m(2,F71,VLOOKUP(F71,ProductsRangeMkt,3,FALSE),F179)</f>
        <v>0</v>
      </c>
      <c r="G194" s="281">
        <f>ProductionFY3m(2,G71,VLOOKUP(G71,ProductsRangeMkt,3,FALSE),G179)</f>
        <v>1</v>
      </c>
      <c r="H194" s="281">
        <f>ProductionFY3m(2,H71,VLOOKUP(H71,ProductsRangeMkt,3,FALSE),H179)</f>
        <v>1</v>
      </c>
      <c r="I194" s="281">
        <f>ProductionFY3m(2,I71,VLOOKUP(I71,ProductsRangeMkt,3,FALSE),I179)</f>
        <v>1</v>
      </c>
      <c r="J194" s="281">
        <f>ProductionFY3m(2,J71,VLOOKUP(J71,ProductsRangeMkt,3,FALSE),J179)</f>
        <v>2.44897959183673</v>
      </c>
      <c r="K194" s="281">
        <f>ProductionFY3m(2,K71,VLOOKUP(K71,ProductsRangeMkt,3,FALSE),K179)</f>
        <v>2.30769230769231</v>
      </c>
      <c r="L194" s="281">
        <f>ProductionFY3m(2,L71,VLOOKUP(L71,ProductsRangeMkt,3,FALSE),L179)</f>
        <v>0</v>
      </c>
      <c r="M194" s="281"/>
      <c r="N194" s="281"/>
      <c r="O194" s="281"/>
      <c r="P194" s="308"/>
      <c r="R194" s="308"/>
      <c r="S194" s="308"/>
    </row>
    <row r="195" s="140" customFormat="1" spans="1:19">
      <c r="A195" s="203"/>
      <c r="B195" s="96" t="s">
        <v>258</v>
      </c>
      <c r="C195" s="297">
        <f t="shared" si="60"/>
        <v>9</v>
      </c>
      <c r="D195" s="281">
        <f>ProductionFY3m(3,D71,VLOOKUP(D71,ProductsRangeMkt,3,FALSE),D180)</f>
        <v>0.551020408163265</v>
      </c>
      <c r="E195" s="281">
        <f>ProductionFY3m(3,E71,VLOOKUP(E71,ProductsRangeMkt,3,FALSE),E180)</f>
        <v>0.794117647058823</v>
      </c>
      <c r="F195" s="281">
        <f>ProductionFY3m(3,F71,VLOOKUP(F71,ProductsRangeMkt,3,FALSE),F180)</f>
        <v>0</v>
      </c>
      <c r="G195" s="281">
        <f>ProductionFY3m(3,G71,VLOOKUP(G71,ProductsRangeMkt,3,FALSE),G180)</f>
        <v>1</v>
      </c>
      <c r="H195" s="281">
        <f>ProductionFY3m(3,H71,VLOOKUP(H71,ProductsRangeMkt,3,FALSE),H180)</f>
        <v>1</v>
      </c>
      <c r="I195" s="281">
        <f>ProductionFY3m(3,I71,VLOOKUP(I71,ProductsRangeMkt,3,FALSE),I180)</f>
        <v>1</v>
      </c>
      <c r="J195" s="281">
        <f>ProductionFY3m(3,J71,VLOOKUP(J71,ProductsRangeMkt,3,FALSE),J180)</f>
        <v>2.44897959183673</v>
      </c>
      <c r="K195" s="281">
        <f>ProductionFY3m(3,K71,VLOOKUP(K71,ProductsRangeMkt,3,FALSE),K180)</f>
        <v>2.20588235294118</v>
      </c>
      <c r="L195" s="281">
        <f>ProductionFY3m(3,L71,VLOOKUP(L71,ProductsRangeMkt,3,FALSE),L180)</f>
        <v>0</v>
      </c>
      <c r="M195" s="281"/>
      <c r="N195" s="281"/>
      <c r="O195" s="281"/>
      <c r="P195" s="308"/>
      <c r="R195" s="308"/>
      <c r="S195" s="308"/>
    </row>
    <row r="196" s="140" customFormat="1" spans="1:19">
      <c r="A196" s="203"/>
      <c r="B196" s="96" t="s">
        <v>259</v>
      </c>
      <c r="C196" s="297">
        <f t="shared" si="60"/>
        <v>21</v>
      </c>
      <c r="D196" s="281">
        <f>ProductionFY3m(4,D71,VLOOKUP(D71,ProductsRangeMkt,3,FALSE),D181)</f>
        <v>0.5203426124197</v>
      </c>
      <c r="E196" s="281">
        <f>ProductionFY3m(4,E71,VLOOKUP(E71,ProductsRangeMkt,3,FALSE),E181)</f>
        <v>0.804635761589404</v>
      </c>
      <c r="F196" s="281">
        <f>ProductionFY3m(4,F71,VLOOKUP(F71,ProductsRangeMkt,3,FALSE),F181)</f>
        <v>0</v>
      </c>
      <c r="G196" s="281">
        <f>ProductionFY3m(4,G71,VLOOKUP(G71,ProductsRangeMkt,3,FALSE),G181)</f>
        <v>1</v>
      </c>
      <c r="H196" s="281">
        <f>ProductionFY3m(4,H71,VLOOKUP(H71,ProductsRangeMkt,3,FALSE),H181)</f>
        <v>1</v>
      </c>
      <c r="I196" s="281">
        <f>ProductionFY3m(4,I71,VLOOKUP(I71,ProductsRangeMkt,3,FALSE),I181)</f>
        <v>1</v>
      </c>
      <c r="J196" s="281">
        <f>ProductionFY3m(4,J71,VLOOKUP(J71,ProductsRangeMkt,3,FALSE),J181)</f>
        <v>8.4796573875803</v>
      </c>
      <c r="K196" s="281">
        <f>ProductionFY3m(4,K71,VLOOKUP(K71,ProductsRangeMkt,3,FALSE),K181)</f>
        <v>8.1953642384106</v>
      </c>
      <c r="L196" s="281">
        <f>ProductionFY3m(4,L71,VLOOKUP(L71,ProductsRangeMkt,3,FALSE),L181)</f>
        <v>0</v>
      </c>
      <c r="M196" s="281"/>
      <c r="N196" s="281"/>
      <c r="O196" s="281"/>
      <c r="P196" s="308"/>
      <c r="R196" s="308"/>
      <c r="S196" s="308"/>
    </row>
    <row r="197" s="140" customFormat="1" spans="1:19">
      <c r="A197" s="203"/>
      <c r="B197" s="96" t="s">
        <v>260</v>
      </c>
      <c r="C197" s="297">
        <f t="shared" si="60"/>
        <v>24</v>
      </c>
      <c r="D197" s="281">
        <f>ProductionFY3m(5,D71,VLOOKUP(D71,ProductsRangeMkt,3,FALSE),D182)</f>
        <v>1.55470249520154</v>
      </c>
      <c r="E197" s="281">
        <f>ProductionFY3m(5,E71,VLOOKUP(E71,ProductsRangeMkt,3,FALSE),E182)</f>
        <v>1.52542372881356</v>
      </c>
      <c r="F197" s="281">
        <f>ProductionFY3m(5,F71,VLOOKUP(F71,ProductsRangeMkt,3,FALSE),F182)</f>
        <v>1</v>
      </c>
      <c r="G197" s="281">
        <f>ProductionFY3m(5,G71,VLOOKUP(G71,ProductsRangeMkt,3,FALSE),G182)</f>
        <v>1</v>
      </c>
      <c r="H197" s="281">
        <f>ProductionFY3m(5,H71,VLOOKUP(H71,ProductsRangeMkt,3,FALSE),H182)</f>
        <v>1</v>
      </c>
      <c r="I197" s="281">
        <f>ProductionFY3m(5,I71,VLOOKUP(I71,ProductsRangeMkt,3,FALSE),I182)</f>
        <v>1</v>
      </c>
      <c r="J197" s="281">
        <f>ProductionFY3m(5,J71,VLOOKUP(J71,ProductsRangeMkt,3,FALSE),J182)</f>
        <v>8.44529750479846</v>
      </c>
      <c r="K197" s="281">
        <f>ProductionFY3m(5,K71,VLOOKUP(K71,ProductsRangeMkt,3,FALSE),K182)</f>
        <v>8.47457627118644</v>
      </c>
      <c r="L197" s="281">
        <f>ProductionFY3m(5,L71,VLOOKUP(L71,ProductsRangeMkt,3,FALSE),L182)</f>
        <v>0</v>
      </c>
      <c r="M197" s="281"/>
      <c r="N197" s="281"/>
      <c r="O197" s="281"/>
      <c r="P197" s="308"/>
      <c r="R197" s="308"/>
      <c r="S197" s="308"/>
    </row>
    <row r="198" s="140" customFormat="1" spans="2:19">
      <c r="B198" s="96" t="s">
        <v>261</v>
      </c>
      <c r="C198" s="297">
        <f t="shared" si="60"/>
        <v>31</v>
      </c>
      <c r="D198" s="281">
        <f>ProductionFY3m(6,D71,VLOOKUP(D71,ProductsRangeMkt,3,FALSE),D183)</f>
        <v>1.51638065522621</v>
      </c>
      <c r="E198" s="281">
        <f>ProductionFY3m(6,E71,VLOOKUP(E71,ProductsRangeMkt,3,FALSE),E183)</f>
        <v>1.48685857321652</v>
      </c>
      <c r="F198" s="281">
        <f>ProductionFY3m(6,F71,VLOOKUP(F71,ProductsRangeMkt,3,FALSE),F183)</f>
        <v>1</v>
      </c>
      <c r="G198" s="281">
        <f>ProductionFY3m(6,G71,VLOOKUP(G71,ProductsRangeMkt,3,FALSE),G183)</f>
        <v>2</v>
      </c>
      <c r="H198" s="281">
        <f>ProductionFY3m(6,H71,VLOOKUP(H71,ProductsRangeMkt,3,FALSE),H183)</f>
        <v>2</v>
      </c>
      <c r="I198" s="281">
        <f>ProductionFY3m(6,I71,VLOOKUP(I71,ProductsRangeMkt,3,FALSE),I183)</f>
        <v>2</v>
      </c>
      <c r="J198" s="281">
        <f>ProductionFY3m(6,J71,VLOOKUP(J71,ProductsRangeMkt,3,FALSE),J183)</f>
        <v>10.4836193447738</v>
      </c>
      <c r="K198" s="281">
        <f>ProductionFY3m(6,K71,VLOOKUP(K71,ProductsRangeMkt,3,FALSE),K183)</f>
        <v>10.5131414267835</v>
      </c>
      <c r="L198" s="281">
        <f>ProductionFY3m(6,L71,VLOOKUP(L71,ProductsRangeMkt,3,FALSE),L183)</f>
        <v>0</v>
      </c>
      <c r="M198" s="281"/>
      <c r="N198" s="281"/>
      <c r="O198" s="281"/>
      <c r="P198" s="308"/>
      <c r="R198" s="308"/>
      <c r="S198" s="308"/>
    </row>
    <row r="199" s="140" customFormat="1" spans="2:19">
      <c r="B199" s="96" t="s">
        <v>262</v>
      </c>
      <c r="C199" s="297">
        <f t="shared" si="60"/>
        <v>31</v>
      </c>
      <c r="D199" s="281">
        <f>ProductionFY3m(7,D71,VLOOKUP(D71,ProductsRangeMkt,3,FALSE),D184)</f>
        <v>1.51638065522621</v>
      </c>
      <c r="E199" s="281">
        <f>ProductionFY3m(7,E71,VLOOKUP(E71,ProductsRangeMkt,3,FALSE),E184)</f>
        <v>1.48685857321652</v>
      </c>
      <c r="F199" s="281">
        <f>ProductionFY3m(7,F71,VLOOKUP(F71,ProductsRangeMkt,3,FALSE),F184)</f>
        <v>1</v>
      </c>
      <c r="G199" s="281">
        <f>ProductionFY3m(7,G71,VLOOKUP(G71,ProductsRangeMkt,3,FALSE),G184)</f>
        <v>2</v>
      </c>
      <c r="H199" s="281">
        <f>ProductionFY3m(7,H71,VLOOKUP(H71,ProductsRangeMkt,3,FALSE),H184)</f>
        <v>2</v>
      </c>
      <c r="I199" s="281">
        <f>ProductionFY3m(7,I71,VLOOKUP(I71,ProductsRangeMkt,3,FALSE),I184)</f>
        <v>2</v>
      </c>
      <c r="J199" s="281">
        <f>ProductionFY3m(7,J71,VLOOKUP(J71,ProductsRangeMkt,3,FALSE),J184)</f>
        <v>10.4836193447738</v>
      </c>
      <c r="K199" s="281">
        <f>ProductionFY3m(7,K71,VLOOKUP(K71,ProductsRangeMkt,3,FALSE),K184)</f>
        <v>10.5131414267835</v>
      </c>
      <c r="L199" s="281">
        <f>ProductionFY3m(7,L71,VLOOKUP(L71,ProductsRangeMkt,3,FALSE),L184)</f>
        <v>0</v>
      </c>
      <c r="M199" s="281"/>
      <c r="N199" s="281"/>
      <c r="O199" s="281"/>
      <c r="P199" s="308"/>
      <c r="R199" s="308"/>
      <c r="S199" s="308"/>
    </row>
    <row r="200" s="140" customFormat="1" spans="2:19">
      <c r="B200" s="96" t="s">
        <v>263</v>
      </c>
      <c r="C200" s="297">
        <f t="shared" si="60"/>
        <v>29</v>
      </c>
      <c r="D200" s="281">
        <f>ProductionFY3m(8,D71,VLOOKUP(D71,ProductsRangeMkt,3,FALSE),D185)</f>
        <v>1.58823529411765</v>
      </c>
      <c r="E200" s="281">
        <f>ProductionFY3m(8,E71,VLOOKUP(E71,ProductsRangeMkt,3,FALSE),E185)</f>
        <v>1.55793991416309</v>
      </c>
      <c r="F200" s="281">
        <f>ProductionFY3m(8,F71,VLOOKUP(F71,ProductsRangeMkt,3,FALSE),F185)</f>
        <v>1</v>
      </c>
      <c r="G200" s="281">
        <f>ProductionFY3m(8,G71,VLOOKUP(G71,ProductsRangeMkt,3,FALSE),G185)</f>
        <v>2</v>
      </c>
      <c r="H200" s="281">
        <f>ProductionFY3m(8,H71,VLOOKUP(H71,ProductsRangeMkt,3,FALSE),H185)</f>
        <v>2</v>
      </c>
      <c r="I200" s="281">
        <f>ProductionFY3m(8,I71,VLOOKUP(I71,ProductsRangeMkt,3,FALSE),I185)</f>
        <v>2</v>
      </c>
      <c r="J200" s="281">
        <f>ProductionFY3m(8,J71,VLOOKUP(J71,ProductsRangeMkt,3,FALSE),J185)</f>
        <v>9.41176470588235</v>
      </c>
      <c r="K200" s="281">
        <f>ProductionFY3m(8,K71,VLOOKUP(K71,ProductsRangeMkt,3,FALSE),K185)</f>
        <v>9.44206008583691</v>
      </c>
      <c r="L200" s="281">
        <f>ProductionFY3m(8,L71,VLOOKUP(L71,ProductsRangeMkt,3,FALSE),L185)</f>
        <v>0</v>
      </c>
      <c r="M200" s="281"/>
      <c r="N200" s="281"/>
      <c r="O200" s="281"/>
      <c r="P200" s="308"/>
      <c r="R200" s="308"/>
      <c r="S200" s="308"/>
    </row>
    <row r="201" s="140" customFormat="1" spans="2:19">
      <c r="B201" s="96" t="s">
        <v>264</v>
      </c>
      <c r="C201" s="297">
        <f t="shared" si="60"/>
        <v>29</v>
      </c>
      <c r="D201" s="281">
        <f>ProductionFY3m(9,D71,VLOOKUP(D71,ProductsRangeMkt,3,FALSE),D186)</f>
        <v>1.58823529411765</v>
      </c>
      <c r="E201" s="281">
        <f>ProductionFY3m(9,E71,VLOOKUP(E71,ProductsRangeMkt,3,FALSE),E186)</f>
        <v>1.55793991416309</v>
      </c>
      <c r="F201" s="281">
        <f>ProductionFY3m(9,F71,VLOOKUP(F71,ProductsRangeMkt,3,FALSE),F186)</f>
        <v>1</v>
      </c>
      <c r="G201" s="281">
        <f>ProductionFY3m(9,G71,VLOOKUP(G71,ProductsRangeMkt,3,FALSE),G186)</f>
        <v>2</v>
      </c>
      <c r="H201" s="281">
        <f>ProductionFY3m(9,H71,VLOOKUP(H71,ProductsRangeMkt,3,FALSE),H186)</f>
        <v>2</v>
      </c>
      <c r="I201" s="281">
        <f>ProductionFY3m(9,I71,VLOOKUP(I71,ProductsRangeMkt,3,FALSE),I186)</f>
        <v>2</v>
      </c>
      <c r="J201" s="281">
        <f>ProductionFY3m(9,J71,VLOOKUP(J71,ProductsRangeMkt,3,FALSE),J186)</f>
        <v>9.41176470588235</v>
      </c>
      <c r="K201" s="281">
        <f>ProductionFY3m(9,K71,VLOOKUP(K71,ProductsRangeMkt,3,FALSE),K186)</f>
        <v>9.44206008583691</v>
      </c>
      <c r="L201" s="281">
        <f>ProductionFY3m(9,L71,VLOOKUP(L71,ProductsRangeMkt,3,FALSE),L186)</f>
        <v>0</v>
      </c>
      <c r="M201" s="281"/>
      <c r="N201" s="281"/>
      <c r="O201" s="281"/>
      <c r="P201" s="308"/>
      <c r="R201" s="308"/>
      <c r="S201" s="308"/>
    </row>
    <row r="202" s="140" customFormat="1" spans="2:19">
      <c r="B202" s="96" t="s">
        <v>265</v>
      </c>
      <c r="C202" s="297">
        <f t="shared" si="60"/>
        <v>27</v>
      </c>
      <c r="D202" s="281">
        <f>ProductionFY3m(10,D71,VLOOKUP(D71,ProductsRangeMkt,3,FALSE),D187)</f>
        <v>1.33004926108374</v>
      </c>
      <c r="E202" s="281">
        <f>ProductionFY3m(10,E71,VLOOKUP(E71,ProductsRangeMkt,3,FALSE),E187)</f>
        <v>1.52542372881356</v>
      </c>
      <c r="F202" s="281">
        <f>ProductionFY3m(10,F71,VLOOKUP(F71,ProductsRangeMkt,3,FALSE),F187)</f>
        <v>1</v>
      </c>
      <c r="G202" s="281">
        <f>ProductionFY3m(10,G71,VLOOKUP(G71,ProductsRangeMkt,3,FALSE),G187)</f>
        <v>2</v>
      </c>
      <c r="H202" s="281">
        <f>ProductionFY3m(10,H71,VLOOKUP(H71,ProductsRangeMkt,3,FALSE),H187)</f>
        <v>2</v>
      </c>
      <c r="I202" s="281">
        <f>ProductionFY3m(10,I71,VLOOKUP(I71,ProductsRangeMkt,3,FALSE),I187)</f>
        <v>2</v>
      </c>
      <c r="J202" s="281">
        <f>ProductionFY3m(10,J71,VLOOKUP(J71,ProductsRangeMkt,3,FALSE),J187)</f>
        <v>8.66995073891626</v>
      </c>
      <c r="K202" s="281">
        <f>ProductionFY3m(10,K71,VLOOKUP(K71,ProductsRangeMkt,3,FALSE),K187)</f>
        <v>8.47457627118644</v>
      </c>
      <c r="L202" s="281">
        <f>ProductionFY3m(10,L71,VLOOKUP(L71,ProductsRangeMkt,3,FALSE),L187)</f>
        <v>0</v>
      </c>
      <c r="M202" s="281"/>
      <c r="N202" s="281"/>
      <c r="O202" s="281"/>
      <c r="P202" s="308"/>
      <c r="R202" s="308"/>
      <c r="S202" s="308"/>
    </row>
    <row r="203" s="140" customFormat="1" spans="2:19">
      <c r="B203" s="96" t="s">
        <v>266</v>
      </c>
      <c r="C203" s="297">
        <f t="shared" si="60"/>
        <v>10</v>
      </c>
      <c r="D203" s="281">
        <f>ProductionFY3m(11,D71,VLOOKUP(D71,ProductsRangeMkt,3,FALSE),D188)</f>
        <v>0.847533632286996</v>
      </c>
      <c r="E203" s="281">
        <f>ProductionFY3m(11,E71,VLOOKUP(E71,ProductsRangeMkt,3,FALSE),E188)</f>
        <v>0.794117647058823</v>
      </c>
      <c r="F203" s="281">
        <f>ProductionFY3m(11,F71,VLOOKUP(F71,ProductsRangeMkt,3,FALSE),F188)</f>
        <v>1</v>
      </c>
      <c r="G203" s="281">
        <f>ProductionFY3m(11,G71,VLOOKUP(G71,ProductsRangeMkt,3,FALSE),G188)</f>
        <v>1</v>
      </c>
      <c r="H203" s="281">
        <f>ProductionFY3m(11,H71,VLOOKUP(H71,ProductsRangeMkt,3,FALSE),H188)</f>
        <v>1</v>
      </c>
      <c r="I203" s="281">
        <f>ProductionFY3m(11,I71,VLOOKUP(I71,ProductsRangeMkt,3,FALSE),I188)</f>
        <v>1</v>
      </c>
      <c r="J203" s="281">
        <f>ProductionFY3m(11,J71,VLOOKUP(J71,ProductsRangeMkt,3,FALSE),J188)</f>
        <v>2.152466367713</v>
      </c>
      <c r="K203" s="281">
        <f>ProductionFY3m(11,K71,VLOOKUP(K71,ProductsRangeMkt,3,FALSE),K188)</f>
        <v>2.20588235294118</v>
      </c>
      <c r="L203" s="281">
        <f>ProductionFY3m(11,L71,VLOOKUP(L71,ProductsRangeMkt,3,FALSE),L188)</f>
        <v>0</v>
      </c>
      <c r="M203" s="281"/>
      <c r="N203" s="281"/>
      <c r="O203" s="281"/>
      <c r="P203" s="308"/>
      <c r="R203" s="308"/>
      <c r="S203" s="308"/>
    </row>
    <row r="204" s="140" customFormat="1" spans="2:19">
      <c r="B204" s="96" t="s">
        <v>267</v>
      </c>
      <c r="C204" s="297">
        <f t="shared" si="60"/>
        <v>9</v>
      </c>
      <c r="D204" s="281">
        <f>ProductionFY3m(12,D71,VLOOKUP(D71,ProductsRangeMkt,3,FALSE),D189)</f>
        <v>0.847533632286996</v>
      </c>
      <c r="E204" s="281">
        <f>ProductionFY3m(12,E71,VLOOKUP(E71,ProductsRangeMkt,3,FALSE),E189)</f>
        <v>0.692307692307692</v>
      </c>
      <c r="F204" s="281">
        <f>ProductionFY3m(12,F71,VLOOKUP(F71,ProductsRangeMkt,3,FALSE),F189)</f>
        <v>0</v>
      </c>
      <c r="G204" s="281">
        <f>ProductionFY3m(12,G71,VLOOKUP(G71,ProductsRangeMkt,3,FALSE),G189)</f>
        <v>1</v>
      </c>
      <c r="H204" s="281">
        <f>ProductionFY3m(12,H71,VLOOKUP(H71,ProductsRangeMkt,3,FALSE),H189)</f>
        <v>1</v>
      </c>
      <c r="I204" s="281">
        <f>ProductionFY3m(12,I71,VLOOKUP(I71,ProductsRangeMkt,3,FALSE),I189)</f>
        <v>1</v>
      </c>
      <c r="J204" s="281">
        <f>ProductionFY3m(12,J71,VLOOKUP(J71,ProductsRangeMkt,3,FALSE),J189)</f>
        <v>2.152466367713</v>
      </c>
      <c r="K204" s="281">
        <f>ProductionFY3m(12,K71,VLOOKUP(K71,ProductsRangeMkt,3,FALSE),K189)</f>
        <v>2.30769230769231</v>
      </c>
      <c r="L204" s="281">
        <f>ProductionFY3m(12,L71,VLOOKUP(L71,ProductsRangeMkt,3,FALSE),L189)</f>
        <v>0</v>
      </c>
      <c r="M204" s="281"/>
      <c r="N204" s="281"/>
      <c r="O204" s="281"/>
      <c r="P204" s="308"/>
      <c r="R204" s="308"/>
      <c r="S204" s="308"/>
    </row>
    <row r="205" s="205" customFormat="1" spans="1:21">
      <c r="A205" s="298" t="s">
        <v>272</v>
      </c>
      <c r="B205" s="203"/>
      <c r="C205" s="262" t="s">
        <v>117</v>
      </c>
      <c r="D205" s="299">
        <f t="shared" ref="D205:L205" si="61">SUM(D178:D189)</f>
        <v>16587.49010688</v>
      </c>
      <c r="E205" s="300">
        <f t="shared" si="61"/>
        <v>17693.322780672</v>
      </c>
      <c r="F205" s="300">
        <f t="shared" si="61"/>
        <v>9952.494064128</v>
      </c>
      <c r="G205" s="300">
        <f t="shared" si="61"/>
        <v>22116.65347584</v>
      </c>
      <c r="H205" s="300">
        <f t="shared" si="61"/>
        <v>22116.65347584</v>
      </c>
      <c r="I205" s="300">
        <f t="shared" si="61"/>
        <v>22116.65347584</v>
      </c>
      <c r="J205" s="300">
        <f t="shared" si="61"/>
        <v>98296.2376704</v>
      </c>
      <c r="K205" s="300">
        <f t="shared" si="61"/>
        <v>98296.2376704</v>
      </c>
      <c r="L205" s="300">
        <f t="shared" si="61"/>
        <v>0</v>
      </c>
      <c r="M205" s="300"/>
      <c r="N205" s="300"/>
      <c r="O205" s="309"/>
      <c r="P205" s="308"/>
      <c r="Q205" s="140"/>
      <c r="R205" s="308"/>
      <c r="S205" s="308"/>
      <c r="T205" s="203"/>
      <c r="U205" s="203"/>
    </row>
    <row r="206" s="140" customFormat="1" spans="1:21">
      <c r="A206" s="298" t="s">
        <v>273</v>
      </c>
      <c r="B206" s="203"/>
      <c r="C206" s="262" t="s">
        <v>117</v>
      </c>
      <c r="D206" s="299">
        <f t="shared" ref="D206:L206" si="62">SUM(D193:D204)*capacity</f>
        <v>16073.443898006</v>
      </c>
      <c r="E206" s="299">
        <f t="shared" si="62"/>
        <v>17002.9401645118</v>
      </c>
      <c r="F206" s="299">
        <f t="shared" si="62"/>
        <v>8680</v>
      </c>
      <c r="G206" s="299">
        <f t="shared" si="62"/>
        <v>21080</v>
      </c>
      <c r="H206" s="299">
        <f t="shared" si="62"/>
        <v>21080</v>
      </c>
      <c r="I206" s="299">
        <f t="shared" si="62"/>
        <v>21080</v>
      </c>
      <c r="J206" s="299">
        <f t="shared" si="62"/>
        <v>95526.556101994</v>
      </c>
      <c r="K206" s="299">
        <f t="shared" si="62"/>
        <v>94597.0598354882</v>
      </c>
      <c r="L206" s="299">
        <f t="shared" si="62"/>
        <v>0</v>
      </c>
      <c r="M206" s="299"/>
      <c r="N206" s="299"/>
      <c r="O206" s="299"/>
      <c r="P206" s="315"/>
      <c r="Q206" s="203"/>
      <c r="R206" s="315"/>
      <c r="S206" s="315"/>
      <c r="T206" s="203"/>
      <c r="U206" s="203"/>
    </row>
    <row r="207" s="140" customFormat="1" spans="1:21">
      <c r="A207" s="298" t="s">
        <v>274</v>
      </c>
      <c r="B207" s="203"/>
      <c r="C207" s="262" t="s">
        <v>117</v>
      </c>
      <c r="D207" s="299">
        <f t="shared" ref="D207:L207" si="63">D205-D206</f>
        <v>514.046208873975</v>
      </c>
      <c r="E207" s="300">
        <f t="shared" si="63"/>
        <v>690.382616160183</v>
      </c>
      <c r="F207" s="300">
        <f t="shared" si="63"/>
        <v>1272.494064128</v>
      </c>
      <c r="G207" s="300">
        <f t="shared" si="63"/>
        <v>1036.65347584001</v>
      </c>
      <c r="H207" s="300">
        <f t="shared" si="63"/>
        <v>1036.65347584001</v>
      </c>
      <c r="I207" s="300">
        <f t="shared" si="63"/>
        <v>1036.65347584001</v>
      </c>
      <c r="J207" s="300">
        <f t="shared" si="63"/>
        <v>2769.68156840606</v>
      </c>
      <c r="K207" s="300">
        <f t="shared" si="63"/>
        <v>3699.17783491185</v>
      </c>
      <c r="L207" s="300">
        <f t="shared" si="63"/>
        <v>0</v>
      </c>
      <c r="M207" s="300"/>
      <c r="N207" s="300"/>
      <c r="O207" s="300"/>
      <c r="P207" s="315"/>
      <c r="Q207" s="203"/>
      <c r="R207" s="315"/>
      <c r="S207" s="315"/>
      <c r="T207" s="203"/>
      <c r="U207" s="203"/>
    </row>
    <row r="208" s="140" customFormat="1" spans="1:21">
      <c r="A208" s="303"/>
      <c r="D208" s="303"/>
      <c r="P208" s="308"/>
      <c r="R208" s="308"/>
      <c r="S208" s="308"/>
      <c r="T208" s="203"/>
      <c r="U208" s="203"/>
    </row>
    <row r="209" s="140" customFormat="1" spans="1:19">
      <c r="A209" s="303"/>
      <c r="D209" s="160" t="str">
        <f>IF(B42="","",B42)</f>
        <v>BR01-01</v>
      </c>
      <c r="E209" s="160" t="str">
        <f>IF(B43="","",B43)</f>
        <v>BR01-02</v>
      </c>
      <c r="F209" s="160" t="str">
        <f>IF(B44="","",B44)</f>
        <v>BR01-03</v>
      </c>
      <c r="G209" s="160" t="str">
        <f>IF(B45="","",B45)</f>
        <v>BR01-04</v>
      </c>
      <c r="H209" s="160" t="str">
        <f>IF(B46="","",B46)</f>
        <v>BR01-05</v>
      </c>
      <c r="I209" s="160" t="str">
        <f>IF(B47="","",B47)</f>
        <v>BR01-06</v>
      </c>
      <c r="J209" s="160" t="str">
        <f>IF(B48="","",B48)</f>
        <v>BR01-07</v>
      </c>
      <c r="K209" s="160" t="str">
        <f>IF(B49="","",B49)</f>
        <v>BR01-08</v>
      </c>
      <c r="L209" s="160" t="str">
        <f>IF(B50="","",B50)</f>
        <v>BR01-09</v>
      </c>
      <c r="M209" s="83"/>
      <c r="N209" s="83"/>
      <c r="O209" s="83"/>
      <c r="P209" s="317"/>
      <c r="R209" s="318"/>
      <c r="S209" s="318"/>
    </row>
    <row r="210" s="140" customFormat="1" spans="1:19">
      <c r="A210" s="303"/>
      <c r="D210" s="160" t="str">
        <f>C42</f>
        <v>[retail]</v>
      </c>
      <c r="E210" s="160" t="str">
        <f>C43</f>
        <v>[retail]</v>
      </c>
      <c r="F210" s="160" t="str">
        <f>C44</f>
        <v>[retail]</v>
      </c>
      <c r="G210" s="160" t="str">
        <f>C45</f>
        <v>[retail]</v>
      </c>
      <c r="H210" s="160" t="str">
        <f>C46</f>
        <v>[retail]</v>
      </c>
      <c r="I210" s="160" t="str">
        <f>C47</f>
        <v>[retail]</v>
      </c>
      <c r="J210" s="160" t="str">
        <f>C48</f>
        <v>[wholesale]</v>
      </c>
      <c r="K210" s="160" t="str">
        <f>C49</f>
        <v>[wholesale]</v>
      </c>
      <c r="L210" s="160" t="str">
        <f>C50</f>
        <v>[retail]</v>
      </c>
      <c r="M210" s="83"/>
      <c r="N210" s="83"/>
      <c r="O210" s="83"/>
      <c r="P210" s="317"/>
      <c r="R210" s="318"/>
      <c r="S210" s="318"/>
    </row>
    <row r="211" s="140" customFormat="1" spans="1:19">
      <c r="A211" s="303"/>
      <c r="B211" s="312" t="s">
        <v>103</v>
      </c>
      <c r="C211" s="262" t="s">
        <v>256</v>
      </c>
      <c r="D211" s="268">
        <f>IF(VLOOKUP(D209,ProductsRangeMkt,3,FALSE)="Special Offer",SpecialOfferm(D209,1,"FY-1"),MIN(D88,D103*capacity))</f>
        <v>412.921728739295</v>
      </c>
      <c r="E211" s="268">
        <f>IF(VLOOKUP(E209,ProductsRangeMkt,3,FALSE)="Special Offer",SpecialOfferm(E209,1,"FY-1"),MIN(E88,E103*capacity))</f>
        <v>488.290155440415</v>
      </c>
      <c r="F211" s="268">
        <f>IF(VLOOKUP(F209,ProductsRangeMkt,3,FALSE)="Special Offer",SpecialOfferm(F209,1,"FY-1"),MIN(F88,F103*capacity))</f>
        <v>0</v>
      </c>
      <c r="G211" s="268">
        <f>IF(VLOOKUP(G209,ProductsRangeMkt,3,FALSE)="Special Offer",SpecialOfferm(G209,1,"FY-1"),MIN(G88,G103*capacity))</f>
        <v>1155.9193851744</v>
      </c>
      <c r="H211" s="268">
        <f>IF(VLOOKUP(H209,ProductsRangeMkt,3,FALSE)="Special Offer",SpecialOfferm(H209,1,"FY-1"),MIN(H88,H103*capacity))</f>
        <v>1155.9193851744</v>
      </c>
      <c r="I211" s="268">
        <f>IF(VLOOKUP(I209,ProductsRangeMkt,3,FALSE)="Special Offer",SpecialOfferm(I209,1,"FY-1"),MIN(I88,I103*capacity))</f>
        <v>1155.9193851744</v>
      </c>
      <c r="J211" s="268">
        <f>IF(VLOOKUP(J209,ProductsRangeMkt,3,FALSE)="Special Offer",SpecialOfferm(J209,1,"FY-1"),MIN(J88,J103*capacity))</f>
        <v>2067.0782712607</v>
      </c>
      <c r="K211" s="268">
        <f>IF(VLOOKUP(K209,ProductsRangeMkt,3,FALSE)="Special Offer",SpecialOfferm(K209,1,"FY-1"),MIN(K88,K103*capacity))</f>
        <v>1991.70984455959</v>
      </c>
      <c r="L211" s="268">
        <f>IF(VLOOKUP(L209,ProductsRangeMkt,3,FALSE)="Special Offer",SpecialOfferm(L209,1,"FY-1"),MIN(L88,L103*capacity))</f>
        <v>252.241844476799</v>
      </c>
      <c r="M211" s="268"/>
      <c r="N211" s="268"/>
      <c r="O211" s="268"/>
      <c r="P211" s="317"/>
      <c r="R211" s="318"/>
      <c r="S211" s="318"/>
    </row>
    <row r="212" s="140" customFormat="1" spans="1:19">
      <c r="A212" s="303"/>
      <c r="B212" s="312" t="s">
        <v>103</v>
      </c>
      <c r="C212" s="262" t="s">
        <v>257</v>
      </c>
      <c r="D212" s="268">
        <f>IF(VLOOKUP(D209,ProductsRangeMkt,3,FALSE)="Special Offer",SpecialOfferm(D209,7,"FY-1"),MIN(D89,D104*capacity))</f>
        <v>412.921728739295</v>
      </c>
      <c r="E212" s="268">
        <f>IF(VLOOKUP(E209,ProductsRangeMkt,3,FALSE)="Special Offer",SpecialOfferm(E209,7,"FY-1"),MIN(E89,E104*capacity))</f>
        <v>420.714285714286</v>
      </c>
      <c r="F212" s="268">
        <f>IF(VLOOKUP(F209,ProductsRangeMkt,3,FALSE)="Special Offer",SpecialOfferm(F209,7,"FY-1"),MIN(F89,F104*capacity))</f>
        <v>0</v>
      </c>
      <c r="G212" s="268">
        <f>IF(VLOOKUP(G209,ProductsRangeMkt,3,FALSE)="Special Offer",SpecialOfferm(G209,7,"FY-1"),MIN(G89,G104*capacity))</f>
        <v>1155.9193851744</v>
      </c>
      <c r="H212" s="268">
        <f>IF(VLOOKUP(H209,ProductsRangeMkt,3,FALSE)="Special Offer",SpecialOfferm(H209,7,"FY-1"),MIN(H89,H104*capacity))</f>
        <v>1155.9193851744</v>
      </c>
      <c r="I212" s="268">
        <f>IF(VLOOKUP(I209,ProductsRangeMkt,3,FALSE)="Special Offer",SpecialOfferm(I209,7,"FY-1"),MIN(I89,I104*capacity))</f>
        <v>1155.9193851744</v>
      </c>
      <c r="J212" s="268">
        <f>IF(VLOOKUP(J209,ProductsRangeMkt,3,FALSE)="Special Offer",SpecialOfferm(J209,7,"FY-1"),MIN(J89,J104*capacity))</f>
        <v>2067.0782712607</v>
      </c>
      <c r="K212" s="268">
        <f>IF(VLOOKUP(K209,ProductsRangeMkt,3,FALSE)="Special Offer",SpecialOfferm(K209,7,"FY-1"),MIN(K89,K104*capacity))</f>
        <v>2059.28571428571</v>
      </c>
      <c r="L212" s="268">
        <f>IF(VLOOKUP(L209,ProductsRangeMkt,3,FALSE)="Special Offer",SpecialOfferm(L209,7,"FY-1"),MIN(L89,L104*capacity))</f>
        <v>658.924614181116</v>
      </c>
      <c r="M212" s="268"/>
      <c r="N212" s="268"/>
      <c r="O212" s="268"/>
      <c r="P212" s="317"/>
      <c r="R212" s="318"/>
      <c r="S212" s="318"/>
    </row>
    <row r="213" s="140" customFormat="1" spans="1:19">
      <c r="A213" s="303"/>
      <c r="B213" s="312" t="s">
        <v>103</v>
      </c>
      <c r="C213" s="96" t="s">
        <v>258</v>
      </c>
      <c r="D213" s="268">
        <f>IF(VLOOKUP(D209,ProductsRangeMkt,3,FALSE)="Special Offer",SpecialOfferm(D209,3,"FY-1"),MIN(D90,D105*capacity))</f>
        <v>412.921728739295</v>
      </c>
      <c r="E213" s="268">
        <f>IF(VLOOKUP(E209,ProductsRangeMkt,3,FALSE)="Special Offer",SpecialOfferm(E209,3,"FY-1"),MIN(E90,E105*capacity))</f>
        <v>488.290155440415</v>
      </c>
      <c r="F213" s="268">
        <f>IF(VLOOKUP(F209,ProductsRangeMkt,3,FALSE)="Special Offer",SpecialOfferm(F209,3,"FY-1"),MIN(F90,F105*capacity))</f>
        <v>0</v>
      </c>
      <c r="G213" s="268">
        <f>IF(VLOOKUP(G209,ProductsRangeMkt,3,FALSE)="Special Offer",SpecialOfferm(G209,3,"FY-1"),MIN(G90,G105*capacity))</f>
        <v>1240</v>
      </c>
      <c r="H213" s="268">
        <f>IF(VLOOKUP(H209,ProductsRangeMkt,3,FALSE)="Special Offer",SpecialOfferm(H209,3,"FY-1"),MIN(H90,H105*capacity))</f>
        <v>1240</v>
      </c>
      <c r="I213" s="268">
        <f>IF(VLOOKUP(I209,ProductsRangeMkt,3,FALSE)="Special Offer",SpecialOfferm(I209,3,"FY-1"),MIN(I90,I105*capacity))</f>
        <v>1240</v>
      </c>
      <c r="J213" s="268">
        <f>IF(VLOOKUP(J209,ProductsRangeMkt,3,FALSE)="Special Offer",SpecialOfferm(J209,3,"FY-1"),MIN(J90,J105*capacity))</f>
        <v>2067.0782712607</v>
      </c>
      <c r="K213" s="268">
        <f>IF(VLOOKUP(K209,ProductsRangeMkt,3,FALSE)="Special Offer",SpecialOfferm(K209,3,"FY-1"),MIN(K90,K105*capacity))</f>
        <v>1991.70984455959</v>
      </c>
      <c r="L213" s="268">
        <f>IF(VLOOKUP(L209,ProductsRangeMkt,3,FALSE)="Special Offer",SpecialOfferm(L209,3,"FY-1"),MIN(L90,L105*capacity))</f>
        <v>0</v>
      </c>
      <c r="M213" s="268"/>
      <c r="N213" s="268"/>
      <c r="O213" s="268"/>
      <c r="P213" s="317"/>
      <c r="R213" s="318"/>
      <c r="S213" s="318"/>
    </row>
    <row r="214" s="140" customFormat="1" spans="1:19">
      <c r="A214" s="303"/>
      <c r="B214" s="312" t="s">
        <v>103</v>
      </c>
      <c r="C214" s="96" t="s">
        <v>259</v>
      </c>
      <c r="D214" s="268">
        <f>IF(VLOOKUP(D209,ProductsRangeMkt,3,FALSE)="Special Offer",SpecialOfferm(D209,4,"FY-1"),MIN(D91,D106*capacity))</f>
        <v>442.26480824064</v>
      </c>
      <c r="E214" s="268">
        <f>IF(VLOOKUP(E209,ProductsRangeMkt,3,FALSE)="Special Offer",SpecialOfferm(E209,4,"FY-1"),MIN(E91,E106*capacity))</f>
        <v>621.704233095107</v>
      </c>
      <c r="F214" s="268">
        <f>IF(VLOOKUP(F209,ProductsRangeMkt,3,FALSE)="Special Offer",SpecialOfferm(F209,4,"FY-1"),MIN(F91,F106*capacity))</f>
        <v>0</v>
      </c>
      <c r="G214" s="268">
        <f>IF(VLOOKUP(G209,ProductsRangeMkt,3,FALSE)="Special Offer",SpecialOfferm(G209,4,"FY-1"),MIN(G91,G106*capacity))</f>
        <v>1240</v>
      </c>
      <c r="H214" s="268">
        <f>IF(VLOOKUP(H209,ProductsRangeMkt,3,FALSE)="Special Offer",SpecialOfferm(H209,4,"FY-1"),MIN(H91,H106*capacity))</f>
        <v>1240</v>
      </c>
      <c r="I214" s="268">
        <f>IF(VLOOKUP(I209,ProductsRangeMkt,3,FALSE)="Special Offer",SpecialOfferm(I209,4,"FY-1"),MIN(I91,I106*capacity))</f>
        <v>1240</v>
      </c>
      <c r="J214" s="268">
        <f>IF(VLOOKUP(J209,ProductsRangeMkt,3,FALSE)="Special Offer",SpecialOfferm(J209,4,"FY-1"),MIN(J91,J106*capacity))</f>
        <v>8117.8869407328</v>
      </c>
      <c r="K214" s="268">
        <f>IF(VLOOKUP(K209,ProductsRangeMkt,3,FALSE)="Special Offer",SpecialOfferm(K209,4,"FY-1"),MIN(K91,K106*capacity))</f>
        <v>9298.29576690489</v>
      </c>
      <c r="L214" s="268">
        <f>IF(VLOOKUP(L209,ProductsRangeMkt,3,FALSE)="Special Offer",SpecialOfferm(L209,4,"FY-1"),MIN(L91,L106*capacity))</f>
        <v>119.84825102656</v>
      </c>
      <c r="M214" s="268"/>
      <c r="N214" s="268"/>
      <c r="O214" s="268"/>
      <c r="P214" s="317"/>
      <c r="R214" s="318"/>
      <c r="S214" s="318"/>
    </row>
    <row r="215" s="140" customFormat="1" spans="1:19">
      <c r="A215" s="303"/>
      <c r="B215" s="312" t="s">
        <v>103</v>
      </c>
      <c r="C215" s="96" t="s">
        <v>260</v>
      </c>
      <c r="D215" s="268">
        <f>IF(VLOOKUP(D209,ProductsRangeMkt,3,FALSE)="Special Offer",SpecialOfferm(D209,5,"FY-1"),MIN(D92,D107*capacity))</f>
        <v>1219.37153419593</v>
      </c>
      <c r="E215" s="268">
        <f>IF(VLOOKUP(E209,ProductsRangeMkt,3,FALSE)="Special Offer",SpecialOfferm(E209,5,"FY-1"),MIN(E92,E107*capacity))</f>
        <v>1216.22822266176</v>
      </c>
      <c r="F215" s="268">
        <f>IF(VLOOKUP(F209,ProductsRangeMkt,3,FALSE)="Special Offer",SpecialOfferm(F209,5,"FY-1"),MIN(F92,F107*capacity))</f>
        <v>995.09581854144</v>
      </c>
      <c r="G215" s="268">
        <f>IF(VLOOKUP(G209,ProductsRangeMkt,3,FALSE)="Special Offer",SpecialOfferm(G209,5,"FY-1"),MIN(G92,G107*capacity))</f>
        <v>1240</v>
      </c>
      <c r="H215" s="268">
        <f>IF(VLOOKUP(H209,ProductsRangeMkt,3,FALSE)="Special Offer",SpecialOfferm(H209,5,"FY-1"),MIN(H92,H107*capacity))</f>
        <v>1240</v>
      </c>
      <c r="I215" s="268">
        <f>IF(VLOOKUP(I209,ProductsRangeMkt,3,FALSE)="Special Offer",SpecialOfferm(I209,5,"FY-1"),MIN(I92,I107*capacity))</f>
        <v>1240</v>
      </c>
      <c r="J215" s="268">
        <f>IF(VLOOKUP(J209,ProductsRangeMkt,3,FALSE)="Special Offer",SpecialOfferm(J209,5,"FY-1"),MIN(J92,J107*capacity))</f>
        <v>7460.62846580407</v>
      </c>
      <c r="K215" s="268">
        <f>IF(VLOOKUP(K209,ProductsRangeMkt,3,FALSE)="Special Offer",SpecialOfferm(K209,5,"FY-1"),MIN(K92,K107*capacity))</f>
        <v>9921.8618164512</v>
      </c>
      <c r="L215" s="268">
        <f>IF(VLOOKUP(L209,ProductsRangeMkt,3,FALSE)="Special Offer",SpecialOfferm(L209,5,"FY-1"),MIN(L92,L107*capacity))</f>
        <v>266.8141423456</v>
      </c>
      <c r="M215" s="268"/>
      <c r="N215" s="268"/>
      <c r="O215" s="268"/>
      <c r="P215" s="317"/>
      <c r="R215" s="318"/>
      <c r="S215" s="318"/>
    </row>
    <row r="216" s="140" customFormat="1" spans="1:19">
      <c r="A216" s="303"/>
      <c r="B216" s="312" t="s">
        <v>103</v>
      </c>
      <c r="C216" s="96" t="s">
        <v>261</v>
      </c>
      <c r="D216" s="268">
        <f>IF(VLOOKUP(D209,ProductsRangeMkt,3,FALSE)="Special Offer",SpecialOfferm(D209,6,"FY-1"),MIN(D93,D108*capacity))</f>
        <v>1270.0462836918</v>
      </c>
      <c r="E216" s="268">
        <f>IF(VLOOKUP(E209,ProductsRangeMkt,3,FALSE)="Special Offer",SpecialOfferm(E209,6,"FY-1"),MIN(E93,E108*capacity))</f>
        <v>1198.30180748214</v>
      </c>
      <c r="F216" s="268">
        <f>IF(VLOOKUP(F209,ProductsRangeMkt,3,FALSE)="Special Offer",SpecialOfferm(F209,6,"FY-1"),MIN(F93,F108*capacity))</f>
        <v>1085.55907477248</v>
      </c>
      <c r="G216" s="268">
        <f>IF(VLOOKUP(G209,ProductsRangeMkt,3,FALSE)="Special Offer",SpecialOfferm(G209,6,"FY-1"),MIN(G93,G108*capacity))</f>
        <v>2311.8387703488</v>
      </c>
      <c r="H216" s="268">
        <f>IF(VLOOKUP(H209,ProductsRangeMkt,3,FALSE)="Special Offer",SpecialOfferm(H209,6,"FY-1"),MIN(H93,H108*capacity))</f>
        <v>2311.8387703488</v>
      </c>
      <c r="I216" s="268">
        <f>IF(VLOOKUP(I209,ProductsRangeMkt,3,FALSE)="Special Offer",SpecialOfferm(I209,6,"FY-1"),MIN(I93,I108*capacity))</f>
        <v>2311.8387703488</v>
      </c>
      <c r="J216" s="268">
        <f>IF(VLOOKUP(J209,ProductsRangeMkt,3,FALSE)="Special Offer",SpecialOfferm(J209,6,"FY-1"),MIN(J93,J108*capacity))</f>
        <v>9889.95371630819</v>
      </c>
      <c r="K216" s="268">
        <f>IF(VLOOKUP(K209,ProductsRangeMkt,3,FALSE)="Special Offer",SpecialOfferm(K209,6,"FY-1"),MIN(K93,K108*capacity))</f>
        <v>12441.6981925179</v>
      </c>
      <c r="L216" s="268">
        <f>IF(VLOOKUP(L209,ProductsRangeMkt,3,FALSE)="Special Offer",SpecialOfferm(L209,6,"FY-1"),MIN(L93,L108*capacity))</f>
        <v>658.924614181116</v>
      </c>
      <c r="M216" s="268"/>
      <c r="N216" s="268"/>
      <c r="O216" s="268"/>
      <c r="P216" s="317"/>
      <c r="R216" s="318"/>
      <c r="S216" s="318"/>
    </row>
    <row r="217" s="140" customFormat="1" spans="1:19">
      <c r="A217" s="303"/>
      <c r="B217" s="312" t="s">
        <v>103</v>
      </c>
      <c r="C217" s="96" t="s">
        <v>262</v>
      </c>
      <c r="D217" s="268">
        <f>IF(VLOOKUP(D209,ProductsRangeMkt,3,FALSE)="Special Offer",SpecialOfferm(D209,7,"FY-1"),MIN(D94,D109*capacity))</f>
        <v>1270.0462836918</v>
      </c>
      <c r="E217" s="268">
        <f>IF(VLOOKUP(E209,ProductsRangeMkt,3,FALSE)="Special Offer",SpecialOfferm(E209,7,"FY-1"),MIN(E94,E109*capacity))</f>
        <v>1198.30180748214</v>
      </c>
      <c r="F217" s="268">
        <f>IF(VLOOKUP(F209,ProductsRangeMkt,3,FALSE)="Special Offer",SpecialOfferm(F209,7,"FY-1"),MIN(F94,F109*capacity))</f>
        <v>1085.55907477248</v>
      </c>
      <c r="G217" s="268">
        <f>IF(VLOOKUP(G209,ProductsRangeMkt,3,FALSE)="Special Offer",SpecialOfferm(G209,7,"FY-1"),MIN(G94,G109*capacity))</f>
        <v>2311.8387703488</v>
      </c>
      <c r="H217" s="268">
        <f>IF(VLOOKUP(H209,ProductsRangeMkt,3,FALSE)="Special Offer",SpecialOfferm(H209,7,"FY-1"),MIN(H94,H109*capacity))</f>
        <v>2311.8387703488</v>
      </c>
      <c r="I217" s="268">
        <f>IF(VLOOKUP(I209,ProductsRangeMkt,3,FALSE)="Special Offer",SpecialOfferm(I209,7,"FY-1"),MIN(I94,I109*capacity))</f>
        <v>2311.8387703488</v>
      </c>
      <c r="J217" s="268">
        <f>IF(VLOOKUP(J209,ProductsRangeMkt,3,FALSE)="Special Offer",SpecialOfferm(J209,7,"FY-1"),MIN(J94,J109*capacity))</f>
        <v>9889.95371630819</v>
      </c>
      <c r="K217" s="268">
        <f>IF(VLOOKUP(K209,ProductsRangeMkt,3,FALSE)="Special Offer",SpecialOfferm(K209,7,"FY-1"),MIN(K94,K109*capacity))</f>
        <v>12441.6981925179</v>
      </c>
      <c r="L217" s="268">
        <f>IF(VLOOKUP(L209,ProductsRangeMkt,3,FALSE)="Special Offer",SpecialOfferm(L209,7,"FY-1"),MIN(L94,L109*capacity))</f>
        <v>658.924614181116</v>
      </c>
      <c r="M217" s="268"/>
      <c r="N217" s="268"/>
      <c r="O217" s="268"/>
      <c r="P217" s="317"/>
      <c r="R217" s="318"/>
      <c r="S217" s="318"/>
    </row>
    <row r="218" s="140" customFormat="1" spans="1:19">
      <c r="A218" s="303"/>
      <c r="B218" s="312" t="s">
        <v>103</v>
      </c>
      <c r="C218" s="96" t="s">
        <v>263</v>
      </c>
      <c r="D218" s="268">
        <f>IF(VLOOKUP(D209,ProductsRangeMkt,3,FALSE)="Special Offer",SpecialOfferm(D209,8,"FY-1"),MIN(D95,D110*capacity))</f>
        <v>1292.56857855362</v>
      </c>
      <c r="E218" s="268">
        <f>IF(VLOOKUP(E209,ProductsRangeMkt,3,FALSE)="Special Offer",SpecialOfferm(E209,8,"FY-1"),MIN(E95,E110*capacity))</f>
        <v>1127.32721121315</v>
      </c>
      <c r="F218" s="268">
        <f>IF(VLOOKUP(F209,ProductsRangeMkt,3,FALSE)="Special Offer",SpecialOfferm(F209,8,"FY-1"),MIN(F95,F110*capacity))</f>
        <v>1085.55907477248</v>
      </c>
      <c r="G218" s="268">
        <f>IF(VLOOKUP(G209,ProductsRangeMkt,3,FALSE)="Special Offer",SpecialOfferm(G209,8,"FY-1"),MIN(G95,G110*capacity))</f>
        <v>2480</v>
      </c>
      <c r="H218" s="268">
        <f>IF(VLOOKUP(H209,ProductsRangeMkt,3,FALSE)="Special Offer",SpecialOfferm(H209,8,"FY-1"),MIN(H95,H110*capacity))</f>
        <v>2480</v>
      </c>
      <c r="I218" s="268">
        <f>IF(VLOOKUP(I209,ProductsRangeMkt,3,FALSE)="Special Offer",SpecialOfferm(I209,8,"FY-1"),MIN(I95,I110*capacity))</f>
        <v>2480</v>
      </c>
      <c r="J218" s="268">
        <f>IF(VLOOKUP(J209,ProductsRangeMkt,3,FALSE)="Special Offer",SpecialOfferm(J209,8,"FY-1"),MIN(J95,J110*capacity))</f>
        <v>8627.43142144638</v>
      </c>
      <c r="K218" s="268">
        <f>IF(VLOOKUP(K209,ProductsRangeMkt,3,FALSE)="Special Offer",SpecialOfferm(K209,8,"FY-1"),MIN(K95,K110*capacity))</f>
        <v>10032.6727887869</v>
      </c>
      <c r="L218" s="268">
        <f>IF(VLOOKUP(L209,ProductsRangeMkt,3,FALSE)="Special Offer",SpecialOfferm(L209,8,"FY-1"),MIN(L95,L110*capacity))</f>
        <v>154.440925227522</v>
      </c>
      <c r="M218" s="268"/>
      <c r="N218" s="268"/>
      <c r="O218" s="268"/>
      <c r="P218" s="317"/>
      <c r="R218" s="318"/>
      <c r="S218" s="318"/>
    </row>
    <row r="219" s="140" customFormat="1" spans="1:19">
      <c r="A219" s="302"/>
      <c r="B219" s="312" t="s">
        <v>103</v>
      </c>
      <c r="C219" s="96" t="s">
        <v>264</v>
      </c>
      <c r="D219" s="268">
        <f>IF(VLOOKUP(D209,ProductsRangeMkt,3,FALSE)="Special Offer",SpecialOfferm(D209,9,"FY-1"),MIN(D96,D111*capacity))</f>
        <v>1292.56857855362</v>
      </c>
      <c r="E219" s="268">
        <f>IF(VLOOKUP(E209,ProductsRangeMkt,3,FALSE)="Special Offer",SpecialOfferm(E209,9,"FY-1"),MIN(E96,E111*capacity))</f>
        <v>1127.32721121315</v>
      </c>
      <c r="F219" s="268">
        <f>IF(VLOOKUP(F209,ProductsRangeMkt,3,FALSE)="Special Offer",SpecialOfferm(F209,9,"FY-1"),MIN(F96,F111*capacity))</f>
        <v>1085.55907477248</v>
      </c>
      <c r="G219" s="268">
        <f>IF(VLOOKUP(G209,ProductsRangeMkt,3,FALSE)="Special Offer",SpecialOfferm(G209,9,"FY-1"),MIN(G96,G111*capacity))</f>
        <v>2480</v>
      </c>
      <c r="H219" s="268">
        <f>IF(VLOOKUP(H209,ProductsRangeMkt,3,FALSE)="Special Offer",SpecialOfferm(H209,9,"FY-1"),MIN(H96,H111*capacity))</f>
        <v>2480</v>
      </c>
      <c r="I219" s="268">
        <f>IF(VLOOKUP(I209,ProductsRangeMkt,3,FALSE)="Special Offer",SpecialOfferm(I209,9,"FY-1"),MIN(I96,I111*capacity))</f>
        <v>2480</v>
      </c>
      <c r="J219" s="268">
        <f>IF(VLOOKUP(J209,ProductsRangeMkt,3,FALSE)="Special Offer",SpecialOfferm(J209,9,"FY-1"),MIN(J96,J111*capacity))</f>
        <v>8627.43142144638</v>
      </c>
      <c r="K219" s="268">
        <f>IF(VLOOKUP(K209,ProductsRangeMkt,3,FALSE)="Special Offer",SpecialOfferm(K209,9,"FY-1"),MIN(K96,K111*capacity))</f>
        <v>10032.6727887869</v>
      </c>
      <c r="L219" s="268">
        <f>IF(VLOOKUP(L209,ProductsRangeMkt,3,FALSE)="Special Offer",SpecialOfferm(L209,9,"FY-1"),MIN(L96,L111*capacity))</f>
        <v>154.440925227522</v>
      </c>
      <c r="M219" s="268"/>
      <c r="N219" s="268"/>
      <c r="O219" s="268"/>
      <c r="P219" s="317"/>
      <c r="R219" s="318"/>
      <c r="S219" s="318"/>
    </row>
    <row r="220" s="140" customFormat="1" spans="1:19">
      <c r="A220" s="302"/>
      <c r="B220" s="312" t="s">
        <v>103</v>
      </c>
      <c r="C220" s="96" t="s">
        <v>265</v>
      </c>
      <c r="D220" s="268">
        <f>IF(VLOOKUP(D209,ProductsRangeMkt,3,FALSE)="Special Offer",SpecialOfferm(D209,10,"FY-1"),MIN(D97,D112*capacity))</f>
        <v>1040.5047318612</v>
      </c>
      <c r="E220" s="268">
        <f>IF(VLOOKUP(E209,ProductsRangeMkt,3,FALSE)="Special Offer",SpecialOfferm(E209,10,"FY-1"),MIN(E97,E112*capacity))</f>
        <v>1216.22822266176</v>
      </c>
      <c r="F220" s="268">
        <f>IF(VLOOKUP(F209,ProductsRangeMkt,3,FALSE)="Special Offer",SpecialOfferm(F209,10,"FY-1"),MIN(F97,F112*capacity))</f>
        <v>995.09581854144</v>
      </c>
      <c r="G220" s="268">
        <f>IF(VLOOKUP(G209,ProductsRangeMkt,3,FALSE)="Special Offer",SpecialOfferm(G209,10,"FY-1"),MIN(G97,G112*capacity))</f>
        <v>2480</v>
      </c>
      <c r="H220" s="268">
        <f>IF(VLOOKUP(H209,ProductsRangeMkt,3,FALSE)="Special Offer",SpecialOfferm(H209,10,"FY-1"),MIN(H97,H112*capacity))</f>
        <v>2480</v>
      </c>
      <c r="I220" s="268">
        <f>IF(VLOOKUP(I209,ProductsRangeMkt,3,FALSE)="Special Offer",SpecialOfferm(I209,10,"FY-1"),MIN(I97,I112*capacity))</f>
        <v>2480</v>
      </c>
      <c r="J220" s="268">
        <f>IF(VLOOKUP(J209,ProductsRangeMkt,3,FALSE)="Special Offer",SpecialOfferm(J209,10,"FY-1"),MIN(J97,J112*capacity))</f>
        <v>7639.4952681388</v>
      </c>
      <c r="K220" s="268">
        <f>IF(VLOOKUP(K209,ProductsRangeMkt,3,FALSE)="Special Offer",SpecialOfferm(K209,10,"FY-1"),MIN(K97,K112*capacity))</f>
        <v>9921.8618164512</v>
      </c>
      <c r="L220" s="268">
        <f>IF(VLOOKUP(L209,ProductsRangeMkt,3,FALSE)="Special Offer",SpecialOfferm(L209,10,"FY-1"),MIN(L97,L112*capacity))</f>
        <v>266.8141423456</v>
      </c>
      <c r="M220" s="268"/>
      <c r="N220" s="268"/>
      <c r="O220" s="268"/>
      <c r="P220" s="308"/>
      <c r="R220" s="308"/>
      <c r="S220" s="308"/>
    </row>
    <row r="221" s="140" customFormat="1" spans="1:19">
      <c r="A221" s="298"/>
      <c r="B221" s="312" t="s">
        <v>103</v>
      </c>
      <c r="C221" s="96" t="s">
        <v>266</v>
      </c>
      <c r="D221" s="268">
        <f>IF(VLOOKUP(D209,ProductsRangeMkt,3,FALSE)="Special Offer",SpecialOfferm(D209,11,"FY-1"),MIN(D98,D113*capacity))</f>
        <v>642.393767705383</v>
      </c>
      <c r="E221" s="268">
        <f>IF(VLOOKUP(E209,ProductsRangeMkt,3,FALSE)="Special Offer",SpecialOfferm(E209,11,"FY-1"),MIN(E98,E113*capacity))</f>
        <v>488.290155440415</v>
      </c>
      <c r="F221" s="268">
        <f>IF(VLOOKUP(F209,ProductsRangeMkt,3,FALSE)="Special Offer",SpecialOfferm(F209,11,"FY-1"),MIN(F98,F113*capacity))</f>
        <v>1240</v>
      </c>
      <c r="G221" s="268">
        <f>IF(VLOOKUP(G209,ProductsRangeMkt,3,FALSE)="Special Offer",SpecialOfferm(G209,11,"FY-1"),MIN(G98,G113*capacity))</f>
        <v>1240</v>
      </c>
      <c r="H221" s="268">
        <f>IF(VLOOKUP(H209,ProductsRangeMkt,3,FALSE)="Special Offer",SpecialOfferm(H209,11,"FY-1"),MIN(H98,H113*capacity))</f>
        <v>1240</v>
      </c>
      <c r="I221" s="268">
        <f>IF(VLOOKUP(I209,ProductsRangeMkt,3,FALSE)="Special Offer",SpecialOfferm(I209,11,"FY-1"),MIN(I98,I113*capacity))</f>
        <v>1240</v>
      </c>
      <c r="J221" s="268">
        <f>IF(VLOOKUP(J209,ProductsRangeMkt,3,FALSE)="Special Offer",SpecialOfferm(J209,11,"FY-1"),MIN(J98,J113*capacity))</f>
        <v>1837.60623229462</v>
      </c>
      <c r="K221" s="268">
        <f>IF(VLOOKUP(K209,ProductsRangeMkt,3,FALSE)="Special Offer",SpecialOfferm(K209,11,"FY-1"),MIN(K98,K113*capacity))</f>
        <v>1991.70984455959</v>
      </c>
      <c r="L221" s="268">
        <f>IF(VLOOKUP(L209,ProductsRangeMkt,3,FALSE)="Special Offer",SpecialOfferm(L209,11,"FY-1"),MIN(L98,L113*capacity))</f>
        <v>0</v>
      </c>
      <c r="M221" s="268"/>
      <c r="N221" s="268"/>
      <c r="O221" s="268"/>
      <c r="P221" s="308"/>
      <c r="R221" s="308"/>
      <c r="S221" s="308"/>
    </row>
    <row r="222" s="140" customFormat="1" spans="1:19">
      <c r="A222" s="298"/>
      <c r="B222" s="312" t="s">
        <v>103</v>
      </c>
      <c r="C222" s="96" t="s">
        <v>267</v>
      </c>
      <c r="D222" s="268">
        <f>IF(VLOOKUP(D209,ProductsRangeMkt,3,FALSE)="Special Offer",SpecialOfferm(D209,12,"FY-1"),MIN(D99,D114*capacity))</f>
        <v>642.393767705383</v>
      </c>
      <c r="E222" s="268">
        <f>IF(VLOOKUP(E209,ProductsRangeMkt,3,FALSE)="Special Offer",SpecialOfferm(E209,12,"FY-1"),MIN(E99,E114*capacity))</f>
        <v>420.714285714286</v>
      </c>
      <c r="F222" s="268">
        <f>IF(VLOOKUP(F209,ProductsRangeMkt,3,FALSE)="Special Offer",SpecialOfferm(F209,12,"FY-1"),MIN(F99,F114*capacity))</f>
        <v>0</v>
      </c>
      <c r="G222" s="268">
        <f>IF(VLOOKUP(G209,ProductsRangeMkt,3,FALSE)="Special Offer",SpecialOfferm(G209,12,"FY-1"),MIN(G99,G114*capacity))</f>
        <v>1240</v>
      </c>
      <c r="H222" s="268">
        <f>IF(VLOOKUP(H209,ProductsRangeMkt,3,FALSE)="Special Offer",SpecialOfferm(H209,12,"FY-1"),MIN(H99,H114*capacity))</f>
        <v>1240</v>
      </c>
      <c r="I222" s="268">
        <f>IF(VLOOKUP(I209,ProductsRangeMkt,3,FALSE)="Special Offer",SpecialOfferm(I209,12,"FY-1"),MIN(I99,I114*capacity))</f>
        <v>1240</v>
      </c>
      <c r="J222" s="268">
        <f>IF(VLOOKUP(J209,ProductsRangeMkt,3,FALSE)="Special Offer",SpecialOfferm(J209,12,"FY-1"),MIN(J99,J114*capacity))</f>
        <v>1837.60623229462</v>
      </c>
      <c r="K222" s="268">
        <f>IF(VLOOKUP(K209,ProductsRangeMkt,3,FALSE)="Special Offer",SpecialOfferm(K209,12,"FY-1"),MIN(K99,K114*capacity))</f>
        <v>2059.28571428571</v>
      </c>
      <c r="L222" s="268">
        <f>IF(VLOOKUP(L209,ProductsRangeMkt,3,FALSE)="Special Offer",SpecialOfferm(L209,12,"FY-1"),MIN(L99,L114*capacity))</f>
        <v>0</v>
      </c>
      <c r="M222" s="268"/>
      <c r="N222" s="268"/>
      <c r="O222" s="268"/>
      <c r="P222" s="308"/>
      <c r="R222" s="308"/>
      <c r="S222" s="308"/>
    </row>
    <row r="223" s="140" customFormat="1" spans="1:19">
      <c r="A223" s="298"/>
      <c r="B223" s="312" t="s">
        <v>104</v>
      </c>
      <c r="C223" s="262" t="s">
        <v>256</v>
      </c>
      <c r="D223" s="268">
        <f>IF(VLOOKUP(D209,ProductsRangeMkt,3,FALSE)="Special Offer",SpecialOfferm(D209,1,"FY-2"),MIN(D133,D148*capacity))</f>
        <v>391.184905660377</v>
      </c>
      <c r="E223" s="268">
        <f>IF(VLOOKUP(E209,ProductsRangeMkt,3,FALSE)="Special Offer",SpecialOfferm(E209,1,"FY-2"),MIN(E133,E148*capacity))</f>
        <v>510.660098522167</v>
      </c>
      <c r="F223" s="268">
        <f>IF(VLOOKUP(F209,ProductsRangeMkt,3,FALSE)="Special Offer",SpecialOfferm(F209,1,"FY-2"),MIN(F133,F148*capacity))</f>
        <v>0</v>
      </c>
      <c r="G223" s="268">
        <f>IF(VLOOKUP(G209,ProductsRangeMkt,3,FALSE)="Special Offer",SpecialOfferm(G209,1,"FY-2"),MIN(G133,G148*capacity))</f>
        <v>1230.4948293792</v>
      </c>
      <c r="H223" s="268">
        <f>IF(VLOOKUP(H209,ProductsRangeMkt,3,FALSE)="Special Offer",SpecialOfferm(H209,1,"FY-2"),MIN(H133,H148*capacity))</f>
        <v>1230.4948293792</v>
      </c>
      <c r="I223" s="268">
        <f>IF(VLOOKUP(I209,ProductsRangeMkt,3,FALSE)="Special Offer",SpecialOfferm(I209,1,"FY-2"),MIN(I133,I148*capacity))</f>
        <v>1230.4948293792</v>
      </c>
      <c r="J223" s="268">
        <f>IF(VLOOKUP(J209,ProductsRangeMkt,3,FALSE)="Special Offer",SpecialOfferm(J209,1,"FY-2"),MIN(J133,J148*capacity))</f>
        <v>2088.81509433962</v>
      </c>
      <c r="K223" s="268">
        <f>IF(VLOOKUP(K209,ProductsRangeMkt,3,FALSE)="Special Offer",SpecialOfferm(K209,1,"FY-2"),MIN(K133,K148*capacity))</f>
        <v>1969.33990147783</v>
      </c>
      <c r="L223" s="268">
        <f>IF(VLOOKUP(L209,ProductsRangeMkt,3,FALSE)="Special Offer",SpecialOfferm(L209,1,"FY-2"),MIN(L133,L148*capacity))</f>
        <v>28.5155118623989</v>
      </c>
      <c r="M223" s="268"/>
      <c r="N223" s="268"/>
      <c r="O223" s="268"/>
      <c r="P223" s="308"/>
      <c r="R223" s="308"/>
      <c r="S223" s="308"/>
    </row>
    <row r="224" s="140" customFormat="1" spans="1:19">
      <c r="A224" s="303"/>
      <c r="B224" s="312" t="s">
        <v>104</v>
      </c>
      <c r="C224" s="262" t="s">
        <v>257</v>
      </c>
      <c r="D224" s="268">
        <f>IF(VLOOKUP(D209,ProductsRangeMkt,3,FALSE)="Special Offer",SpecialOfferm(D209,2,"FY-2"),MIN(D134,D149*capacity))</f>
        <v>391.184905660377</v>
      </c>
      <c r="E224" s="268">
        <f>IF(VLOOKUP(E209,ProductsRangeMkt,3,FALSE)="Special Offer",SpecialOfferm(E209,2,"FY-2"),MIN(E134,E149*capacity))</f>
        <v>440.673354871621</v>
      </c>
      <c r="F224" s="268">
        <f>IF(VLOOKUP(F209,ProductsRangeMkt,3,FALSE)="Special Offer",SpecialOfferm(F209,2,"FY-2"),MIN(F134,F149*capacity))</f>
        <v>0</v>
      </c>
      <c r="G224" s="268">
        <f>IF(VLOOKUP(G209,ProductsRangeMkt,3,FALSE)="Special Offer",SpecialOfferm(G209,2,"FY-2"),MIN(G134,G149*capacity))</f>
        <v>1230.4948293792</v>
      </c>
      <c r="H224" s="268">
        <f>IF(VLOOKUP(H209,ProductsRangeMkt,3,FALSE)="Special Offer",SpecialOfferm(H209,2,"FY-2"),MIN(H134,H149*capacity))</f>
        <v>1230.4948293792</v>
      </c>
      <c r="I224" s="268">
        <f>IF(VLOOKUP(I209,ProductsRangeMkt,3,FALSE)="Special Offer",SpecialOfferm(I209,2,"FY-2"),MIN(I134,I149*capacity))</f>
        <v>1230.4948293792</v>
      </c>
      <c r="J224" s="268">
        <f>IF(VLOOKUP(J209,ProductsRangeMkt,3,FALSE)="Special Offer",SpecialOfferm(J209,2,"FY-2"),MIN(J134,J149*capacity))</f>
        <v>2088.81509433962</v>
      </c>
      <c r="K224" s="268">
        <f>IF(VLOOKUP(K209,ProductsRangeMkt,3,FALSE)="Special Offer",SpecialOfferm(K209,2,"FY-2"),MIN(K134,K149*capacity))</f>
        <v>2039.32664512838</v>
      </c>
      <c r="L224" s="268">
        <f>IF(VLOOKUP(L209,ProductsRangeMkt,3,FALSE)="Special Offer",SpecialOfferm(L209,2,"FY-2"),MIN(L134,L149*capacity))</f>
        <v>28.5155118623989</v>
      </c>
      <c r="M224" s="268"/>
      <c r="N224" s="268"/>
      <c r="O224" s="268"/>
      <c r="P224" s="317"/>
      <c r="R224" s="318"/>
      <c r="S224" s="318"/>
    </row>
    <row r="225" s="140" customFormat="1" spans="1:19">
      <c r="A225" s="303"/>
      <c r="B225" s="312" t="s">
        <v>104</v>
      </c>
      <c r="C225" s="96" t="s">
        <v>258</v>
      </c>
      <c r="D225" s="268">
        <f>IF(VLOOKUP(D209,ProductsRangeMkt,3,FALSE)="Special Offer",SpecialOfferm(D209,3,"FY-2"),MIN(D135,D150*capacity))</f>
        <v>391.184905660377</v>
      </c>
      <c r="E225" s="268">
        <f>IF(VLOOKUP(E209,ProductsRangeMkt,3,FALSE)="Special Offer",SpecialOfferm(E209,3,"FY-2"),MIN(E135,E150*capacity))</f>
        <v>510.660098522167</v>
      </c>
      <c r="F225" s="268">
        <f>IF(VLOOKUP(F209,ProductsRangeMkt,3,FALSE)="Special Offer",SpecialOfferm(F209,3,"FY-2"),MIN(F135,F150*capacity))</f>
        <v>0</v>
      </c>
      <c r="G225" s="268">
        <f>IF(VLOOKUP(G209,ProductsRangeMkt,3,FALSE)="Special Offer",SpecialOfferm(G209,3,"FY-2"),MIN(G135,G150*capacity))</f>
        <v>1240</v>
      </c>
      <c r="H225" s="268">
        <f>IF(VLOOKUP(H209,ProductsRangeMkt,3,FALSE)="Special Offer",SpecialOfferm(H209,3,"FY-2"),MIN(H135,H150*capacity))</f>
        <v>1240</v>
      </c>
      <c r="I225" s="268">
        <f>IF(VLOOKUP(I209,ProductsRangeMkt,3,FALSE)="Special Offer",SpecialOfferm(I209,3,"FY-2"),MIN(I135,I150*capacity))</f>
        <v>1240</v>
      </c>
      <c r="J225" s="268">
        <f>IF(VLOOKUP(J209,ProductsRangeMkt,3,FALSE)="Special Offer",SpecialOfferm(J209,3,"FY-2"),MIN(J135,J150*capacity))</f>
        <v>2088.81509433962</v>
      </c>
      <c r="K225" s="268">
        <f>IF(VLOOKUP(K209,ProductsRangeMkt,3,FALSE)="Special Offer",SpecialOfferm(K209,3,"FY-2"),MIN(K135,K150*capacity))</f>
        <v>1969.33990147783</v>
      </c>
      <c r="L225" s="268">
        <f>IF(VLOOKUP(L209,ProductsRangeMkt,3,FALSE)="Special Offer",SpecialOfferm(L209,3,"FY-2"),MIN(L135,L150*capacity))</f>
        <v>0</v>
      </c>
      <c r="M225" s="268"/>
      <c r="N225" s="268"/>
      <c r="O225" s="268"/>
      <c r="P225" s="317"/>
      <c r="R225" s="318"/>
      <c r="S225" s="318"/>
    </row>
    <row r="226" s="140" customFormat="1" spans="1:19">
      <c r="A226" s="303"/>
      <c r="B226" s="312" t="s">
        <v>104</v>
      </c>
      <c r="C226" s="96" t="s">
        <v>259</v>
      </c>
      <c r="D226" s="268">
        <f>IF(VLOOKUP(D209,ProductsRangeMkt,3,FALSE)="Special Offer",SpecialOfferm(D209,4,"FY-2"),MIN(D136,D151*capacity))</f>
        <v>470.79802167552</v>
      </c>
      <c r="E226" s="268">
        <f>IF(VLOOKUP(E209,ProductsRangeMkt,3,FALSE)="Special Offer",SpecialOfferm(E209,4,"FY-2"),MIN(E136,E151*capacity))</f>
        <v>655.202780996524</v>
      </c>
      <c r="F226" s="268">
        <f>IF(VLOOKUP(F209,ProductsRangeMkt,3,FALSE)="Special Offer",SpecialOfferm(F209,4,"FY-2"),MIN(F136,F151*capacity))</f>
        <v>0</v>
      </c>
      <c r="G226" s="268">
        <f>IF(VLOOKUP(G209,ProductsRangeMkt,3,FALSE)="Special Offer",SpecialOfferm(G209,4,"FY-2"),MIN(G136,G151*capacity))</f>
        <v>1240</v>
      </c>
      <c r="H226" s="268">
        <f>IF(VLOOKUP(H209,ProductsRangeMkt,3,FALSE)="Special Offer",SpecialOfferm(H209,4,"FY-2"),MIN(H136,H151*capacity))</f>
        <v>1240</v>
      </c>
      <c r="I226" s="268">
        <f>IF(VLOOKUP(I209,ProductsRangeMkt,3,FALSE)="Special Offer",SpecialOfferm(I209,4,"FY-2"),MIN(I136,I151*capacity))</f>
        <v>1240</v>
      </c>
      <c r="J226" s="268">
        <f>IF(VLOOKUP(J209,ProductsRangeMkt,3,FALSE)="Special Offer",SpecialOfferm(J209,4,"FY-2"),MIN(J136,J151*capacity))</f>
        <v>9217.72968754176</v>
      </c>
      <c r="K226" s="268">
        <f>IF(VLOOKUP(K209,ProductsRangeMkt,3,FALSE)="Special Offer",SpecialOfferm(K209,4,"FY-2"),MIN(K136,K151*capacity))</f>
        <v>9264.79721900348</v>
      </c>
      <c r="L226" s="268">
        <f>IF(VLOOKUP(L209,ProductsRangeMkt,3,FALSE)="Special Offer",SpecialOfferm(L209,4,"FY-2"),MIN(L136,L151*capacity))</f>
        <v>231.472290782716</v>
      </c>
      <c r="M226" s="268"/>
      <c r="N226" s="268"/>
      <c r="O226" s="268"/>
      <c r="P226" s="317"/>
      <c r="R226" s="318"/>
      <c r="S226" s="318"/>
    </row>
    <row r="227" s="140" customFormat="1" spans="1:19">
      <c r="A227" s="303"/>
      <c r="B227" s="312" t="s">
        <v>104</v>
      </c>
      <c r="C227" s="96" t="s">
        <v>260</v>
      </c>
      <c r="D227" s="268">
        <f>IF(VLOOKUP(D209,ProductsRangeMkt,3,FALSE)="Special Offer",SpecialOfferm(D209,5,"FY-2"),MIN(D137,D152*capacity))</f>
        <v>1318.04195804196</v>
      </c>
      <c r="E227" s="268">
        <f>IF(VLOOKUP(E209,ProductsRangeMkt,3,FALSE)="Special Offer",SpecialOfferm(E209,5,"FY-2"),MIN(E137,E152*capacity))</f>
        <v>1280.85667215815</v>
      </c>
      <c r="F227" s="268">
        <f>IF(VLOOKUP(F209,ProductsRangeMkt,3,FALSE)="Special Offer",SpecialOfferm(F209,5,"FY-2"),MIN(F137,F152*capacity))</f>
        <v>1059.29554876992</v>
      </c>
      <c r="G227" s="268">
        <f>IF(VLOOKUP(G209,ProductsRangeMkt,3,FALSE)="Special Offer",SpecialOfferm(G209,5,"FY-2"),MIN(G137,G152*capacity))</f>
        <v>1968.79172700672</v>
      </c>
      <c r="H227" s="268">
        <f>IF(VLOOKUP(H209,ProductsRangeMkt,3,FALSE)="Special Offer",SpecialOfferm(H209,5,"FY-2"),MIN(H137,H152*capacity))</f>
        <v>1968.79172700672</v>
      </c>
      <c r="I227" s="268">
        <f>IF(VLOOKUP(I209,ProductsRangeMkt,3,FALSE)="Special Offer",SpecialOfferm(I209,5,"FY-2"),MIN(I137,I152*capacity))</f>
        <v>1968.79172700672</v>
      </c>
      <c r="J227" s="268">
        <f>IF(VLOOKUP(J209,ProductsRangeMkt,3,FALSE)="Special Offer",SpecialOfferm(J209,5,"FY-2"),MIN(J137,J152*capacity))</f>
        <v>8601.95804195804</v>
      </c>
      <c r="K227" s="268">
        <f>IF(VLOOKUP(K209,ProductsRangeMkt,3,FALSE)="Special Offer",SpecialOfferm(K209,5,"FY-2"),MIN(K137,K152*capacity))</f>
        <v>9879.14332784184</v>
      </c>
      <c r="L227" s="268">
        <f>IF(VLOOKUP(L209,ProductsRangeMkt,3,FALSE)="Special Offer",SpecialOfferm(L209,5,"FY-2"),MIN(L137,L152*capacity))</f>
        <v>1714.32927020992</v>
      </c>
      <c r="M227" s="268"/>
      <c r="N227" s="268"/>
      <c r="O227" s="268"/>
      <c r="P227" s="317"/>
      <c r="R227" s="318"/>
      <c r="S227" s="318"/>
    </row>
    <row r="228" s="140" customFormat="1" spans="1:19">
      <c r="A228" s="303"/>
      <c r="B228" s="312" t="s">
        <v>104</v>
      </c>
      <c r="C228" s="96" t="s">
        <v>261</v>
      </c>
      <c r="D228" s="268">
        <f>IF(VLOOKUP(D209,ProductsRangeMkt,3,FALSE)="Special Offer",SpecialOfferm(D209,6,"FY-2"),MIN(D138,D153*capacity))</f>
        <v>1332.44215938303</v>
      </c>
      <c r="E228" s="268">
        <f>IF(VLOOKUP(E209,ProductsRangeMkt,3,FALSE)="Special Offer",SpecialOfferm(E209,6,"FY-2"),MIN(E138,E153*capacity))</f>
        <v>1261.04314955564</v>
      </c>
      <c r="F228" s="268">
        <f>IF(VLOOKUP(F209,ProductsRangeMkt,3,FALSE)="Special Offer",SpecialOfferm(F209,6,"FY-2"),MIN(F138,F153*capacity))</f>
        <v>1155.59514411264</v>
      </c>
      <c r="G228" s="268">
        <f>IF(VLOOKUP(G209,ProductsRangeMkt,3,FALSE)="Special Offer",SpecialOfferm(G209,6,"FY-2"),MIN(G138,G153*capacity))</f>
        <v>2460.9896587584</v>
      </c>
      <c r="H228" s="268">
        <f>IF(VLOOKUP(H209,ProductsRangeMkt,3,FALSE)="Special Offer",SpecialOfferm(H209,6,"FY-2"),MIN(H138,H153*capacity))</f>
        <v>2460.9896587584</v>
      </c>
      <c r="I228" s="268">
        <f>IF(VLOOKUP(I209,ProductsRangeMkt,3,FALSE)="Special Offer",SpecialOfferm(I209,6,"FY-2"),MIN(I138,I153*capacity))</f>
        <v>2460.9896587584</v>
      </c>
      <c r="J228" s="268">
        <f>IF(VLOOKUP(J209,ProductsRangeMkt,3,FALSE)="Special Offer",SpecialOfferm(J209,6,"FY-2"),MIN(J138,J153*capacity))</f>
        <v>11067.557840617</v>
      </c>
      <c r="K228" s="268">
        <f>IF(VLOOKUP(K209,ProductsRangeMkt,3,FALSE)="Special Offer",SpecialOfferm(K209,6,"FY-2"),MIN(K138,K153*capacity))</f>
        <v>12378.9568504444</v>
      </c>
      <c r="L228" s="268">
        <f>IF(VLOOKUP(L209,ProductsRangeMkt,3,FALSE)="Special Offer",SpecialOfferm(L209,6,"FY-2"),MIN(L138,L153*capacity))</f>
        <v>141.43587961216</v>
      </c>
      <c r="M228" s="268"/>
      <c r="N228" s="268"/>
      <c r="O228" s="268"/>
      <c r="P228" s="317"/>
      <c r="R228" s="318"/>
      <c r="S228" s="318"/>
    </row>
    <row r="229" s="140" customFormat="1" spans="1:19">
      <c r="A229" s="303"/>
      <c r="B229" s="312" t="s">
        <v>104</v>
      </c>
      <c r="C229" s="96" t="s">
        <v>262</v>
      </c>
      <c r="D229" s="268">
        <f>IF(VLOOKUP(D209,ProductsRangeMkt,3,FALSE)="Special Offer",SpecialOfferm(D209,7,"FY-2"),MIN(D139,D154*capacity))</f>
        <v>1332.44215938303</v>
      </c>
      <c r="E229" s="268">
        <f>IF(VLOOKUP(E209,ProductsRangeMkt,3,FALSE)="Special Offer",SpecialOfferm(E209,7,"FY-2"),MIN(E139,E154*capacity))</f>
        <v>1261.04314955564</v>
      </c>
      <c r="F229" s="268">
        <f>IF(VLOOKUP(F209,ProductsRangeMkt,3,FALSE)="Special Offer",SpecialOfferm(F209,7,"FY-2"),MIN(F139,F154*capacity))</f>
        <v>1155.59514411264</v>
      </c>
      <c r="G229" s="268">
        <f>IF(VLOOKUP(G209,ProductsRangeMkt,3,FALSE)="Special Offer",SpecialOfferm(G209,7,"FY-2"),MIN(G139,G154*capacity))</f>
        <v>2460.9896587584</v>
      </c>
      <c r="H229" s="268">
        <f>IF(VLOOKUP(H209,ProductsRangeMkt,3,FALSE)="Special Offer",SpecialOfferm(H209,7,"FY-2"),MIN(H139,H154*capacity))</f>
        <v>2460.9896587584</v>
      </c>
      <c r="I229" s="268">
        <f>IF(VLOOKUP(I209,ProductsRangeMkt,3,FALSE)="Special Offer",SpecialOfferm(I209,7,"FY-2"),MIN(I139,I154*capacity))</f>
        <v>2460.9896587584</v>
      </c>
      <c r="J229" s="268">
        <f>IF(VLOOKUP(J209,ProductsRangeMkt,3,FALSE)="Special Offer",SpecialOfferm(J209,7,"FY-2"),MIN(J139,J154*capacity))</f>
        <v>11067.557840617</v>
      </c>
      <c r="K229" s="268">
        <f>IF(VLOOKUP(K209,ProductsRangeMkt,3,FALSE)="Special Offer",SpecialOfferm(K209,7,"FY-2"),MIN(K139,K154*capacity))</f>
        <v>12378.9568504444</v>
      </c>
      <c r="L229" s="268">
        <f>IF(VLOOKUP(L209,ProductsRangeMkt,3,FALSE)="Special Offer",SpecialOfferm(L209,7,"FY-2"),MIN(L139,L154*capacity))</f>
        <v>141.43587961216</v>
      </c>
      <c r="M229" s="268"/>
      <c r="N229" s="268"/>
      <c r="O229" s="268"/>
      <c r="P229" s="317"/>
      <c r="R229" s="318"/>
      <c r="S229" s="318"/>
    </row>
    <row r="230" s="140" customFormat="1" spans="1:19">
      <c r="A230" s="303"/>
      <c r="B230" s="312" t="s">
        <v>104</v>
      </c>
      <c r="C230" s="96" t="s">
        <v>263</v>
      </c>
      <c r="D230" s="268">
        <f>IF(VLOOKUP(D209,ProductsRangeMkt,3,FALSE)="Special Offer",SpecialOfferm(D209,8,"FY-2"),MIN(D140,D155*capacity))</f>
        <v>1374.44902769593</v>
      </c>
      <c r="E230" s="268">
        <f>IF(VLOOKUP(E209,ProductsRangeMkt,3,FALSE)="Special Offer",SpecialOfferm(E209,8,"FY-2"),MIN(E140,E155*capacity))</f>
        <v>1294.69455960768</v>
      </c>
      <c r="F230" s="268">
        <f>IF(VLOOKUP(F209,ProductsRangeMkt,3,FALSE)="Special Offer",SpecialOfferm(F209,8,"FY-2"),MIN(F140,F155*capacity))</f>
        <v>1155.59514411264</v>
      </c>
      <c r="G230" s="268">
        <f>IF(VLOOKUP(G209,ProductsRangeMkt,3,FALSE)="Special Offer",SpecialOfferm(G209,8,"FY-2"),MIN(G140,G155*capacity))</f>
        <v>2480</v>
      </c>
      <c r="H230" s="268">
        <f>IF(VLOOKUP(H209,ProductsRangeMkt,3,FALSE)="Special Offer",SpecialOfferm(H209,8,"FY-2"),MIN(H140,H155*capacity))</f>
        <v>2480</v>
      </c>
      <c r="I230" s="268">
        <f>IF(VLOOKUP(I209,ProductsRangeMkt,3,FALSE)="Special Offer",SpecialOfferm(I209,8,"FY-2"),MIN(I140,I155*capacity))</f>
        <v>2480</v>
      </c>
      <c r="J230" s="268">
        <f>IF(VLOOKUP(J209,ProductsRangeMkt,3,FALSE)="Special Offer",SpecialOfferm(J209,8,"FY-2"),MIN(J140,J155*capacity))</f>
        <v>9785.55097230406</v>
      </c>
      <c r="K230" s="268">
        <f>IF(VLOOKUP(K209,ProductsRangeMkt,3,FALSE)="Special Offer",SpecialOfferm(K209,8,"FY-2"),MIN(K140,K155*capacity))</f>
        <v>10893.6805398221</v>
      </c>
      <c r="L230" s="268">
        <f>IF(VLOOKUP(L209,ProductsRangeMkt,3,FALSE)="Special Offer",SpecialOfferm(L209,8,"FY-2"),MIN(L140,L155*capacity))</f>
        <v>296.029756457596</v>
      </c>
      <c r="M230" s="268"/>
      <c r="N230" s="268"/>
      <c r="O230" s="268"/>
      <c r="P230" s="317"/>
      <c r="R230" s="318"/>
      <c r="S230" s="318"/>
    </row>
    <row r="231" s="140" customFormat="1" spans="1:19">
      <c r="A231" s="303"/>
      <c r="B231" s="312" t="s">
        <v>104</v>
      </c>
      <c r="C231" s="96" t="s">
        <v>264</v>
      </c>
      <c r="D231" s="268">
        <f>IF(VLOOKUP(D209,ProductsRangeMkt,3,FALSE)="Special Offer",SpecialOfferm(D209,9,"FY-2"),MIN(D141,D156*capacity))</f>
        <v>1374.44902769593</v>
      </c>
      <c r="E231" s="268">
        <f>IF(VLOOKUP(E209,ProductsRangeMkt,3,FALSE)="Special Offer",SpecialOfferm(E209,9,"FY-2"),MIN(E141,E156*capacity))</f>
        <v>1294.69455960768</v>
      </c>
      <c r="F231" s="268">
        <f>IF(VLOOKUP(F209,ProductsRangeMkt,3,FALSE)="Special Offer",SpecialOfferm(F209,9,"FY-2"),MIN(F141,F156*capacity))</f>
        <v>1155.59514411264</v>
      </c>
      <c r="G231" s="268">
        <f>IF(VLOOKUP(G209,ProductsRangeMkt,3,FALSE)="Special Offer",SpecialOfferm(G209,9,"FY-2"),MIN(G141,G156*capacity))</f>
        <v>2480</v>
      </c>
      <c r="H231" s="268">
        <f>IF(VLOOKUP(H209,ProductsRangeMkt,3,FALSE)="Special Offer",SpecialOfferm(H209,9,"FY-2"),MIN(H141,H156*capacity))</f>
        <v>2480</v>
      </c>
      <c r="I231" s="268">
        <f>IF(VLOOKUP(I209,ProductsRangeMkt,3,FALSE)="Special Offer",SpecialOfferm(I209,9,"FY-2"),MIN(I141,I156*capacity))</f>
        <v>2480</v>
      </c>
      <c r="J231" s="268">
        <f>IF(VLOOKUP(J209,ProductsRangeMkt,3,FALSE)="Special Offer",SpecialOfferm(J209,9,"FY-2"),MIN(J141,J156*capacity))</f>
        <v>9785.55097230406</v>
      </c>
      <c r="K231" s="268">
        <f>IF(VLOOKUP(K209,ProductsRangeMkt,3,FALSE)="Special Offer",SpecialOfferm(K209,9,"FY-2"),MIN(K141,K156*capacity))</f>
        <v>10893.6805398221</v>
      </c>
      <c r="L231" s="268">
        <f>IF(VLOOKUP(L209,ProductsRangeMkt,3,FALSE)="Special Offer",SpecialOfferm(L209,9,"FY-2"),MIN(L141,L156*capacity))</f>
        <v>296.029756457596</v>
      </c>
      <c r="M231" s="268"/>
      <c r="N231" s="268"/>
      <c r="O231" s="268"/>
      <c r="P231" s="317"/>
      <c r="R231" s="318"/>
      <c r="S231" s="318"/>
    </row>
    <row r="232" s="140" customFormat="1" spans="1:19">
      <c r="A232" s="303"/>
      <c r="B232" s="312" t="s">
        <v>104</v>
      </c>
      <c r="C232" s="96" t="s">
        <v>265</v>
      </c>
      <c r="D232" s="268">
        <f>IF(VLOOKUP(D209,ProductsRangeMkt,3,FALSE)="Special Offer",SpecialOfferm(D209,10,"FY-2"),MIN(D142,D157*capacity))</f>
        <v>1123.24195470799</v>
      </c>
      <c r="E232" s="268">
        <f>IF(VLOOKUP(E209,ProductsRangeMkt,3,FALSE)="Special Offer",SpecialOfferm(E209,10,"FY-2"),MIN(E142,E157*capacity))</f>
        <v>1280.85667215815</v>
      </c>
      <c r="F232" s="268">
        <f>IF(VLOOKUP(F209,ProductsRangeMkt,3,FALSE)="Special Offer",SpecialOfferm(F209,10,"FY-2"),MIN(F142,F157*capacity))</f>
        <v>1059.29554876992</v>
      </c>
      <c r="G232" s="268">
        <f>IF(VLOOKUP(G209,ProductsRangeMkt,3,FALSE)="Special Offer",SpecialOfferm(G209,10,"FY-2"),MIN(G142,G157*capacity))</f>
        <v>2480</v>
      </c>
      <c r="H232" s="268">
        <f>IF(VLOOKUP(H209,ProductsRangeMkt,3,FALSE)="Special Offer",SpecialOfferm(H209,10,"FY-2"),MIN(H142,H157*capacity))</f>
        <v>2480</v>
      </c>
      <c r="I232" s="268">
        <f>IF(VLOOKUP(I209,ProductsRangeMkt,3,FALSE)="Special Offer",SpecialOfferm(I209,10,"FY-2"),MIN(I142,I157*capacity))</f>
        <v>2480</v>
      </c>
      <c r="J232" s="268">
        <f>IF(VLOOKUP(J209,ProductsRangeMkt,3,FALSE)="Special Offer",SpecialOfferm(J209,10,"FY-2"),MIN(J142,J157*capacity))</f>
        <v>8796.75804529201</v>
      </c>
      <c r="K232" s="268">
        <f>IF(VLOOKUP(K209,ProductsRangeMkt,3,FALSE)="Special Offer",SpecialOfferm(K209,10,"FY-2"),MIN(K142,K157*capacity))</f>
        <v>9879.14332784184</v>
      </c>
      <c r="L232" s="268">
        <f>IF(VLOOKUP(L209,ProductsRangeMkt,3,FALSE)="Special Offer",SpecialOfferm(L209,10,"FY-2"),MIN(L142,L157*capacity))</f>
        <v>180.704451230078</v>
      </c>
      <c r="M232" s="268"/>
      <c r="N232" s="268"/>
      <c r="O232" s="268"/>
      <c r="P232" s="317"/>
      <c r="R232" s="318"/>
      <c r="S232" s="318"/>
    </row>
    <row r="233" s="140" customFormat="1" spans="1:19">
      <c r="A233" s="303"/>
      <c r="B233" s="312" t="s">
        <v>104</v>
      </c>
      <c r="C233" s="96" t="s">
        <v>266</v>
      </c>
      <c r="D233" s="268">
        <f>IF(VLOOKUP(D209,ProductsRangeMkt,3,FALSE)="Special Offer",SpecialOfferm(D209,11,"FY-2"),MIN(D143,D158*capacity))</f>
        <v>612.154546988358</v>
      </c>
      <c r="E233" s="268">
        <f>IF(VLOOKUP(E209,ProductsRangeMkt,3,FALSE)="Special Offer",SpecialOfferm(E209,11,"FY-2"),MIN(E143,E158*capacity))</f>
        <v>510.660098522167</v>
      </c>
      <c r="F233" s="268">
        <f>IF(VLOOKUP(F209,ProductsRangeMkt,3,FALSE)="Special Offer",SpecialOfferm(F209,11,"FY-2"),MIN(F143,F158*capacity))</f>
        <v>1240</v>
      </c>
      <c r="G233" s="268">
        <f>IF(VLOOKUP(G209,ProductsRangeMkt,3,FALSE)="Special Offer",SpecialOfferm(G209,11,"FY-2"),MIN(G143,G158*capacity))</f>
        <v>1240</v>
      </c>
      <c r="H233" s="268">
        <f>IF(VLOOKUP(H209,ProductsRangeMkt,3,FALSE)="Special Offer",SpecialOfferm(H209,11,"FY-2"),MIN(H143,H158*capacity))</f>
        <v>1240</v>
      </c>
      <c r="I233" s="268">
        <f>IF(VLOOKUP(I209,ProductsRangeMkt,3,FALSE)="Special Offer",SpecialOfferm(I209,11,"FY-2"),MIN(I143,I158*capacity))</f>
        <v>1240</v>
      </c>
      <c r="J233" s="268">
        <f>IF(VLOOKUP(J209,ProductsRangeMkt,3,FALSE)="Special Offer",SpecialOfferm(J209,11,"FY-2"),MIN(J143,J158*capacity))</f>
        <v>1867.84545301164</v>
      </c>
      <c r="K233" s="268">
        <f>IF(VLOOKUP(K209,ProductsRangeMkt,3,FALSE)="Special Offer",SpecialOfferm(K209,11,"FY-2"),MIN(K143,K158*capacity))</f>
        <v>1969.33990147783</v>
      </c>
      <c r="L233" s="268">
        <f>IF(VLOOKUP(L209,ProductsRangeMkt,3,FALSE)="Special Offer",SpecialOfferm(L209,11,"FY-2"),MIN(L143,L158*capacity))</f>
        <v>0</v>
      </c>
      <c r="M233" s="268"/>
      <c r="N233" s="268"/>
      <c r="O233" s="268"/>
      <c r="P233" s="317"/>
      <c r="R233" s="318"/>
      <c r="S233" s="318"/>
    </row>
    <row r="234" s="140" customFormat="1" spans="1:19">
      <c r="A234" s="303"/>
      <c r="B234" s="312" t="s">
        <v>104</v>
      </c>
      <c r="C234" s="96" t="s">
        <v>267</v>
      </c>
      <c r="D234" s="268">
        <f>IF(VLOOKUP(D209,ProductsRangeMkt,3,FALSE)="Special Offer",SpecialOfferm(D209,12,"FY-2"),MIN(D144,D159*capacity))</f>
        <v>612.154546988358</v>
      </c>
      <c r="E234" s="268">
        <f>IF(VLOOKUP(E209,ProductsRangeMkt,3,FALSE)="Special Offer",SpecialOfferm(E209,12,"FY-2"),MIN(E144,E159*capacity))</f>
        <v>440.673354871621</v>
      </c>
      <c r="F234" s="268">
        <f>IF(VLOOKUP(F209,ProductsRangeMkt,3,FALSE)="Special Offer",SpecialOfferm(F209,12,"FY-2"),MIN(F144,F159*capacity))</f>
        <v>0</v>
      </c>
      <c r="G234" s="268">
        <f>IF(VLOOKUP(G209,ProductsRangeMkt,3,FALSE)="Special Offer",SpecialOfferm(G209,12,"FY-2"),MIN(G144,G159*capacity))</f>
        <v>1240</v>
      </c>
      <c r="H234" s="268">
        <f>IF(VLOOKUP(H209,ProductsRangeMkt,3,FALSE)="Special Offer",SpecialOfferm(H209,12,"FY-2"),MIN(H144,H159*capacity))</f>
        <v>1240</v>
      </c>
      <c r="I234" s="268">
        <f>IF(VLOOKUP(I209,ProductsRangeMkt,3,FALSE)="Special Offer",SpecialOfferm(I209,12,"FY-2"),MIN(I144,I159*capacity))</f>
        <v>1240</v>
      </c>
      <c r="J234" s="268">
        <f>IF(VLOOKUP(J209,ProductsRangeMkt,3,FALSE)="Special Offer",SpecialOfferm(J209,12,"FY-2"),MIN(J144,J159*capacity))</f>
        <v>1867.84545301164</v>
      </c>
      <c r="K234" s="268">
        <f>IF(VLOOKUP(K209,ProductsRangeMkt,3,FALSE)="Special Offer",SpecialOfferm(K209,12,"FY-2"),MIN(K144,K159*capacity))</f>
        <v>2039.32664512838</v>
      </c>
      <c r="L234" s="268">
        <f>IF(VLOOKUP(L209,ProductsRangeMkt,3,FALSE)="Special Offer",SpecialOfferm(L209,12,"FY-2"),MIN(L144,L159*capacity))</f>
        <v>0</v>
      </c>
      <c r="M234" s="268"/>
      <c r="N234" s="268"/>
      <c r="O234" s="268"/>
      <c r="P234" s="317"/>
      <c r="R234" s="318"/>
      <c r="S234" s="318"/>
    </row>
    <row r="235" s="140" customFormat="1" spans="1:19">
      <c r="A235" s="303"/>
      <c r="B235" s="312" t="s">
        <v>105</v>
      </c>
      <c r="C235" s="262" t="s">
        <v>256</v>
      </c>
      <c r="D235" s="268">
        <f>IF(VLOOKUP(D209,ProductsRangeMkt,3,FALSE)="Special Offer",SpecialOfferm(D209,1,"FY-3"),MIN(D178,D193*capacity))</f>
        <v>663.4996042752</v>
      </c>
      <c r="E235" s="268">
        <f>IF(VLOOKUP(E209,ProductsRangeMkt,3,FALSE)="Special Offer",SpecialOfferm(E209,1,"FY-3"),MIN(E178,E193*capacity))</f>
        <v>984.705882352941</v>
      </c>
      <c r="F235" s="268">
        <f>IF(VLOOKUP(F209,ProductsRangeMkt,3,FALSE)="Special Offer",SpecialOfferm(F209,1,"FY-3"),MIN(F178,F193*capacity))</f>
        <v>0</v>
      </c>
      <c r="G235" s="268">
        <f>IF(VLOOKUP(G209,ProductsRangeMkt,3,FALSE)="Special Offer",SpecialOfferm(G209,1,"FY-3"),MIN(G178,G193*capacity))</f>
        <v>1105.832673792</v>
      </c>
      <c r="H235" s="268">
        <f>IF(VLOOKUP(H209,ProductsRangeMkt,3,FALSE)="Special Offer",SpecialOfferm(H209,1,"FY-3"),MIN(H178,H193*capacity))</f>
        <v>1105.832673792</v>
      </c>
      <c r="I235" s="268">
        <f>IF(VLOOKUP(I209,ProductsRangeMkt,3,FALSE)="Special Offer",SpecialOfferm(I209,1,"FY-3"),MIN(I178,I193*capacity))</f>
        <v>1105.832673792</v>
      </c>
      <c r="J235" s="268">
        <f>IF(VLOOKUP(J209,ProductsRangeMkt,3,FALSE)="Special Offer",SpecialOfferm(J209,1,"FY-3"),MIN(J178,J193*capacity))</f>
        <v>2948.887130112</v>
      </c>
      <c r="K235" s="268">
        <f>IF(VLOOKUP(K209,ProductsRangeMkt,3,FALSE)="Special Offer",SpecialOfferm(K209,1,"FY-3"),MIN(K178,K193*capacity))</f>
        <v>2735.29411764706</v>
      </c>
      <c r="L235" s="268">
        <f>IF(VLOOKUP(L209,ProductsRangeMkt,3,FALSE)="Special Offer",SpecialOfferm(L209,1,"FY-3"),MIN(L178,L193*capacity))</f>
        <v>510.1152442368</v>
      </c>
      <c r="M235" s="268"/>
      <c r="N235" s="268"/>
      <c r="O235" s="268"/>
      <c r="P235" s="317"/>
      <c r="R235" s="318"/>
      <c r="S235" s="318"/>
    </row>
    <row r="236" s="140" customFormat="1" spans="1:19">
      <c r="A236" s="302"/>
      <c r="B236" s="312" t="s">
        <v>105</v>
      </c>
      <c r="C236" s="262" t="s">
        <v>257</v>
      </c>
      <c r="D236" s="268">
        <f>IF(VLOOKUP(D209,ProductsRangeMkt,3,FALSE)="Special Offer",SpecialOfferm(D209,2,"FY-3"),MIN(D179,D194*capacity))</f>
        <v>663.4996042752</v>
      </c>
      <c r="E236" s="268">
        <f>IF(VLOOKUP(E209,ProductsRangeMkt,3,FALSE)="Special Offer",SpecialOfferm(E209,2,"FY-3"),MIN(E179,E194*capacity))</f>
        <v>858.461538461538</v>
      </c>
      <c r="F236" s="268">
        <f>IF(VLOOKUP(F209,ProductsRangeMkt,3,FALSE)="Special Offer",SpecialOfferm(F209,2,"FY-3"),MIN(F179,F194*capacity))</f>
        <v>0</v>
      </c>
      <c r="G236" s="268">
        <f>IF(VLOOKUP(G209,ProductsRangeMkt,3,FALSE)="Special Offer",SpecialOfferm(G209,2,"FY-3"),MIN(G179,G194*capacity))</f>
        <v>1105.832673792</v>
      </c>
      <c r="H236" s="268">
        <f>IF(VLOOKUP(H209,ProductsRangeMkt,3,FALSE)="Special Offer",SpecialOfferm(H209,2,"FY-3"),MIN(H179,H194*capacity))</f>
        <v>1105.832673792</v>
      </c>
      <c r="I236" s="268">
        <f>IF(VLOOKUP(I209,ProductsRangeMkt,3,FALSE)="Special Offer",SpecialOfferm(I209,2,"FY-3"),MIN(I179,I194*capacity))</f>
        <v>1105.832673792</v>
      </c>
      <c r="J236" s="268">
        <f>IF(VLOOKUP(J209,ProductsRangeMkt,3,FALSE)="Special Offer",SpecialOfferm(J209,2,"FY-3"),MIN(J179,J194*capacity))</f>
        <v>2948.887130112</v>
      </c>
      <c r="K236" s="268">
        <f>IF(VLOOKUP(K209,ProductsRangeMkt,3,FALSE)="Special Offer",SpecialOfferm(K209,2,"FY-3"),MIN(K179,K194*capacity))</f>
        <v>2861.53846153846</v>
      </c>
      <c r="L236" s="268">
        <f>IF(VLOOKUP(L209,ProductsRangeMkt,3,FALSE)="Special Offer",SpecialOfferm(L209,2,"FY-3"),MIN(L179,L194*capacity))</f>
        <v>510.115244236798</v>
      </c>
      <c r="M236" s="268"/>
      <c r="N236" s="268"/>
      <c r="O236" s="268"/>
      <c r="P236" s="317"/>
      <c r="R236" s="318"/>
      <c r="S236" s="318"/>
    </row>
    <row r="237" s="140" customFormat="1" spans="1:19">
      <c r="A237" s="302"/>
      <c r="B237" s="312" t="s">
        <v>105</v>
      </c>
      <c r="C237" s="96" t="s">
        <v>258</v>
      </c>
      <c r="D237" s="268">
        <f>IF(VLOOKUP(D209,ProductsRangeMkt,3,FALSE)="Special Offer",SpecialOfferm(D209,3,"FY-3"),MIN(D180,D195*capacity))</f>
        <v>663.4996042752</v>
      </c>
      <c r="E237" s="268">
        <f>IF(VLOOKUP(E209,ProductsRangeMkt,3,FALSE)="Special Offer",SpecialOfferm(E209,3,"FY-3"),MIN(E180,E195*capacity))</f>
        <v>984.705882352941</v>
      </c>
      <c r="F237" s="268">
        <f>IF(VLOOKUP(F209,ProductsRangeMkt,3,FALSE)="Special Offer",SpecialOfferm(F209,3,"FY-3"),MIN(F180,F195*capacity))</f>
        <v>0</v>
      </c>
      <c r="G237" s="268">
        <f>IF(VLOOKUP(G209,ProductsRangeMkt,3,FALSE)="Special Offer",SpecialOfferm(G209,3,"FY-3"),MIN(G180,G195*capacity))</f>
        <v>1240</v>
      </c>
      <c r="H237" s="268">
        <f>IF(VLOOKUP(H209,ProductsRangeMkt,3,FALSE)="Special Offer",SpecialOfferm(H209,3,"FY-3"),MIN(H180,H195*capacity))</f>
        <v>1240</v>
      </c>
      <c r="I237" s="268">
        <f>IF(VLOOKUP(I209,ProductsRangeMkt,3,FALSE)="Special Offer",SpecialOfferm(I209,3,"FY-3"),MIN(I180,I195*capacity))</f>
        <v>1240</v>
      </c>
      <c r="J237" s="268">
        <f>IF(VLOOKUP(J209,ProductsRangeMkt,3,FALSE)="Special Offer",SpecialOfferm(J209,3,"FY-3"),MIN(J180,J195*capacity))</f>
        <v>2948.887130112</v>
      </c>
      <c r="K237" s="268">
        <f>IF(VLOOKUP(K209,ProductsRangeMkt,3,FALSE)="Special Offer",SpecialOfferm(K209,3,"FY-3"),MIN(K180,K195*capacity))</f>
        <v>2735.29411764706</v>
      </c>
      <c r="L237" s="268">
        <f>IF(VLOOKUP(L209,ProductsRangeMkt,3,FALSE)="Special Offer",SpecialOfferm(L209,3,"FY-3"),MIN(L180,L195*capacity))</f>
        <v>107.613265612801</v>
      </c>
      <c r="M237" s="268"/>
      <c r="N237" s="268"/>
      <c r="O237" s="268"/>
      <c r="P237" s="308"/>
      <c r="R237" s="308"/>
      <c r="S237" s="308"/>
    </row>
    <row r="238" s="140" customFormat="1" spans="1:19">
      <c r="A238" s="298"/>
      <c r="B238" s="312" t="s">
        <v>105</v>
      </c>
      <c r="C238" s="96" t="s">
        <v>259</v>
      </c>
      <c r="D238" s="268">
        <f>IF(VLOOKUP(D209,ProductsRangeMkt,3,FALSE)="Special Offer",SpecialOfferm(D209,4,"FY-3"),MIN(D181,D196*capacity))</f>
        <v>645.224839400428</v>
      </c>
      <c r="E238" s="268">
        <f>IF(VLOOKUP(E209,ProductsRangeMkt,3,FALSE)="Special Offer",SpecialOfferm(E209,4,"FY-3"),MIN(E181,E196*capacity))</f>
        <v>997.748344370861</v>
      </c>
      <c r="F238" s="268">
        <f>IF(VLOOKUP(F209,ProductsRangeMkt,3,FALSE)="Special Offer",SpecialOfferm(F209,4,"FY-3"),MIN(F181,F196*capacity))</f>
        <v>0</v>
      </c>
      <c r="G238" s="268">
        <f>IF(VLOOKUP(G209,ProductsRangeMkt,3,FALSE)="Special Offer",SpecialOfferm(G209,4,"FY-3"),MIN(G181,G196*capacity))</f>
        <v>1240</v>
      </c>
      <c r="H238" s="268">
        <f>IF(VLOOKUP(H209,ProductsRangeMkt,3,FALSE)="Special Offer",SpecialOfferm(H209,4,"FY-3"),MIN(H181,H196*capacity))</f>
        <v>1240</v>
      </c>
      <c r="I238" s="268">
        <f>IF(VLOOKUP(I209,ProductsRangeMkt,3,FALSE)="Special Offer",SpecialOfferm(I209,4,"FY-3"),MIN(I181,I196*capacity))</f>
        <v>1240</v>
      </c>
      <c r="J238" s="268">
        <f>IF(VLOOKUP(J209,ProductsRangeMkt,3,FALSE)="Special Offer",SpecialOfferm(J209,4,"FY-3"),MIN(J181,J196*capacity))</f>
        <v>10514.7751605996</v>
      </c>
      <c r="K238" s="268">
        <f>IF(VLOOKUP(K209,ProductsRangeMkt,3,FALSE)="Special Offer",SpecialOfferm(K209,4,"FY-3"),MIN(K181,K196*capacity))</f>
        <v>10162.2516556291</v>
      </c>
      <c r="L238" s="268">
        <f>IF(VLOOKUP(L209,ProductsRangeMkt,3,FALSE)="Special Offer",SpecialOfferm(L209,4,"FY-3"),MIN(L181,L196*capacity))</f>
        <v>0</v>
      </c>
      <c r="M238" s="268"/>
      <c r="N238" s="268"/>
      <c r="O238" s="268"/>
      <c r="P238" s="308"/>
      <c r="R238" s="308"/>
      <c r="S238" s="308"/>
    </row>
    <row r="239" s="140" customFormat="1" spans="1:19">
      <c r="A239" s="298"/>
      <c r="B239" s="312" t="s">
        <v>105</v>
      </c>
      <c r="C239" s="96" t="s">
        <v>260</v>
      </c>
      <c r="D239" s="268">
        <f>IF(VLOOKUP(D209,ProductsRangeMkt,3,FALSE)="Special Offer",SpecialOfferm(D209,5,"FY-3"),MIN(D182,D197*capacity))</f>
        <v>1927.8310940499</v>
      </c>
      <c r="E239" s="268">
        <f>IF(VLOOKUP(E209,ProductsRangeMkt,3,FALSE)="Special Offer",SpecialOfferm(E209,5,"FY-3"),MIN(E182,E197*capacity))</f>
        <v>1891.52542372881</v>
      </c>
      <c r="F239" s="268">
        <f>IF(VLOOKUP(F209,ProductsRangeMkt,3,FALSE)="Special Offer",SpecialOfferm(F209,5,"FY-3"),MIN(F182,F197*capacity))</f>
        <v>1094.77434705408</v>
      </c>
      <c r="G239" s="268">
        <f>IF(VLOOKUP(G209,ProductsRangeMkt,3,FALSE)="Special Offer",SpecialOfferm(G209,5,"FY-3"),MIN(G182,G197*capacity))</f>
        <v>1240</v>
      </c>
      <c r="H239" s="268">
        <f>IF(VLOOKUP(H209,ProductsRangeMkt,3,FALSE)="Special Offer",SpecialOfferm(H209,5,"FY-3"),MIN(H182,H197*capacity))</f>
        <v>1240</v>
      </c>
      <c r="I239" s="268">
        <f>IF(VLOOKUP(I209,ProductsRangeMkt,3,FALSE)="Special Offer",SpecialOfferm(I209,5,"FY-3"),MIN(I182,I197*capacity))</f>
        <v>1240</v>
      </c>
      <c r="J239" s="268">
        <f>IF(VLOOKUP(J209,ProductsRangeMkt,3,FALSE)="Special Offer",SpecialOfferm(J209,5,"FY-3"),MIN(J182,J197*capacity))</f>
        <v>10472.1689059501</v>
      </c>
      <c r="K239" s="268">
        <f>IF(VLOOKUP(K209,ProductsRangeMkt,3,FALSE)="Special Offer",SpecialOfferm(K209,5,"FY-3"),MIN(K182,K197*capacity))</f>
        <v>10508.4745762712</v>
      </c>
      <c r="L239" s="268">
        <f>IF(VLOOKUP(L209,ProductsRangeMkt,3,FALSE)="Special Offer",SpecialOfferm(L209,5,"FY-3"),MIN(L182,L197*capacity))</f>
        <v>145.225652945919</v>
      </c>
      <c r="M239" s="268"/>
      <c r="N239" s="268"/>
      <c r="O239" s="268"/>
      <c r="P239" s="308"/>
      <c r="R239" s="308"/>
      <c r="S239" s="308"/>
    </row>
    <row r="240" s="140" customFormat="1" spans="1:19">
      <c r="A240" s="298"/>
      <c r="B240" s="312" t="s">
        <v>105</v>
      </c>
      <c r="C240" s="96" t="s">
        <v>261</v>
      </c>
      <c r="D240" s="268">
        <f>IF(VLOOKUP(D209,ProductsRangeMkt,3,FALSE)="Special Offer",SpecialOfferm(D209,6,"FY-3"),MIN(D183,D198*capacity))</f>
        <v>1880.3120124805</v>
      </c>
      <c r="E240" s="268">
        <f>IF(VLOOKUP(E209,ProductsRangeMkt,3,FALSE)="Special Offer",SpecialOfferm(E209,6,"FY-3"),MIN(E183,E198*capacity))</f>
        <v>1843.70463078849</v>
      </c>
      <c r="F240" s="268">
        <f>IF(VLOOKUP(F209,ProductsRangeMkt,3,FALSE)="Special Offer",SpecialOfferm(F209,6,"FY-3"),MIN(F183,F198*capacity))</f>
        <v>995.2494064128</v>
      </c>
      <c r="G240" s="268">
        <f>IF(VLOOKUP(G209,ProductsRangeMkt,3,FALSE)="Special Offer",SpecialOfferm(G209,6,"FY-3"),MIN(G183,G198*capacity))</f>
        <v>2211.665347584</v>
      </c>
      <c r="H240" s="268">
        <f>IF(VLOOKUP(H209,ProductsRangeMkt,3,FALSE)="Special Offer",SpecialOfferm(H209,6,"FY-3"),MIN(H183,H198*capacity))</f>
        <v>2211.665347584</v>
      </c>
      <c r="I240" s="268">
        <f>IF(VLOOKUP(I209,ProductsRangeMkt,3,FALSE)="Special Offer",SpecialOfferm(I209,6,"FY-3"),MIN(I183,I198*capacity))</f>
        <v>2211.665347584</v>
      </c>
      <c r="J240" s="268">
        <f>IF(VLOOKUP(J209,ProductsRangeMkt,3,FALSE)="Special Offer",SpecialOfferm(J209,6,"FY-3"),MIN(J183,J198*capacity))</f>
        <v>12999.6879875195</v>
      </c>
      <c r="K240" s="268">
        <f>IF(VLOOKUP(K209,ProductsRangeMkt,3,FALSE)="Special Offer",SpecialOfferm(K209,6,"FY-3"),MIN(K183,K198*capacity))</f>
        <v>13036.2953692115</v>
      </c>
      <c r="L240" s="268">
        <f>IF(VLOOKUP(L209,ProductsRangeMkt,3,FALSE)="Special Offer",SpecialOfferm(L209,6,"FY-3"),MIN(L183,L198*capacity))</f>
        <v>1049.7545508352</v>
      </c>
      <c r="M240" s="268"/>
      <c r="N240" s="268"/>
      <c r="O240" s="268"/>
      <c r="P240" s="308"/>
      <c r="R240" s="308"/>
      <c r="S240" s="308"/>
    </row>
    <row r="241" s="140" customFormat="1" spans="1:19">
      <c r="A241" s="303"/>
      <c r="B241" s="312" t="s">
        <v>105</v>
      </c>
      <c r="C241" s="96" t="s">
        <v>262</v>
      </c>
      <c r="D241" s="268">
        <f>IF(VLOOKUP(D209,ProductsRangeMkt,3,FALSE)="Special Offer",SpecialOfferm(D209,7,"FY-3"),MIN(D184,D199*capacity))</f>
        <v>1880.3120124805</v>
      </c>
      <c r="E241" s="268">
        <f>IF(VLOOKUP(E209,ProductsRangeMkt,3,FALSE)="Special Offer",SpecialOfferm(E209,7,"FY-3"),MIN(E184,E199*capacity))</f>
        <v>1843.70463078849</v>
      </c>
      <c r="F241" s="268">
        <f>IF(VLOOKUP(F209,ProductsRangeMkt,3,FALSE)="Special Offer",SpecialOfferm(F209,7,"FY-3"),MIN(F184,F199*capacity))</f>
        <v>995.2494064128</v>
      </c>
      <c r="G241" s="268">
        <f>IF(VLOOKUP(G209,ProductsRangeMkt,3,FALSE)="Special Offer",SpecialOfferm(G209,7,"FY-3"),MIN(G184,G199*capacity))</f>
        <v>2211.665347584</v>
      </c>
      <c r="H241" s="268">
        <f>IF(VLOOKUP(H209,ProductsRangeMkt,3,FALSE)="Special Offer",SpecialOfferm(H209,7,"FY-3"),MIN(H184,H199*capacity))</f>
        <v>2211.665347584</v>
      </c>
      <c r="I241" s="268">
        <f>IF(VLOOKUP(I209,ProductsRangeMkt,3,FALSE)="Special Offer",SpecialOfferm(I209,7,"FY-3"),MIN(I184,I199*capacity))</f>
        <v>2211.665347584</v>
      </c>
      <c r="J241" s="268">
        <f>IF(VLOOKUP(J209,ProductsRangeMkt,3,FALSE)="Special Offer",SpecialOfferm(J209,7,"FY-3"),MIN(J184,J199*capacity))</f>
        <v>12999.6879875195</v>
      </c>
      <c r="K241" s="268">
        <f>IF(VLOOKUP(K209,ProductsRangeMkt,3,FALSE)="Special Offer",SpecialOfferm(K209,7,"FY-3"),MIN(K184,K199*capacity))</f>
        <v>13036.2953692115</v>
      </c>
      <c r="L241" s="268">
        <f>IF(VLOOKUP(L209,ProductsRangeMkt,3,FALSE)="Special Offer",SpecialOfferm(L209,7,"FY-3"),MIN(L184,L199*capacity))</f>
        <v>1049.7545508352</v>
      </c>
      <c r="M241" s="268"/>
      <c r="N241" s="268"/>
      <c r="O241" s="268"/>
      <c r="P241" s="317"/>
      <c r="R241" s="318"/>
      <c r="S241" s="318"/>
    </row>
    <row r="242" s="140" customFormat="1" spans="1:19">
      <c r="A242" s="303"/>
      <c r="B242" s="312" t="s">
        <v>105</v>
      </c>
      <c r="C242" s="96" t="s">
        <v>263</v>
      </c>
      <c r="D242" s="268">
        <f>IF(VLOOKUP(D209,ProductsRangeMkt,3,FALSE)="Special Offer",SpecialOfferm(D209,8,"FY-3"),MIN(D185,D200*capacity))</f>
        <v>1969.41176470588</v>
      </c>
      <c r="E242" s="268">
        <f>IF(VLOOKUP(E209,ProductsRangeMkt,3,FALSE)="Special Offer",SpecialOfferm(E209,8,"FY-3"),MIN(E185,E200*capacity))</f>
        <v>1931.84549356223</v>
      </c>
      <c r="F242" s="268">
        <f>IF(VLOOKUP(F209,ProductsRangeMkt,3,FALSE)="Special Offer",SpecialOfferm(F209,8,"FY-3"),MIN(F185,F200*capacity))</f>
        <v>995.2494064128</v>
      </c>
      <c r="G242" s="268">
        <f>IF(VLOOKUP(G209,ProductsRangeMkt,3,FALSE)="Special Offer",SpecialOfferm(G209,8,"FY-3"),MIN(G185,G200*capacity))</f>
        <v>2480</v>
      </c>
      <c r="H242" s="268">
        <f>IF(VLOOKUP(H209,ProductsRangeMkt,3,FALSE)="Special Offer",SpecialOfferm(H209,8,"FY-3"),MIN(H185,H200*capacity))</f>
        <v>2480</v>
      </c>
      <c r="I242" s="268">
        <f>IF(VLOOKUP(I209,ProductsRangeMkt,3,FALSE)="Special Offer",SpecialOfferm(I209,8,"FY-3"),MIN(I185,I200*capacity))</f>
        <v>2480</v>
      </c>
      <c r="J242" s="268">
        <f>IF(VLOOKUP(J209,ProductsRangeMkt,3,FALSE)="Special Offer",SpecialOfferm(J209,8,"FY-3"),MIN(J185,J200*capacity))</f>
        <v>11670.5882352941</v>
      </c>
      <c r="K242" s="268">
        <f>IF(VLOOKUP(K209,ProductsRangeMkt,3,FALSE)="Special Offer",SpecialOfferm(K209,8,"FY-3"),MIN(K185,K200*capacity))</f>
        <v>11708.1545064378</v>
      </c>
      <c r="L242" s="268">
        <f>IF(VLOOKUP(L209,ProductsRangeMkt,3,FALSE)="Special Offer",SpecialOfferm(L209,8,"FY-3"),MIN(L185,L200*capacity))</f>
        <v>244.750593587196</v>
      </c>
      <c r="M242" s="268"/>
      <c r="N242" s="268"/>
      <c r="O242" s="268"/>
      <c r="P242" s="317"/>
      <c r="R242" s="318"/>
      <c r="S242" s="318"/>
    </row>
    <row r="243" s="140" customFormat="1" spans="1:19">
      <c r="A243" s="303"/>
      <c r="B243" s="312" t="s">
        <v>105</v>
      </c>
      <c r="C243" s="96" t="s">
        <v>264</v>
      </c>
      <c r="D243" s="268">
        <f>IF(VLOOKUP(D209,ProductsRangeMkt,3,FALSE)="Special Offer",SpecialOfferm(D209,9,"FY-3"),MIN(D186,D201*capacity))</f>
        <v>1969.41176470588</v>
      </c>
      <c r="E243" s="268">
        <f>IF(VLOOKUP(E209,ProductsRangeMkt,3,FALSE)="Special Offer",SpecialOfferm(E209,9,"FY-3"),MIN(E186,E201*capacity))</f>
        <v>1931.84549356223</v>
      </c>
      <c r="F243" s="268">
        <f>IF(VLOOKUP(F209,ProductsRangeMkt,3,FALSE)="Special Offer",SpecialOfferm(F209,9,"FY-3"),MIN(F186,F201*capacity))</f>
        <v>995.2494064128</v>
      </c>
      <c r="G243" s="268">
        <f>IF(VLOOKUP(G209,ProductsRangeMkt,3,FALSE)="Special Offer",SpecialOfferm(G209,9,"FY-3"),MIN(G186,G201*capacity))</f>
        <v>2480</v>
      </c>
      <c r="H243" s="268">
        <f>IF(VLOOKUP(H209,ProductsRangeMkt,3,FALSE)="Special Offer",SpecialOfferm(H209,9,"FY-3"),MIN(H186,H201*capacity))</f>
        <v>2480</v>
      </c>
      <c r="I243" s="268">
        <f>IF(VLOOKUP(I209,ProductsRangeMkt,3,FALSE)="Special Offer",SpecialOfferm(I209,9,"FY-3"),MIN(I186,I201*capacity))</f>
        <v>2480</v>
      </c>
      <c r="J243" s="268">
        <f>IF(VLOOKUP(J209,ProductsRangeMkt,3,FALSE)="Special Offer",SpecialOfferm(J209,9,"FY-3"),MIN(J186,J201*capacity))</f>
        <v>11670.5882352941</v>
      </c>
      <c r="K243" s="268">
        <f>IF(VLOOKUP(K209,ProductsRangeMkt,3,FALSE)="Special Offer",SpecialOfferm(K209,9,"FY-3"),MIN(K186,K201*capacity))</f>
        <v>11708.1545064378</v>
      </c>
      <c r="L243" s="268">
        <f>IF(VLOOKUP(L209,ProductsRangeMkt,3,FALSE)="Special Offer",SpecialOfferm(L209,9,"FY-3"),MIN(L186,L201*capacity))</f>
        <v>244.750593587196</v>
      </c>
      <c r="M243" s="268"/>
      <c r="N243" s="268"/>
      <c r="O243" s="268"/>
      <c r="P243" s="317"/>
      <c r="R243" s="318"/>
      <c r="S243" s="318"/>
    </row>
    <row r="244" s="140" customFormat="1" spans="1:19">
      <c r="A244" s="303"/>
      <c r="B244" s="312" t="s">
        <v>105</v>
      </c>
      <c r="C244" s="96" t="s">
        <v>265</v>
      </c>
      <c r="D244" s="268">
        <f>IF(VLOOKUP(D209,ProductsRangeMkt,3,FALSE)="Special Offer",SpecialOfferm(D209,10,"FY-3"),MIN(D187,D202*capacity))</f>
        <v>1649.26108374384</v>
      </c>
      <c r="E244" s="268">
        <f>IF(VLOOKUP(E209,ProductsRangeMkt,3,FALSE)="Special Offer",SpecialOfferm(E209,10,"FY-3"),MIN(E187,E202*capacity))</f>
        <v>1891.52542372881</v>
      </c>
      <c r="F244" s="268">
        <f>IF(VLOOKUP(F209,ProductsRangeMkt,3,FALSE)="Special Offer",SpecialOfferm(F209,10,"FY-3"),MIN(F187,F202*capacity))</f>
        <v>995.2494064128</v>
      </c>
      <c r="G244" s="268">
        <f>IF(VLOOKUP(G209,ProductsRangeMkt,3,FALSE)="Special Offer",SpecialOfferm(G209,10,"FY-3"),MIN(G187,G202*capacity))</f>
        <v>2432.8318823424</v>
      </c>
      <c r="H244" s="268">
        <f>IF(VLOOKUP(H209,ProductsRangeMkt,3,FALSE)="Special Offer",SpecialOfferm(H209,10,"FY-3"),MIN(H187,H202*capacity))</f>
        <v>2432.8318823424</v>
      </c>
      <c r="I244" s="268">
        <f>IF(VLOOKUP(I209,ProductsRangeMkt,3,FALSE)="Special Offer",SpecialOfferm(I209,10,"FY-3"),MIN(I187,I202*capacity))</f>
        <v>2432.8318823424</v>
      </c>
      <c r="J244" s="268">
        <f>IF(VLOOKUP(J209,ProductsRangeMkt,3,FALSE)="Special Offer",SpecialOfferm(J209,10,"FY-3"),MIN(J187,J202*capacity))</f>
        <v>10750.7389162562</v>
      </c>
      <c r="K244" s="268">
        <f>IF(VLOOKUP(K209,ProductsRangeMkt,3,FALSE)="Special Offer",SpecialOfferm(K209,10,"FY-3"),MIN(K187,K202*capacity))</f>
        <v>10508.4745762712</v>
      </c>
      <c r="L244" s="268">
        <f>IF(VLOOKUP(L209,ProductsRangeMkt,3,FALSE)="Special Offer",SpecialOfferm(L209,10,"FY-3"),MIN(L187,L202*capacity))</f>
        <v>386.254946560002</v>
      </c>
      <c r="M244" s="268"/>
      <c r="N244" s="268"/>
      <c r="O244" s="268"/>
      <c r="P244" s="317"/>
      <c r="R244" s="318"/>
      <c r="S244" s="318"/>
    </row>
    <row r="245" s="140" customFormat="1" spans="1:19">
      <c r="A245" s="303"/>
      <c r="B245" s="312" t="s">
        <v>105</v>
      </c>
      <c r="C245" s="96" t="s">
        <v>266</v>
      </c>
      <c r="D245" s="268">
        <f>IF(VLOOKUP(D209,ProductsRangeMkt,3,FALSE)="Special Offer",SpecialOfferm(D209,11,"FY-3"),MIN(D188,D203*capacity))</f>
        <v>1050.94170403587</v>
      </c>
      <c r="E245" s="268">
        <f>IF(VLOOKUP(E209,ProductsRangeMkt,3,FALSE)="Special Offer",SpecialOfferm(E209,11,"FY-3"),MIN(E188,E203*capacity))</f>
        <v>984.705882352941</v>
      </c>
      <c r="F245" s="268">
        <f>IF(VLOOKUP(F209,ProductsRangeMkt,3,FALSE)="Special Offer",SpecialOfferm(F209,11,"FY-3"),MIN(F188,F203*capacity))</f>
        <v>1194.29928769536</v>
      </c>
      <c r="G245" s="268">
        <f>IF(VLOOKUP(G209,ProductsRangeMkt,3,FALSE)="Special Offer",SpecialOfferm(G209,11,"FY-3"),MIN(G188,G203*capacity))</f>
        <v>1240</v>
      </c>
      <c r="H245" s="268">
        <f>IF(VLOOKUP(H209,ProductsRangeMkt,3,FALSE)="Special Offer",SpecialOfferm(H209,11,"FY-3"),MIN(H188,H203*capacity))</f>
        <v>1240</v>
      </c>
      <c r="I245" s="268">
        <f>IF(VLOOKUP(I209,ProductsRangeMkt,3,FALSE)="Special Offer",SpecialOfferm(I209,11,"FY-3"),MIN(I188,I203*capacity))</f>
        <v>1240</v>
      </c>
      <c r="J245" s="268">
        <f>IF(VLOOKUP(J209,ProductsRangeMkt,3,FALSE)="Special Offer",SpecialOfferm(J209,11,"FY-3"),MIN(J188,J203*capacity))</f>
        <v>2669.05829596413</v>
      </c>
      <c r="K245" s="268">
        <f>IF(VLOOKUP(K209,ProductsRangeMkt,3,FALSE)="Special Offer",SpecialOfferm(K209,11,"FY-3"),MIN(K188,K203*capacity))</f>
        <v>2735.29411764706</v>
      </c>
      <c r="L245" s="268">
        <f>IF(VLOOKUP(L209,ProductsRangeMkt,3,FALSE)="Special Offer",SpecialOfferm(L209,11,"FY-3"),MIN(L188,L203*capacity))</f>
        <v>45.7007123046387</v>
      </c>
      <c r="M245" s="268"/>
      <c r="N245" s="268"/>
      <c r="O245" s="268"/>
      <c r="P245" s="317"/>
      <c r="R245" s="318"/>
      <c r="S245" s="318"/>
    </row>
    <row r="246" s="140" customFormat="1" spans="1:19">
      <c r="A246" s="303"/>
      <c r="B246" s="312" t="s">
        <v>105</v>
      </c>
      <c r="C246" s="96" t="s">
        <v>267</v>
      </c>
      <c r="D246" s="268">
        <f>IF(VLOOKUP(D209,ProductsRangeMkt,3,FALSE)="Special Offer",SpecialOfferm(D209,12,"FY-3"),MIN(D189,D204*capacity))</f>
        <v>1050.94170403587</v>
      </c>
      <c r="E246" s="268">
        <f>IF(VLOOKUP(E209,ProductsRangeMkt,3,FALSE)="Special Offer",SpecialOfferm(E209,12,"FY-3"),MIN(E189,E204*capacity))</f>
        <v>858.461538461538</v>
      </c>
      <c r="F246" s="268">
        <f>IF(VLOOKUP(F209,ProductsRangeMkt,3,FALSE)="Special Offer",SpecialOfferm(F209,12,"FY-3"),MIN(F189,F204*capacity))</f>
        <v>0</v>
      </c>
      <c r="G246" s="268">
        <f>IF(VLOOKUP(G209,ProductsRangeMkt,3,FALSE)="Special Offer",SpecialOfferm(G209,12,"FY-3"),MIN(G189,G204*capacity))</f>
        <v>1240</v>
      </c>
      <c r="H246" s="268">
        <f>IF(VLOOKUP(H209,ProductsRangeMkt,3,FALSE)="Special Offer",SpecialOfferm(H209,12,"FY-3"),MIN(H189,H204*capacity))</f>
        <v>1240</v>
      </c>
      <c r="I246" s="268">
        <f>IF(VLOOKUP(I209,ProductsRangeMkt,3,FALSE)="Special Offer",SpecialOfferm(I209,12,"FY-3"),MIN(I189,I204*capacity))</f>
        <v>1240</v>
      </c>
      <c r="J246" s="268">
        <f>IF(VLOOKUP(J209,ProductsRangeMkt,3,FALSE)="Special Offer",SpecialOfferm(J209,12,"FY-3"),MIN(J189,J204*capacity))</f>
        <v>2669.05829596413</v>
      </c>
      <c r="K246" s="268">
        <f>IF(VLOOKUP(K209,ProductsRangeMkt,3,FALSE)="Special Offer",SpecialOfferm(K209,12,"FY-3"),MIN(K189,K204*capacity))</f>
        <v>2861.53846153846</v>
      </c>
      <c r="L246" s="268">
        <f>IF(VLOOKUP(L209,ProductsRangeMkt,3,FALSE)="Special Offer",SpecialOfferm(L209,12,"FY-3"),MIN(L189,L204*capacity))</f>
        <v>0</v>
      </c>
      <c r="M246" s="268"/>
      <c r="N246" s="268"/>
      <c r="O246" s="268"/>
      <c r="P246" s="317"/>
      <c r="R246" s="318"/>
      <c r="S246" s="318"/>
    </row>
    <row r="247" s="140" customFormat="1" spans="1:19">
      <c r="A247" s="303"/>
      <c r="D247" s="268"/>
      <c r="E247" s="268"/>
      <c r="F247" s="268"/>
      <c r="G247" s="268"/>
      <c r="H247" s="268"/>
      <c r="I247" s="268"/>
      <c r="J247" s="293"/>
      <c r="K247" s="322"/>
      <c r="L247" s="293"/>
      <c r="M247" s="293"/>
      <c r="N247" s="307"/>
      <c r="O247" s="317"/>
      <c r="P247" s="317"/>
      <c r="R247" s="318"/>
      <c r="S247" s="318"/>
    </row>
    <row r="248" s="201" customFormat="1" ht="15.75" spans="1:20">
      <c r="A248" s="458"/>
      <c r="B248" s="459"/>
      <c r="C248" s="460"/>
      <c r="D248" s="325"/>
      <c r="E248" s="325"/>
      <c r="F248" s="325"/>
      <c r="G248" s="325"/>
      <c r="H248" s="325"/>
      <c r="I248" s="253"/>
      <c r="J248" s="253"/>
      <c r="K248" s="253"/>
      <c r="L248" s="33"/>
      <c r="M248" s="33"/>
      <c r="N248" s="276"/>
      <c r="O248" s="276"/>
      <c r="P248" s="276"/>
      <c r="Q248" s="276"/>
      <c r="R248" s="33"/>
      <c r="S248" s="33"/>
      <c r="T248" s="141"/>
    </row>
    <row r="249" s="201" customFormat="1" ht="12" spans="2:20">
      <c r="B249" s="321"/>
      <c r="C249" s="124"/>
      <c r="D249" s="124"/>
      <c r="E249" s="33"/>
      <c r="F249" s="33"/>
      <c r="G249" s="33"/>
      <c r="H249" s="33"/>
      <c r="I249" s="33"/>
      <c r="J249" s="253"/>
      <c r="K249" s="253"/>
      <c r="L249" s="33"/>
      <c r="M249" s="325"/>
      <c r="N249" s="253"/>
      <c r="O249" s="253"/>
      <c r="P249" s="253"/>
      <c r="Q249" s="253"/>
      <c r="R249" s="33"/>
      <c r="S249" s="33"/>
      <c r="T249" s="141"/>
    </row>
    <row r="250" s="377" customFormat="1" ht="11.25" spans="2:70">
      <c r="B250" s="276"/>
      <c r="C250" s="276"/>
      <c r="D250" s="276"/>
      <c r="E250" s="461"/>
      <c r="F250" s="257"/>
      <c r="G250" s="276"/>
      <c r="H250" s="276"/>
      <c r="I250" s="276"/>
      <c r="J250" s="276"/>
      <c r="K250" s="276"/>
      <c r="L250" s="33"/>
      <c r="M250" s="325"/>
      <c r="N250" s="253"/>
      <c r="O250" s="253"/>
      <c r="P250" s="253"/>
      <c r="Q250" s="253"/>
      <c r="R250" s="33"/>
      <c r="S250" s="33"/>
      <c r="T250" s="141"/>
      <c r="U250" s="378"/>
      <c r="V250" s="378"/>
      <c r="W250" s="378"/>
      <c r="X250" s="378"/>
      <c r="Y250" s="378"/>
      <c r="Z250" s="378"/>
      <c r="AA250" s="378"/>
      <c r="AB250" s="378"/>
      <c r="AC250" s="378"/>
      <c r="AD250" s="378"/>
      <c r="AE250" s="378"/>
      <c r="AF250" s="378"/>
      <c r="AG250" s="378"/>
      <c r="AH250" s="378"/>
      <c r="AI250" s="378"/>
      <c r="AJ250" s="378"/>
      <c r="AK250" s="378"/>
      <c r="AL250" s="378"/>
      <c r="AM250" s="378"/>
      <c r="AN250" s="378"/>
      <c r="AO250" s="378"/>
      <c r="AP250" s="378"/>
      <c r="AQ250" s="378"/>
      <c r="AR250" s="378"/>
      <c r="AS250" s="378"/>
      <c r="AT250" s="378"/>
      <c r="AU250" s="378"/>
      <c r="AV250" s="378"/>
      <c r="AW250" s="378"/>
      <c r="AX250" s="378"/>
      <c r="AY250" s="378"/>
      <c r="AZ250" s="378"/>
      <c r="BA250" s="378"/>
      <c r="BB250" s="378"/>
      <c r="BC250" s="378"/>
      <c r="BD250" s="378"/>
      <c r="BE250" s="378"/>
      <c r="BF250" s="378"/>
      <c r="BG250" s="378"/>
      <c r="BH250" s="378"/>
      <c r="BI250" s="378"/>
      <c r="BJ250" s="378"/>
      <c r="BK250" s="378"/>
      <c r="BL250" s="378"/>
      <c r="BM250" s="378"/>
      <c r="BN250" s="378"/>
      <c r="BO250" s="378"/>
      <c r="BP250" s="378"/>
      <c r="BQ250" s="378"/>
      <c r="BR250" s="378"/>
    </row>
    <row r="251" s="377" customFormat="1" ht="15" customHeight="1" spans="2:70">
      <c r="B251" s="291"/>
      <c r="C251" s="83"/>
      <c r="D251" s="126"/>
      <c r="E251" s="83"/>
      <c r="F251" s="83"/>
      <c r="G251" s="83"/>
      <c r="H251" s="83"/>
      <c r="I251" s="38"/>
      <c r="J251" s="38"/>
      <c r="K251" s="128"/>
      <c r="L251" s="38"/>
      <c r="M251" s="38"/>
      <c r="N251" s="272"/>
      <c r="O251" s="288"/>
      <c r="P251" s="272"/>
      <c r="Q251" s="272"/>
      <c r="R251" s="38"/>
      <c r="S251" s="38"/>
      <c r="T251" s="378"/>
      <c r="U251" s="378"/>
      <c r="V251" s="378"/>
      <c r="W251" s="378"/>
      <c r="X251" s="378"/>
      <c r="Y251" s="378"/>
      <c r="Z251" s="378"/>
      <c r="AA251" s="378"/>
      <c r="AB251" s="378"/>
      <c r="AC251" s="378"/>
      <c r="AD251" s="378"/>
      <c r="AE251" s="378"/>
      <c r="AF251" s="378"/>
      <c r="AG251" s="378"/>
      <c r="AH251" s="378"/>
      <c r="AI251" s="378"/>
      <c r="AJ251" s="378"/>
      <c r="AK251" s="378"/>
      <c r="AL251" s="378"/>
      <c r="AM251" s="378"/>
      <c r="AN251" s="378"/>
      <c r="AO251" s="378"/>
      <c r="AP251" s="378"/>
      <c r="AQ251" s="378"/>
      <c r="AR251" s="378"/>
      <c r="AS251" s="378"/>
      <c r="AT251" s="378"/>
      <c r="AU251" s="378"/>
      <c r="AV251" s="378"/>
      <c r="AW251" s="378"/>
      <c r="AX251" s="378"/>
      <c r="AY251" s="378"/>
      <c r="AZ251" s="378"/>
      <c r="BA251" s="378"/>
      <c r="BB251" s="378"/>
      <c r="BC251" s="378"/>
      <c r="BD251" s="378"/>
      <c r="BE251" s="378"/>
      <c r="BF251" s="378"/>
      <c r="BG251" s="378"/>
      <c r="BH251" s="378"/>
      <c r="BI251" s="378"/>
      <c r="BJ251" s="378"/>
      <c r="BK251" s="378"/>
      <c r="BL251" s="378"/>
      <c r="BM251" s="378"/>
      <c r="BN251" s="378"/>
      <c r="BO251" s="378"/>
      <c r="BP251" s="378"/>
      <c r="BQ251" s="378"/>
      <c r="BR251" s="378"/>
    </row>
    <row r="252" s="377" customFormat="1" ht="11.25" spans="2:70">
      <c r="B252" s="38"/>
      <c r="C252" s="83"/>
      <c r="D252" s="83"/>
      <c r="E252" s="83"/>
      <c r="F252" s="83"/>
      <c r="G252" s="83"/>
      <c r="H252" s="83"/>
      <c r="I252" s="128"/>
      <c r="J252" s="128"/>
      <c r="K252" s="159"/>
      <c r="L252" s="38"/>
      <c r="M252" s="83"/>
      <c r="N252" s="273"/>
      <c r="O252" s="272"/>
      <c r="P252" s="272"/>
      <c r="Q252" s="272"/>
      <c r="R252" s="38"/>
      <c r="S252" s="38"/>
      <c r="T252" s="378"/>
      <c r="U252" s="378"/>
      <c r="V252" s="378"/>
      <c r="W252" s="378"/>
      <c r="X252" s="378"/>
      <c r="Y252" s="378"/>
      <c r="Z252" s="378"/>
      <c r="AA252" s="378"/>
      <c r="AB252" s="378"/>
      <c r="AC252" s="378"/>
      <c r="AD252" s="378"/>
      <c r="AE252" s="378"/>
      <c r="AF252" s="378"/>
      <c r="AG252" s="378"/>
      <c r="AH252" s="378"/>
      <c r="AI252" s="378"/>
      <c r="AJ252" s="378"/>
      <c r="AK252" s="378"/>
      <c r="AL252" s="378"/>
      <c r="AM252" s="378"/>
      <c r="AN252" s="378"/>
      <c r="AO252" s="378"/>
      <c r="AP252" s="378"/>
      <c r="AQ252" s="378"/>
      <c r="AR252" s="378"/>
      <c r="AS252" s="378"/>
      <c r="AT252" s="378"/>
      <c r="AU252" s="378"/>
      <c r="AV252" s="378"/>
      <c r="AW252" s="378"/>
      <c r="AX252" s="378"/>
      <c r="AY252" s="378"/>
      <c r="AZ252" s="378"/>
      <c r="BA252" s="378"/>
      <c r="BB252" s="378"/>
      <c r="BC252" s="378"/>
      <c r="BD252" s="378"/>
      <c r="BE252" s="378"/>
      <c r="BF252" s="378"/>
      <c r="BG252" s="378"/>
      <c r="BH252" s="378"/>
      <c r="BI252" s="378"/>
      <c r="BJ252" s="378"/>
      <c r="BK252" s="378"/>
      <c r="BL252" s="378"/>
      <c r="BM252" s="378"/>
      <c r="BN252" s="378"/>
      <c r="BO252" s="378"/>
      <c r="BP252" s="378"/>
      <c r="BQ252" s="378"/>
      <c r="BR252" s="378"/>
    </row>
    <row r="253" s="377" customFormat="1" ht="11.25" spans="2:70">
      <c r="B253" s="38"/>
      <c r="C253" s="83"/>
      <c r="D253" s="159"/>
      <c r="E253" s="159"/>
      <c r="F253" s="159"/>
      <c r="G253" s="83"/>
      <c r="H253" s="159"/>
      <c r="I253" s="128"/>
      <c r="J253" s="159"/>
      <c r="K253" s="159"/>
      <c r="L253" s="38"/>
      <c r="M253" s="83"/>
      <c r="N253" s="274"/>
      <c r="O253" s="289"/>
      <c r="P253" s="289"/>
      <c r="Q253" s="272"/>
      <c r="R253" s="38"/>
      <c r="S253" s="38"/>
      <c r="T253" s="378"/>
      <c r="U253" s="378"/>
      <c r="V253" s="378"/>
      <c r="W253" s="378"/>
      <c r="X253" s="378"/>
      <c r="Y253" s="378"/>
      <c r="Z253" s="378"/>
      <c r="AA253" s="378"/>
      <c r="AB253" s="378"/>
      <c r="AC253" s="378"/>
      <c r="AD253" s="378"/>
      <c r="AE253" s="378"/>
      <c r="AF253" s="378"/>
      <c r="AG253" s="378"/>
      <c r="AH253" s="378"/>
      <c r="AI253" s="378"/>
      <c r="AJ253" s="378"/>
      <c r="AK253" s="378"/>
      <c r="AL253" s="378"/>
      <c r="AM253" s="378"/>
      <c r="AN253" s="378"/>
      <c r="AO253" s="378"/>
      <c r="AP253" s="378"/>
      <c r="AQ253" s="378"/>
      <c r="AR253" s="378"/>
      <c r="AS253" s="378"/>
      <c r="AT253" s="378"/>
      <c r="AU253" s="378"/>
      <c r="AV253" s="378"/>
      <c r="AW253" s="378"/>
      <c r="AX253" s="378"/>
      <c r="AY253" s="378"/>
      <c r="AZ253" s="378"/>
      <c r="BA253" s="378"/>
      <c r="BB253" s="378"/>
      <c r="BC253" s="378"/>
      <c r="BD253" s="378"/>
      <c r="BE253" s="378"/>
      <c r="BF253" s="378"/>
      <c r="BG253" s="378"/>
      <c r="BH253" s="378"/>
      <c r="BI253" s="378"/>
      <c r="BJ253" s="378"/>
      <c r="BK253" s="378"/>
      <c r="BL253" s="378"/>
      <c r="BM253" s="378"/>
      <c r="BN253" s="378"/>
      <c r="BO253" s="378"/>
      <c r="BP253" s="378"/>
      <c r="BQ253" s="378"/>
      <c r="BR253" s="378"/>
    </row>
    <row r="254" s="377" customFormat="1" ht="11.25" spans="2:70">
      <c r="B254" s="38"/>
      <c r="C254" s="83"/>
      <c r="D254" s="83"/>
      <c r="E254" s="83"/>
      <c r="F254" s="83"/>
      <c r="G254" s="83"/>
      <c r="H254" s="159"/>
      <c r="I254" s="128"/>
      <c r="J254" s="128"/>
      <c r="K254" s="159"/>
      <c r="L254" s="38"/>
      <c r="M254" s="83"/>
      <c r="N254" s="274"/>
      <c r="O254" s="290"/>
      <c r="P254" s="290"/>
      <c r="Q254" s="272"/>
      <c r="R254" s="38"/>
      <c r="S254" s="38"/>
      <c r="T254" s="378"/>
      <c r="U254" s="378"/>
      <c r="V254" s="378"/>
      <c r="W254" s="378"/>
      <c r="X254" s="378"/>
      <c r="Y254" s="378"/>
      <c r="Z254" s="378"/>
      <c r="AA254" s="378"/>
      <c r="AB254" s="378"/>
      <c r="AC254" s="378"/>
      <c r="AD254" s="378"/>
      <c r="AE254" s="378"/>
      <c r="AF254" s="378"/>
      <c r="AG254" s="378"/>
      <c r="AH254" s="378"/>
      <c r="AI254" s="378"/>
      <c r="AJ254" s="378"/>
      <c r="AK254" s="378"/>
      <c r="AL254" s="378"/>
      <c r="AM254" s="378"/>
      <c r="AN254" s="378"/>
      <c r="AO254" s="378"/>
      <c r="AP254" s="378"/>
      <c r="AQ254" s="378"/>
      <c r="AR254" s="378"/>
      <c r="AS254" s="378"/>
      <c r="AT254" s="378"/>
      <c r="AU254" s="378"/>
      <c r="AV254" s="378"/>
      <c r="AW254" s="378"/>
      <c r="AX254" s="378"/>
      <c r="AY254" s="378"/>
      <c r="AZ254" s="378"/>
      <c r="BA254" s="378"/>
      <c r="BB254" s="378"/>
      <c r="BC254" s="378"/>
      <c r="BD254" s="378"/>
      <c r="BE254" s="378"/>
      <c r="BF254" s="378"/>
      <c r="BG254" s="378"/>
      <c r="BH254" s="378"/>
      <c r="BI254" s="378"/>
      <c r="BJ254" s="378"/>
      <c r="BK254" s="378"/>
      <c r="BL254" s="378"/>
      <c r="BM254" s="378"/>
      <c r="BN254" s="378"/>
      <c r="BO254" s="378"/>
      <c r="BP254" s="378"/>
      <c r="BQ254" s="378"/>
      <c r="BR254" s="378"/>
    </row>
    <row r="255" s="377" customFormat="1" ht="11.25" spans="2:70">
      <c r="B255" s="38"/>
      <c r="C255" s="83"/>
      <c r="D255" s="83"/>
      <c r="E255" s="83"/>
      <c r="F255" s="83"/>
      <c r="G255" s="83"/>
      <c r="H255" s="159"/>
      <c r="I255" s="128"/>
      <c r="J255" s="128"/>
      <c r="K255" s="159"/>
      <c r="L255" s="38"/>
      <c r="M255" s="83"/>
      <c r="N255" s="274"/>
      <c r="O255" s="289"/>
      <c r="P255" s="290"/>
      <c r="Q255" s="272"/>
      <c r="R255" s="38"/>
      <c r="S255" s="38"/>
      <c r="T255" s="378"/>
      <c r="U255" s="378"/>
      <c r="V255" s="378"/>
      <c r="W255" s="378"/>
      <c r="X255" s="378"/>
      <c r="Y255" s="378"/>
      <c r="Z255" s="378"/>
      <c r="AA255" s="378"/>
      <c r="AB255" s="378"/>
      <c r="AC255" s="378"/>
      <c r="AD255" s="378"/>
      <c r="AE255" s="378"/>
      <c r="AF255" s="378"/>
      <c r="AG255" s="378"/>
      <c r="AH255" s="378"/>
      <c r="AI255" s="378"/>
      <c r="AJ255" s="378"/>
      <c r="AK255" s="378"/>
      <c r="AL255" s="378"/>
      <c r="AM255" s="378"/>
      <c r="AN255" s="378"/>
      <c r="AO255" s="378"/>
      <c r="AP255" s="378"/>
      <c r="AQ255" s="378"/>
      <c r="AR255" s="378"/>
      <c r="AS255" s="378"/>
      <c r="AT255" s="378"/>
      <c r="AU255" s="378"/>
      <c r="AV255" s="378"/>
      <c r="AW255" s="378"/>
      <c r="AX255" s="378"/>
      <c r="AY255" s="378"/>
      <c r="AZ255" s="378"/>
      <c r="BA255" s="378"/>
      <c r="BB255" s="378"/>
      <c r="BC255" s="378"/>
      <c r="BD255" s="378"/>
      <c r="BE255" s="378"/>
      <c r="BF255" s="378"/>
      <c r="BG255" s="378"/>
      <c r="BH255" s="378"/>
      <c r="BI255" s="378"/>
      <c r="BJ255" s="378"/>
      <c r="BK255" s="378"/>
      <c r="BL255" s="378"/>
      <c r="BM255" s="378"/>
      <c r="BN255" s="378"/>
      <c r="BO255" s="378"/>
      <c r="BP255" s="378"/>
      <c r="BQ255" s="378"/>
      <c r="BR255" s="378"/>
    </row>
    <row r="256" s="377" customFormat="1" ht="11.25" spans="2:70">
      <c r="B256" s="38"/>
      <c r="C256" s="83"/>
      <c r="D256" s="159"/>
      <c r="E256" s="159"/>
      <c r="F256" s="159"/>
      <c r="G256" s="83"/>
      <c r="H256" s="159"/>
      <c r="I256" s="128"/>
      <c r="J256" s="159"/>
      <c r="K256" s="159"/>
      <c r="L256" s="38"/>
      <c r="M256" s="83"/>
      <c r="N256" s="274"/>
      <c r="O256" s="289"/>
      <c r="P256" s="289"/>
      <c r="Q256" s="272"/>
      <c r="R256" s="38"/>
      <c r="S256" s="38"/>
      <c r="T256" s="378"/>
      <c r="U256" s="378"/>
      <c r="V256" s="378"/>
      <c r="W256" s="378"/>
      <c r="X256" s="378"/>
      <c r="Y256" s="378"/>
      <c r="Z256" s="378"/>
      <c r="AA256" s="378"/>
      <c r="AB256" s="378"/>
      <c r="AC256" s="378"/>
      <c r="AD256" s="378"/>
      <c r="AE256" s="378"/>
      <c r="AF256" s="378"/>
      <c r="AG256" s="378"/>
      <c r="AH256" s="378"/>
      <c r="AI256" s="378"/>
      <c r="AJ256" s="378"/>
      <c r="AK256" s="378"/>
      <c r="AL256" s="378"/>
      <c r="AM256" s="378"/>
      <c r="AN256" s="378"/>
      <c r="AO256" s="378"/>
      <c r="AP256" s="378"/>
      <c r="AQ256" s="378"/>
      <c r="AR256" s="378"/>
      <c r="AS256" s="378"/>
      <c r="AT256" s="378"/>
      <c r="AU256" s="378"/>
      <c r="AV256" s="378"/>
      <c r="AW256" s="378"/>
      <c r="AX256" s="378"/>
      <c r="AY256" s="378"/>
      <c r="AZ256" s="378"/>
      <c r="BA256" s="378"/>
      <c r="BB256" s="378"/>
      <c r="BC256" s="378"/>
      <c r="BD256" s="378"/>
      <c r="BE256" s="378"/>
      <c r="BF256" s="378"/>
      <c r="BG256" s="378"/>
      <c r="BH256" s="378"/>
      <c r="BI256" s="378"/>
      <c r="BJ256" s="378"/>
      <c r="BK256" s="378"/>
      <c r="BL256" s="378"/>
      <c r="BM256" s="378"/>
      <c r="BN256" s="378"/>
      <c r="BO256" s="378"/>
      <c r="BP256" s="378"/>
      <c r="BQ256" s="378"/>
      <c r="BR256" s="378"/>
    </row>
    <row r="257" s="377" customFormat="1" ht="11.25" spans="2:70">
      <c r="B257" s="38"/>
      <c r="C257" s="83"/>
      <c r="D257" s="83"/>
      <c r="E257" s="83"/>
      <c r="F257" s="83"/>
      <c r="G257" s="83"/>
      <c r="H257" s="159"/>
      <c r="I257" s="128"/>
      <c r="J257" s="128"/>
      <c r="K257" s="159"/>
      <c r="L257" s="38"/>
      <c r="M257" s="83"/>
      <c r="N257" s="274"/>
      <c r="O257" s="477"/>
      <c r="P257" s="290"/>
      <c r="Q257" s="272"/>
      <c r="R257" s="38"/>
      <c r="S257" s="38"/>
      <c r="T257" s="378"/>
      <c r="U257" s="378"/>
      <c r="V257" s="378"/>
      <c r="W257" s="378"/>
      <c r="X257" s="378"/>
      <c r="Y257" s="378"/>
      <c r="Z257" s="378"/>
      <c r="AA257" s="378"/>
      <c r="AB257" s="378"/>
      <c r="AC257" s="378"/>
      <c r="AD257" s="378"/>
      <c r="AE257" s="378"/>
      <c r="AF257" s="378"/>
      <c r="AG257" s="378"/>
      <c r="AH257" s="378"/>
      <c r="AI257" s="378"/>
      <c r="AJ257" s="378"/>
      <c r="AK257" s="378"/>
      <c r="AL257" s="378"/>
      <c r="AM257" s="378"/>
      <c r="AN257" s="378"/>
      <c r="AO257" s="378"/>
      <c r="AP257" s="378"/>
      <c r="AQ257" s="378"/>
      <c r="AR257" s="378"/>
      <c r="AS257" s="378"/>
      <c r="AT257" s="378"/>
      <c r="AU257" s="378"/>
      <c r="AV257" s="378"/>
      <c r="AW257" s="378"/>
      <c r="AX257" s="378"/>
      <c r="AY257" s="378"/>
      <c r="AZ257" s="378"/>
      <c r="BA257" s="378"/>
      <c r="BB257" s="378"/>
      <c r="BC257" s="378"/>
      <c r="BD257" s="378"/>
      <c r="BE257" s="378"/>
      <c r="BF257" s="378"/>
      <c r="BG257" s="378"/>
      <c r="BH257" s="378"/>
      <c r="BI257" s="378"/>
      <c r="BJ257" s="378"/>
      <c r="BK257" s="378"/>
      <c r="BL257" s="378"/>
      <c r="BM257" s="378"/>
      <c r="BN257" s="378"/>
      <c r="BO257" s="378"/>
      <c r="BP257" s="378"/>
      <c r="BQ257" s="378"/>
      <c r="BR257" s="378"/>
    </row>
    <row r="258" s="377" customFormat="1" ht="11.25" spans="2:70">
      <c r="B258" s="38"/>
      <c r="C258" s="83"/>
      <c r="D258" s="83"/>
      <c r="E258" s="83"/>
      <c r="F258" s="83"/>
      <c r="G258" s="83"/>
      <c r="H258" s="159"/>
      <c r="I258" s="128"/>
      <c r="J258" s="128"/>
      <c r="K258" s="159"/>
      <c r="L258" s="38"/>
      <c r="M258" s="83"/>
      <c r="N258" s="274"/>
      <c r="O258" s="289"/>
      <c r="P258" s="290"/>
      <c r="Q258" s="272"/>
      <c r="R258" s="38"/>
      <c r="S258" s="38"/>
      <c r="T258" s="378"/>
      <c r="U258" s="378"/>
      <c r="V258" s="378"/>
      <c r="W258" s="378"/>
      <c r="X258" s="378"/>
      <c r="Y258" s="378"/>
      <c r="Z258" s="378"/>
      <c r="AA258" s="378"/>
      <c r="AB258" s="378"/>
      <c r="AC258" s="378"/>
      <c r="AD258" s="378"/>
      <c r="AE258" s="378"/>
      <c r="AF258" s="378"/>
      <c r="AG258" s="378"/>
      <c r="AH258" s="378"/>
      <c r="AI258" s="378"/>
      <c r="AJ258" s="378"/>
      <c r="AK258" s="378"/>
      <c r="AL258" s="378"/>
      <c r="AM258" s="378"/>
      <c r="AN258" s="378"/>
      <c r="AO258" s="378"/>
      <c r="AP258" s="378"/>
      <c r="AQ258" s="378"/>
      <c r="AR258" s="378"/>
      <c r="AS258" s="378"/>
      <c r="AT258" s="378"/>
      <c r="AU258" s="378"/>
      <c r="AV258" s="378"/>
      <c r="AW258" s="378"/>
      <c r="AX258" s="378"/>
      <c r="AY258" s="378"/>
      <c r="AZ258" s="378"/>
      <c r="BA258" s="378"/>
      <c r="BB258" s="378"/>
      <c r="BC258" s="378"/>
      <c r="BD258" s="378"/>
      <c r="BE258" s="378"/>
      <c r="BF258" s="378"/>
      <c r="BG258" s="378"/>
      <c r="BH258" s="378"/>
      <c r="BI258" s="378"/>
      <c r="BJ258" s="378"/>
      <c r="BK258" s="378"/>
      <c r="BL258" s="378"/>
      <c r="BM258" s="378"/>
      <c r="BN258" s="378"/>
      <c r="BO258" s="378"/>
      <c r="BP258" s="378"/>
      <c r="BQ258" s="378"/>
      <c r="BR258" s="378"/>
    </row>
    <row r="259" s="377" customFormat="1" ht="11.25" spans="2:70">
      <c r="B259" s="38"/>
      <c r="C259" s="83"/>
      <c r="D259" s="159"/>
      <c r="E259" s="159"/>
      <c r="F259" s="159"/>
      <c r="G259" s="83"/>
      <c r="H259" s="159"/>
      <c r="I259" s="128"/>
      <c r="J259" s="159"/>
      <c r="K259" s="159"/>
      <c r="L259" s="83"/>
      <c r="M259" s="83"/>
      <c r="N259" s="274"/>
      <c r="O259" s="289"/>
      <c r="P259" s="289"/>
      <c r="Q259" s="272"/>
      <c r="R259" s="38"/>
      <c r="S259" s="38"/>
      <c r="T259" s="378"/>
      <c r="U259" s="378"/>
      <c r="V259" s="378"/>
      <c r="W259" s="378"/>
      <c r="X259" s="378"/>
      <c r="Y259" s="378"/>
      <c r="Z259" s="378"/>
      <c r="AA259" s="378"/>
      <c r="AB259" s="378"/>
      <c r="AC259" s="378"/>
      <c r="AD259" s="378"/>
      <c r="AE259" s="378"/>
      <c r="AF259" s="378"/>
      <c r="AG259" s="378"/>
      <c r="AH259" s="378"/>
      <c r="AI259" s="378"/>
      <c r="AJ259" s="378"/>
      <c r="AK259" s="378"/>
      <c r="AL259" s="378"/>
      <c r="AM259" s="378"/>
      <c r="AN259" s="378"/>
      <c r="AO259" s="378"/>
      <c r="AP259" s="378"/>
      <c r="AQ259" s="378"/>
      <c r="AR259" s="378"/>
      <c r="AS259" s="378"/>
      <c r="AT259" s="378"/>
      <c r="AU259" s="378"/>
      <c r="AV259" s="378"/>
      <c r="AW259" s="378"/>
      <c r="AX259" s="378"/>
      <c r="AY259" s="378"/>
      <c r="AZ259" s="378"/>
      <c r="BA259" s="378"/>
      <c r="BB259" s="378"/>
      <c r="BC259" s="378"/>
      <c r="BD259" s="378"/>
      <c r="BE259" s="378"/>
      <c r="BF259" s="378"/>
      <c r="BG259" s="378"/>
      <c r="BH259" s="378"/>
      <c r="BI259" s="378"/>
      <c r="BJ259" s="378"/>
      <c r="BK259" s="378"/>
      <c r="BL259" s="378"/>
      <c r="BM259" s="378"/>
      <c r="BN259" s="378"/>
      <c r="BO259" s="378"/>
      <c r="BP259" s="378"/>
      <c r="BQ259" s="378"/>
      <c r="BR259" s="378"/>
    </row>
    <row r="260" s="377" customFormat="1" ht="11.25" spans="2:70">
      <c r="B260" s="38"/>
      <c r="C260" s="83"/>
      <c r="D260" s="83"/>
      <c r="E260" s="83"/>
      <c r="F260" s="83"/>
      <c r="G260" s="83"/>
      <c r="H260" s="159"/>
      <c r="I260" s="128"/>
      <c r="J260" s="128"/>
      <c r="K260" s="159"/>
      <c r="L260" s="83"/>
      <c r="M260" s="83"/>
      <c r="N260" s="478"/>
      <c r="O260" s="183"/>
      <c r="P260" s="183"/>
      <c r="Q260" s="38"/>
      <c r="R260" s="38"/>
      <c r="S260" s="38"/>
      <c r="T260" s="378"/>
      <c r="U260" s="378"/>
      <c r="V260" s="378"/>
      <c r="W260" s="378"/>
      <c r="X260" s="378"/>
      <c r="Y260" s="378"/>
      <c r="Z260" s="378"/>
      <c r="AA260" s="378"/>
      <c r="AB260" s="378"/>
      <c r="AC260" s="378"/>
      <c r="AD260" s="378"/>
      <c r="AE260" s="378"/>
      <c r="AF260" s="378"/>
      <c r="AG260" s="378"/>
      <c r="AH260" s="378"/>
      <c r="AI260" s="378"/>
      <c r="AJ260" s="378"/>
      <c r="AK260" s="378"/>
      <c r="AL260" s="378"/>
      <c r="AM260" s="378"/>
      <c r="AN260" s="378"/>
      <c r="AO260" s="378"/>
      <c r="AP260" s="378"/>
      <c r="AQ260" s="378"/>
      <c r="AR260" s="378"/>
      <c r="AS260" s="378"/>
      <c r="AT260" s="378"/>
      <c r="AU260" s="378"/>
      <c r="AV260" s="378"/>
      <c r="AW260" s="378"/>
      <c r="AX260" s="378"/>
      <c r="AY260" s="378"/>
      <c r="AZ260" s="378"/>
      <c r="BA260" s="378"/>
      <c r="BB260" s="378"/>
      <c r="BC260" s="378"/>
      <c r="BD260" s="378"/>
      <c r="BE260" s="378"/>
      <c r="BF260" s="378"/>
      <c r="BG260" s="378"/>
      <c r="BH260" s="378"/>
      <c r="BI260" s="378"/>
      <c r="BJ260" s="378"/>
      <c r="BK260" s="378"/>
      <c r="BL260" s="378"/>
      <c r="BM260" s="378"/>
      <c r="BN260" s="378"/>
      <c r="BO260" s="378"/>
      <c r="BP260" s="378"/>
      <c r="BQ260" s="378"/>
      <c r="BR260" s="378"/>
    </row>
    <row r="261" s="377" customFormat="1" ht="11.25" spans="2:70">
      <c r="B261" s="38"/>
      <c r="C261" s="83"/>
      <c r="D261" s="83"/>
      <c r="E261" s="83"/>
      <c r="F261" s="83"/>
      <c r="G261" s="83"/>
      <c r="H261" s="159"/>
      <c r="I261" s="128"/>
      <c r="J261" s="128"/>
      <c r="K261" s="159"/>
      <c r="L261" s="83"/>
      <c r="M261" s="83"/>
      <c r="N261" s="478"/>
      <c r="O261" s="479"/>
      <c r="P261" s="183"/>
      <c r="Q261" s="38"/>
      <c r="R261" s="38"/>
      <c r="S261" s="38"/>
      <c r="T261" s="378"/>
      <c r="U261" s="378"/>
      <c r="V261" s="378"/>
      <c r="W261" s="378"/>
      <c r="X261" s="378"/>
      <c r="Y261" s="378"/>
      <c r="Z261" s="378"/>
      <c r="AA261" s="378"/>
      <c r="AB261" s="378"/>
      <c r="AC261" s="378"/>
      <c r="AD261" s="378"/>
      <c r="AE261" s="378"/>
      <c r="AF261" s="378"/>
      <c r="AG261" s="378"/>
      <c r="AH261" s="378"/>
      <c r="AI261" s="378"/>
      <c r="AJ261" s="378"/>
      <c r="AK261" s="378"/>
      <c r="AL261" s="378"/>
      <c r="AM261" s="378"/>
      <c r="AN261" s="378"/>
      <c r="AO261" s="378"/>
      <c r="AP261" s="378"/>
      <c r="AQ261" s="378"/>
      <c r="AR261" s="378"/>
      <c r="AS261" s="378"/>
      <c r="AT261" s="378"/>
      <c r="AU261" s="378"/>
      <c r="AV261" s="378"/>
      <c r="AW261" s="378"/>
      <c r="AX261" s="378"/>
      <c r="AY261" s="378"/>
      <c r="AZ261" s="378"/>
      <c r="BA261" s="378"/>
      <c r="BB261" s="378"/>
      <c r="BC261" s="378"/>
      <c r="BD261" s="378"/>
      <c r="BE261" s="378"/>
      <c r="BF261" s="378"/>
      <c r="BG261" s="378"/>
      <c r="BH261" s="378"/>
      <c r="BI261" s="378"/>
      <c r="BJ261" s="378"/>
      <c r="BK261" s="378"/>
      <c r="BL261" s="378"/>
      <c r="BM261" s="378"/>
      <c r="BN261" s="378"/>
      <c r="BO261" s="378"/>
      <c r="BP261" s="378"/>
      <c r="BQ261" s="378"/>
      <c r="BR261" s="378"/>
    </row>
    <row r="262" s="378" customFormat="1" ht="11.25" spans="2:19">
      <c r="B262" s="38"/>
      <c r="C262" s="83"/>
      <c r="D262" s="159"/>
      <c r="E262" s="159"/>
      <c r="F262" s="159"/>
      <c r="G262" s="83"/>
      <c r="H262" s="159"/>
      <c r="I262" s="128"/>
      <c r="J262" s="159"/>
      <c r="K262" s="159"/>
      <c r="L262" s="83"/>
      <c r="M262" s="83"/>
      <c r="N262" s="478"/>
      <c r="O262" s="479"/>
      <c r="P262" s="479"/>
      <c r="Q262" s="38"/>
      <c r="R262" s="38"/>
      <c r="S262" s="38"/>
    </row>
    <row r="263" s="378" customFormat="1" ht="11.25" spans="2:19">
      <c r="B263" s="38"/>
      <c r="C263" s="83"/>
      <c r="D263" s="83"/>
      <c r="E263" s="83"/>
      <c r="F263" s="126"/>
      <c r="G263" s="126"/>
      <c r="H263" s="83"/>
      <c r="I263" s="128"/>
      <c r="J263" s="128"/>
      <c r="K263" s="159"/>
      <c r="L263" s="83"/>
      <c r="M263" s="83"/>
      <c r="N263" s="478"/>
      <c r="O263" s="183"/>
      <c r="P263" s="183"/>
      <c r="Q263" s="38"/>
      <c r="R263" s="38"/>
      <c r="S263" s="38"/>
    </row>
    <row r="264" s="378" customFormat="1" ht="11.25" spans="2:19">
      <c r="B264" s="38"/>
      <c r="C264" s="83"/>
      <c r="D264" s="83"/>
      <c r="E264" s="83"/>
      <c r="F264" s="126"/>
      <c r="G264" s="126"/>
      <c r="H264" s="83"/>
      <c r="I264" s="128"/>
      <c r="J264" s="128"/>
      <c r="K264" s="159"/>
      <c r="L264" s="83"/>
      <c r="M264" s="83"/>
      <c r="N264" s="478"/>
      <c r="O264" s="479"/>
      <c r="P264" s="183"/>
      <c r="Q264" s="38"/>
      <c r="R264" s="38"/>
      <c r="S264" s="38"/>
    </row>
    <row r="265" s="378" customFormat="1" ht="11.25" spans="2:19">
      <c r="B265" s="251"/>
      <c r="C265" s="38"/>
      <c r="D265" s="38"/>
      <c r="E265" s="38"/>
      <c r="F265" s="38"/>
      <c r="G265" s="38"/>
      <c r="H265" s="38"/>
      <c r="I265" s="128"/>
      <c r="J265" s="128"/>
      <c r="K265" s="159"/>
      <c r="L265" s="83"/>
      <c r="M265" s="83"/>
      <c r="N265" s="38"/>
      <c r="O265" s="38"/>
      <c r="P265" s="38"/>
      <c r="Q265" s="38"/>
      <c r="R265" s="38"/>
      <c r="S265" s="38"/>
    </row>
    <row r="266" spans="2:41">
      <c r="B266" s="140"/>
      <c r="C266" s="140"/>
      <c r="D266" s="140"/>
      <c r="E266" s="140"/>
      <c r="F266" s="140"/>
      <c r="G266" s="140"/>
      <c r="H266" s="140"/>
      <c r="I266" s="140"/>
      <c r="J266" s="140"/>
      <c r="K266" s="140"/>
      <c r="L266" s="140"/>
      <c r="M266" s="140"/>
      <c r="N266" s="140"/>
      <c r="O266" s="140"/>
      <c r="P266" s="140"/>
      <c r="Q266" s="140"/>
      <c r="R266" s="140"/>
      <c r="S266" s="140"/>
      <c r="T266" s="292"/>
      <c r="U266" s="292"/>
      <c r="V266" s="292"/>
      <c r="W266" s="292"/>
      <c r="X266" s="292"/>
      <c r="Y266" s="292"/>
      <c r="Z266" s="292"/>
      <c r="AA266" s="292"/>
      <c r="AB266" s="292"/>
      <c r="AC266" s="292"/>
      <c r="AD266" s="292"/>
      <c r="AE266" s="292"/>
      <c r="AF266" s="292"/>
      <c r="AG266" s="292"/>
      <c r="AH266" s="292"/>
      <c r="AI266" s="292"/>
      <c r="AJ266" s="292"/>
      <c r="AK266" s="292"/>
      <c r="AL266" s="292"/>
      <c r="AM266" s="292"/>
      <c r="AN266" s="292"/>
      <c r="AO266" s="292"/>
    </row>
    <row r="267" spans="2:41">
      <c r="B267" s="140"/>
      <c r="C267" s="140"/>
      <c r="D267" s="140"/>
      <c r="E267" s="140"/>
      <c r="F267" s="140"/>
      <c r="G267" s="140"/>
      <c r="H267" s="140"/>
      <c r="I267" s="150"/>
      <c r="J267" s="140"/>
      <c r="K267" s="140"/>
      <c r="L267" s="150"/>
      <c r="M267" s="140"/>
      <c r="N267" s="140"/>
      <c r="O267" s="140"/>
      <c r="P267" s="140"/>
      <c r="Q267" s="140"/>
      <c r="R267" s="140"/>
      <c r="S267" s="140"/>
      <c r="T267" s="292"/>
      <c r="U267" s="292"/>
      <c r="V267" s="292"/>
      <c r="W267" s="292"/>
      <c r="X267" s="292"/>
      <c r="Y267" s="292"/>
      <c r="Z267" s="292"/>
      <c r="AA267" s="292"/>
      <c r="AB267" s="292"/>
      <c r="AC267" s="292"/>
      <c r="AD267" s="292"/>
      <c r="AE267" s="292"/>
      <c r="AF267" s="292"/>
      <c r="AG267" s="292"/>
      <c r="AH267" s="292"/>
      <c r="AI267" s="292"/>
      <c r="AJ267" s="292"/>
      <c r="AK267" s="292"/>
      <c r="AL267" s="292"/>
      <c r="AM267" s="292"/>
      <c r="AN267" s="292"/>
      <c r="AO267" s="292"/>
    </row>
    <row r="268" spans="2:41">
      <c r="B268" s="140"/>
      <c r="C268" s="140"/>
      <c r="D268" s="140"/>
      <c r="E268" s="150"/>
      <c r="F268" s="140"/>
      <c r="G268" s="140"/>
      <c r="H268" s="140"/>
      <c r="I268" s="140"/>
      <c r="J268" s="140"/>
      <c r="K268" s="140"/>
      <c r="L268" s="140"/>
      <c r="M268" s="140"/>
      <c r="N268" s="140"/>
      <c r="O268" s="140"/>
      <c r="P268" s="140"/>
      <c r="Q268" s="140"/>
      <c r="R268" s="140"/>
      <c r="S268" s="140"/>
      <c r="T268" s="292"/>
      <c r="U268" s="292"/>
      <c r="V268" s="292"/>
      <c r="W268" s="292"/>
      <c r="X268" s="292"/>
      <c r="Y268" s="292"/>
      <c r="Z268" s="292"/>
      <c r="AA268" s="292"/>
      <c r="AB268" s="292"/>
      <c r="AC268" s="292"/>
      <c r="AD268" s="292"/>
      <c r="AE268" s="292"/>
      <c r="AF268" s="292"/>
      <c r="AG268" s="292"/>
      <c r="AH268" s="292"/>
      <c r="AI268" s="292"/>
      <c r="AJ268" s="292"/>
      <c r="AK268" s="292"/>
      <c r="AL268" s="292"/>
      <c r="AM268" s="292"/>
      <c r="AN268" s="292"/>
      <c r="AO268" s="292"/>
    </row>
    <row r="269" s="377" customFormat="1" spans="2:41">
      <c r="B269" s="462"/>
      <c r="C269" s="463"/>
      <c r="D269" s="464"/>
      <c r="E269" s="378"/>
      <c r="F269" s="378"/>
      <c r="G269" s="378"/>
      <c r="H269" s="378"/>
      <c r="I269" s="378"/>
      <c r="J269" s="378"/>
      <c r="K269" s="378"/>
      <c r="L269" s="378"/>
      <c r="M269" s="378"/>
      <c r="N269" s="378"/>
      <c r="O269" s="378"/>
      <c r="P269" s="378"/>
      <c r="Q269" s="378"/>
      <c r="R269" s="378"/>
      <c r="S269" s="378"/>
      <c r="T269" s="378"/>
      <c r="U269" s="378"/>
      <c r="V269" s="378"/>
      <c r="W269" s="378"/>
      <c r="X269" s="378"/>
      <c r="Y269" s="378"/>
      <c r="Z269" s="378"/>
      <c r="AA269" s="378"/>
      <c r="AB269" s="378"/>
      <c r="AC269" s="378"/>
      <c r="AD269" s="378"/>
      <c r="AE269" s="378"/>
      <c r="AF269" s="378"/>
      <c r="AG269" s="378"/>
      <c r="AH269" s="378"/>
      <c r="AI269" s="378"/>
      <c r="AJ269" s="378"/>
      <c r="AK269" s="378"/>
      <c r="AL269" s="378"/>
      <c r="AM269" s="378"/>
      <c r="AN269" s="378"/>
      <c r="AO269" s="378"/>
    </row>
    <row r="270" s="379" customFormat="1" ht="11.25" spans="2:41">
      <c r="B270" s="465"/>
      <c r="C270" s="466"/>
      <c r="D270" s="466"/>
      <c r="E270" s="378"/>
      <c r="F270" s="378"/>
      <c r="G270" s="378"/>
      <c r="H270" s="378"/>
      <c r="I270" s="378"/>
      <c r="J270" s="378"/>
      <c r="K270" s="378"/>
      <c r="L270" s="378"/>
      <c r="M270" s="378"/>
      <c r="N270" s="378"/>
      <c r="O270" s="378"/>
      <c r="P270" s="378"/>
      <c r="Q270" s="378"/>
      <c r="R270" s="378"/>
      <c r="S270" s="378"/>
      <c r="T270" s="378"/>
      <c r="U270" s="378"/>
      <c r="V270" s="378"/>
      <c r="W270" s="378"/>
      <c r="X270" s="378"/>
      <c r="Y270" s="378"/>
      <c r="Z270" s="378"/>
      <c r="AA270" s="378"/>
      <c r="AB270" s="378"/>
      <c r="AC270" s="378"/>
      <c r="AD270" s="378"/>
      <c r="AE270" s="378"/>
      <c r="AF270" s="378"/>
      <c r="AG270" s="378"/>
      <c r="AH270" s="378"/>
      <c r="AI270" s="378"/>
      <c r="AJ270" s="378"/>
      <c r="AK270" s="378"/>
      <c r="AL270" s="378"/>
      <c r="AM270" s="378"/>
      <c r="AN270" s="378"/>
      <c r="AO270" s="378"/>
    </row>
    <row r="271" s="379" customFormat="1" ht="11.25" spans="2:41">
      <c r="B271" s="465"/>
      <c r="C271" s="467"/>
      <c r="D271" s="378"/>
      <c r="E271" s="378"/>
      <c r="F271" s="465"/>
      <c r="G271" s="378"/>
      <c r="H271" s="378"/>
      <c r="I271" s="378"/>
      <c r="J271" s="378"/>
      <c r="K271" s="378"/>
      <c r="L271" s="378"/>
      <c r="M271" s="378"/>
      <c r="N271" s="378"/>
      <c r="O271" s="378"/>
      <c r="P271" s="378"/>
      <c r="Q271" s="378"/>
      <c r="R271" s="378"/>
      <c r="S271" s="378"/>
      <c r="T271" s="378"/>
      <c r="U271" s="378"/>
      <c r="V271" s="378"/>
      <c r="W271" s="378"/>
      <c r="X271" s="378"/>
      <c r="Y271" s="378"/>
      <c r="Z271" s="378"/>
      <c r="AA271" s="378"/>
      <c r="AB271" s="378"/>
      <c r="AC271" s="378"/>
      <c r="AD271" s="378"/>
      <c r="AE271" s="378"/>
      <c r="AF271" s="378"/>
      <c r="AG271" s="378"/>
      <c r="AH271" s="378"/>
      <c r="AI271" s="378"/>
      <c r="AJ271" s="378"/>
      <c r="AK271" s="378"/>
      <c r="AL271" s="378"/>
      <c r="AM271" s="378"/>
      <c r="AN271" s="378"/>
      <c r="AO271" s="378"/>
    </row>
    <row r="272" s="379" customFormat="1" ht="11.25" spans="2:41">
      <c r="B272" s="465"/>
      <c r="C272" s="468"/>
      <c r="D272" s="378"/>
      <c r="E272" s="469"/>
      <c r="F272" s="469"/>
      <c r="G272" s="469"/>
      <c r="H272" s="469"/>
      <c r="I272" s="378"/>
      <c r="J272" s="480"/>
      <c r="K272" s="378"/>
      <c r="L272" s="378"/>
      <c r="M272" s="378"/>
      <c r="N272" s="378"/>
      <c r="O272" s="378"/>
      <c r="P272" s="378"/>
      <c r="Q272" s="378"/>
      <c r="R272" s="378"/>
      <c r="S272" s="378"/>
      <c r="T272" s="378"/>
      <c r="U272" s="378"/>
      <c r="V272" s="378"/>
      <c r="W272" s="378"/>
      <c r="X272" s="378"/>
      <c r="Y272" s="378"/>
      <c r="Z272" s="378"/>
      <c r="AA272" s="378"/>
      <c r="AB272" s="378"/>
      <c r="AC272" s="378"/>
      <c r="AD272" s="378"/>
      <c r="AE272" s="378"/>
      <c r="AF272" s="378"/>
      <c r="AG272" s="378"/>
      <c r="AH272" s="378"/>
      <c r="AI272" s="378"/>
      <c r="AJ272" s="378"/>
      <c r="AK272" s="378"/>
      <c r="AL272" s="378"/>
      <c r="AM272" s="378"/>
      <c r="AN272" s="378"/>
      <c r="AO272" s="378"/>
    </row>
    <row r="273" s="379" customFormat="1" ht="11.25" spans="2:41">
      <c r="B273" s="465"/>
      <c r="C273" s="467"/>
      <c r="D273" s="378"/>
      <c r="E273" s="378"/>
      <c r="F273" s="465"/>
      <c r="G273" s="378"/>
      <c r="H273" s="378"/>
      <c r="I273" s="378"/>
      <c r="J273" s="378"/>
      <c r="K273" s="465"/>
      <c r="L273" s="378"/>
      <c r="M273" s="378"/>
      <c r="N273" s="378"/>
      <c r="O273" s="378"/>
      <c r="P273" s="378"/>
      <c r="Q273" s="378"/>
      <c r="R273" s="378"/>
      <c r="S273" s="378"/>
      <c r="T273" s="378"/>
      <c r="U273" s="378"/>
      <c r="V273" s="378"/>
      <c r="W273" s="378"/>
      <c r="X273" s="378"/>
      <c r="Y273" s="378"/>
      <c r="Z273" s="378"/>
      <c r="AA273" s="378"/>
      <c r="AB273" s="378"/>
      <c r="AC273" s="378"/>
      <c r="AD273" s="378"/>
      <c r="AE273" s="378"/>
      <c r="AF273" s="378"/>
      <c r="AG273" s="378"/>
      <c r="AH273" s="378"/>
      <c r="AI273" s="378"/>
      <c r="AJ273" s="378"/>
      <c r="AK273" s="378"/>
      <c r="AL273" s="378"/>
      <c r="AM273" s="378"/>
      <c r="AN273" s="378"/>
      <c r="AO273" s="378"/>
    </row>
    <row r="274" s="379" customFormat="1" ht="11.25" spans="2:41">
      <c r="B274" s="465"/>
      <c r="C274" s="468"/>
      <c r="D274" s="378"/>
      <c r="E274" s="469"/>
      <c r="F274" s="469"/>
      <c r="G274" s="469"/>
      <c r="H274" s="469"/>
      <c r="I274" s="378"/>
      <c r="J274" s="480"/>
      <c r="K274" s="481"/>
      <c r="L274" s="378"/>
      <c r="M274" s="378"/>
      <c r="N274" s="378"/>
      <c r="O274" s="378"/>
      <c r="P274" s="378"/>
      <c r="Q274" s="378"/>
      <c r="R274" s="378"/>
      <c r="S274" s="378"/>
      <c r="T274" s="378"/>
      <c r="U274" s="378"/>
      <c r="V274" s="378"/>
      <c r="W274" s="378"/>
      <c r="X274" s="378"/>
      <c r="Y274" s="378"/>
      <c r="Z274" s="378"/>
      <c r="AA274" s="378"/>
      <c r="AB274" s="378"/>
      <c r="AC274" s="378"/>
      <c r="AD274" s="378"/>
      <c r="AE274" s="378"/>
      <c r="AF274" s="378"/>
      <c r="AG274" s="378"/>
      <c r="AH274" s="378"/>
      <c r="AI274" s="378"/>
      <c r="AJ274" s="378"/>
      <c r="AK274" s="378"/>
      <c r="AL274" s="378"/>
      <c r="AM274" s="378"/>
      <c r="AN274" s="378"/>
      <c r="AO274" s="378"/>
    </row>
    <row r="275" s="379" customFormat="1" ht="11.25" spans="2:41">
      <c r="B275" s="465"/>
      <c r="C275" s="468"/>
      <c r="D275" s="470"/>
      <c r="E275" s="469"/>
      <c r="F275" s="469"/>
      <c r="G275" s="469"/>
      <c r="H275" s="469"/>
      <c r="I275" s="465"/>
      <c r="J275" s="465"/>
      <c r="K275" s="481"/>
      <c r="L275" s="378"/>
      <c r="M275" s="378"/>
      <c r="N275" s="378"/>
      <c r="O275" s="378"/>
      <c r="P275" s="378"/>
      <c r="Q275" s="378"/>
      <c r="R275" s="378"/>
      <c r="S275" s="378"/>
      <c r="T275" s="378"/>
      <c r="U275" s="378"/>
      <c r="V275" s="378"/>
      <c r="W275" s="378"/>
      <c r="X275" s="378"/>
      <c r="Y275" s="378"/>
      <c r="Z275" s="378"/>
      <c r="AA275" s="378"/>
      <c r="AB275" s="378"/>
      <c r="AC275" s="378"/>
      <c r="AD275" s="378"/>
      <c r="AE275" s="378"/>
      <c r="AF275" s="378"/>
      <c r="AG275" s="378"/>
      <c r="AH275" s="378"/>
      <c r="AI275" s="378"/>
      <c r="AJ275" s="378"/>
      <c r="AK275" s="378"/>
      <c r="AL275" s="378"/>
      <c r="AM275" s="378"/>
      <c r="AN275" s="378"/>
      <c r="AO275" s="378"/>
    </row>
    <row r="276" s="379" customFormat="1" ht="11.25" spans="2:41">
      <c r="B276" s="468"/>
      <c r="C276" s="378"/>
      <c r="D276" s="471"/>
      <c r="E276" s="469"/>
      <c r="F276" s="472"/>
      <c r="G276" s="473"/>
      <c r="H276" s="469"/>
      <c r="I276" s="481"/>
      <c r="J276" s="481"/>
      <c r="K276" s="481"/>
      <c r="L276" s="378"/>
      <c r="M276" s="378"/>
      <c r="N276" s="378"/>
      <c r="O276" s="378"/>
      <c r="P276" s="378"/>
      <c r="Q276" s="378"/>
      <c r="R276" s="378"/>
      <c r="S276" s="378"/>
      <c r="T276" s="378"/>
      <c r="U276" s="378"/>
      <c r="V276" s="378"/>
      <c r="W276" s="378"/>
      <c r="X276" s="378"/>
      <c r="Y276" s="378"/>
      <c r="Z276" s="378"/>
      <c r="AA276" s="378"/>
      <c r="AB276" s="378"/>
      <c r="AC276" s="378"/>
      <c r="AD276" s="378"/>
      <c r="AE276" s="378"/>
      <c r="AF276" s="378"/>
      <c r="AG276" s="378"/>
      <c r="AH276" s="378"/>
      <c r="AI276" s="378"/>
      <c r="AJ276" s="378"/>
      <c r="AK276" s="378"/>
      <c r="AL276" s="378"/>
      <c r="AM276" s="378"/>
      <c r="AN276" s="378"/>
      <c r="AO276" s="378"/>
    </row>
    <row r="277" s="379" customFormat="1" ht="11.25" spans="2:41">
      <c r="B277" s="468"/>
      <c r="C277" s="378"/>
      <c r="D277" s="471"/>
      <c r="E277" s="469"/>
      <c r="F277" s="469"/>
      <c r="G277" s="469"/>
      <c r="H277" s="469"/>
      <c r="I277" s="481"/>
      <c r="J277" s="481"/>
      <c r="K277" s="481"/>
      <c r="L277" s="378"/>
      <c r="M277" s="378"/>
      <c r="N277" s="378"/>
      <c r="O277" s="378"/>
      <c r="P277" s="378"/>
      <c r="Q277" s="378"/>
      <c r="R277" s="378"/>
      <c r="S277" s="378"/>
      <c r="T277" s="378"/>
      <c r="U277" s="378"/>
      <c r="V277" s="378"/>
      <c r="W277" s="378"/>
      <c r="X277" s="378"/>
      <c r="Y277" s="378"/>
      <c r="Z277" s="378"/>
      <c r="AA277" s="378"/>
      <c r="AB277" s="378"/>
      <c r="AC277" s="378"/>
      <c r="AD277" s="378"/>
      <c r="AE277" s="378"/>
      <c r="AF277" s="378"/>
      <c r="AG277" s="378"/>
      <c r="AH277" s="378"/>
      <c r="AI277" s="378"/>
      <c r="AJ277" s="378"/>
      <c r="AK277" s="378"/>
      <c r="AL277" s="378"/>
      <c r="AM277" s="378"/>
      <c r="AN277" s="378"/>
      <c r="AO277" s="378"/>
    </row>
    <row r="278" s="379" customFormat="1" ht="11.25" spans="2:41">
      <c r="B278" s="468"/>
      <c r="C278" s="378"/>
      <c r="D278" s="471"/>
      <c r="E278" s="469"/>
      <c r="F278" s="469"/>
      <c r="G278" s="469"/>
      <c r="H278" s="469"/>
      <c r="I278" s="481"/>
      <c r="J278" s="481"/>
      <c r="K278" s="481"/>
      <c r="L278" s="378"/>
      <c r="M278" s="378"/>
      <c r="N278" s="378"/>
      <c r="O278" s="378"/>
      <c r="P278" s="378"/>
      <c r="Q278" s="378"/>
      <c r="R278" s="378"/>
      <c r="S278" s="378"/>
      <c r="T278" s="378"/>
      <c r="U278" s="378"/>
      <c r="V278" s="378"/>
      <c r="W278" s="378"/>
      <c r="X278" s="378"/>
      <c r="Y278" s="378"/>
      <c r="Z278" s="378"/>
      <c r="AA278" s="378"/>
      <c r="AB278" s="378"/>
      <c r="AC278" s="378"/>
      <c r="AD278" s="378"/>
      <c r="AE278" s="378"/>
      <c r="AF278" s="378"/>
      <c r="AG278" s="378"/>
      <c r="AH278" s="378"/>
      <c r="AI278" s="378"/>
      <c r="AJ278" s="378"/>
      <c r="AK278" s="378"/>
      <c r="AL278" s="378"/>
      <c r="AM278" s="378"/>
      <c r="AN278" s="378"/>
      <c r="AO278" s="378"/>
    </row>
    <row r="279" s="379" customFormat="1" ht="11.25" spans="2:41">
      <c r="B279" s="468"/>
      <c r="C279" s="378"/>
      <c r="D279" s="471"/>
      <c r="E279" s="469"/>
      <c r="F279" s="469"/>
      <c r="G279" s="469"/>
      <c r="H279" s="469"/>
      <c r="I279" s="481"/>
      <c r="J279" s="481"/>
      <c r="K279" s="481"/>
      <c r="L279" s="378"/>
      <c r="M279" s="378"/>
      <c r="N279" s="378"/>
      <c r="O279" s="378"/>
      <c r="P279" s="378"/>
      <c r="Q279" s="378"/>
      <c r="R279" s="378"/>
      <c r="S279" s="378"/>
      <c r="T279" s="378"/>
      <c r="U279" s="378"/>
      <c r="V279" s="378"/>
      <c r="W279" s="378"/>
      <c r="X279" s="378"/>
      <c r="Y279" s="378"/>
      <c r="Z279" s="378"/>
      <c r="AA279" s="378"/>
      <c r="AB279" s="378"/>
      <c r="AC279" s="378"/>
      <c r="AD279" s="378"/>
      <c r="AE279" s="378"/>
      <c r="AF279" s="378"/>
      <c r="AG279" s="378"/>
      <c r="AH279" s="378"/>
      <c r="AI279" s="378"/>
      <c r="AJ279" s="378"/>
      <c r="AK279" s="378"/>
      <c r="AL279" s="378"/>
      <c r="AM279" s="378"/>
      <c r="AN279" s="378"/>
      <c r="AO279" s="378"/>
    </row>
    <row r="280" s="379" customFormat="1" ht="11.25" spans="2:41">
      <c r="B280" s="468"/>
      <c r="C280" s="378"/>
      <c r="D280" s="471"/>
      <c r="E280" s="469"/>
      <c r="F280" s="469"/>
      <c r="G280" s="469"/>
      <c r="H280" s="469"/>
      <c r="I280" s="481"/>
      <c r="J280" s="481"/>
      <c r="K280" s="481"/>
      <c r="L280" s="378"/>
      <c r="M280" s="378"/>
      <c r="N280" s="378"/>
      <c r="O280" s="378"/>
      <c r="P280" s="378"/>
      <c r="Q280" s="378"/>
      <c r="R280" s="378"/>
      <c r="S280" s="378"/>
      <c r="T280" s="378"/>
      <c r="U280" s="378"/>
      <c r="V280" s="378"/>
      <c r="W280" s="378"/>
      <c r="X280" s="378"/>
      <c r="Y280" s="378"/>
      <c r="Z280" s="378"/>
      <c r="AA280" s="378"/>
      <c r="AB280" s="378"/>
      <c r="AC280" s="378"/>
      <c r="AD280" s="378"/>
      <c r="AE280" s="378"/>
      <c r="AF280" s="378"/>
      <c r="AG280" s="378"/>
      <c r="AH280" s="378"/>
      <c r="AI280" s="378"/>
      <c r="AJ280" s="378"/>
      <c r="AK280" s="378"/>
      <c r="AL280" s="378"/>
      <c r="AM280" s="378"/>
      <c r="AN280" s="378"/>
      <c r="AO280" s="378"/>
    </row>
    <row r="281" s="379" customFormat="1" ht="11.25" spans="2:41">
      <c r="B281" s="468"/>
      <c r="C281" s="378"/>
      <c r="D281" s="471"/>
      <c r="E281" s="469"/>
      <c r="F281" s="469"/>
      <c r="G281" s="469"/>
      <c r="H281" s="469"/>
      <c r="I281" s="481"/>
      <c r="J281" s="481"/>
      <c r="K281" s="481"/>
      <c r="L281" s="378"/>
      <c r="M281" s="378"/>
      <c r="N281" s="378"/>
      <c r="O281" s="378"/>
      <c r="P281" s="378"/>
      <c r="Q281" s="378"/>
      <c r="R281" s="378"/>
      <c r="S281" s="378"/>
      <c r="T281" s="378"/>
      <c r="U281" s="378"/>
      <c r="V281" s="378"/>
      <c r="W281" s="378"/>
      <c r="X281" s="378"/>
      <c r="Y281" s="378"/>
      <c r="Z281" s="378"/>
      <c r="AA281" s="378"/>
      <c r="AB281" s="378"/>
      <c r="AC281" s="378"/>
      <c r="AD281" s="378"/>
      <c r="AE281" s="378"/>
      <c r="AF281" s="378"/>
      <c r="AG281" s="378"/>
      <c r="AH281" s="378"/>
      <c r="AI281" s="378"/>
      <c r="AJ281" s="378"/>
      <c r="AK281" s="378"/>
      <c r="AL281" s="378"/>
      <c r="AM281" s="378"/>
      <c r="AN281" s="378"/>
      <c r="AO281" s="378"/>
    </row>
    <row r="282" s="379" customFormat="1" ht="11.25" spans="2:41">
      <c r="B282" s="468"/>
      <c r="C282" s="378"/>
      <c r="D282" s="471"/>
      <c r="E282" s="469"/>
      <c r="F282" s="469"/>
      <c r="G282" s="469"/>
      <c r="H282" s="469"/>
      <c r="I282" s="481"/>
      <c r="J282" s="481"/>
      <c r="K282" s="481"/>
      <c r="L282" s="378"/>
      <c r="M282" s="378"/>
      <c r="N282" s="378"/>
      <c r="O282" s="378"/>
      <c r="P282" s="378"/>
      <c r="Q282" s="378"/>
      <c r="R282" s="378"/>
      <c r="S282" s="378"/>
      <c r="T282" s="378"/>
      <c r="U282" s="378"/>
      <c r="V282" s="378"/>
      <c r="W282" s="378"/>
      <c r="X282" s="378"/>
      <c r="Y282" s="378"/>
      <c r="Z282" s="378"/>
      <c r="AA282" s="378"/>
      <c r="AB282" s="378"/>
      <c r="AC282" s="378"/>
      <c r="AD282" s="378"/>
      <c r="AE282" s="378"/>
      <c r="AF282" s="378"/>
      <c r="AG282" s="378"/>
      <c r="AH282" s="378"/>
      <c r="AI282" s="378"/>
      <c r="AJ282" s="378"/>
      <c r="AK282" s="378"/>
      <c r="AL282" s="378"/>
      <c r="AM282" s="378"/>
      <c r="AN282" s="378"/>
      <c r="AO282" s="378"/>
    </row>
    <row r="283" s="379" customFormat="1" ht="11.25" spans="2:41">
      <c r="B283" s="468"/>
      <c r="C283" s="378"/>
      <c r="D283" s="471"/>
      <c r="E283" s="469"/>
      <c r="F283" s="469"/>
      <c r="G283" s="469"/>
      <c r="H283" s="469"/>
      <c r="I283" s="481"/>
      <c r="J283" s="481"/>
      <c r="K283" s="481"/>
      <c r="L283" s="378"/>
      <c r="M283" s="378"/>
      <c r="N283" s="378"/>
      <c r="O283" s="378"/>
      <c r="P283" s="378"/>
      <c r="Q283" s="378"/>
      <c r="R283" s="378"/>
      <c r="S283" s="378"/>
      <c r="T283" s="378"/>
      <c r="U283" s="378"/>
      <c r="V283" s="378"/>
      <c r="W283" s="378"/>
      <c r="X283" s="378"/>
      <c r="Y283" s="378"/>
      <c r="Z283" s="378"/>
      <c r="AA283" s="378"/>
      <c r="AB283" s="378"/>
      <c r="AC283" s="378"/>
      <c r="AD283" s="378"/>
      <c r="AE283" s="378"/>
      <c r="AF283" s="378"/>
      <c r="AG283" s="378"/>
      <c r="AH283" s="378"/>
      <c r="AI283" s="378"/>
      <c r="AJ283" s="378"/>
      <c r="AK283" s="378"/>
      <c r="AL283" s="378"/>
      <c r="AM283" s="378"/>
      <c r="AN283" s="378"/>
      <c r="AO283" s="378"/>
    </row>
    <row r="284" s="379" customFormat="1" ht="11.25" spans="2:41">
      <c r="B284" s="468"/>
      <c r="C284" s="378"/>
      <c r="D284" s="471"/>
      <c r="E284" s="474"/>
      <c r="F284" s="469"/>
      <c r="G284" s="469"/>
      <c r="H284" s="472"/>
      <c r="I284" s="481"/>
      <c r="J284" s="481"/>
      <c r="K284" s="481"/>
      <c r="L284" s="378"/>
      <c r="M284" s="378"/>
      <c r="N284" s="378"/>
      <c r="O284" s="378"/>
      <c r="P284" s="378"/>
      <c r="Q284" s="378"/>
      <c r="R284" s="378"/>
      <c r="S284" s="378"/>
      <c r="T284" s="378"/>
      <c r="U284" s="378"/>
      <c r="V284" s="378"/>
      <c r="W284" s="378"/>
      <c r="X284" s="378"/>
      <c r="Y284" s="378"/>
      <c r="Z284" s="378"/>
      <c r="AA284" s="378"/>
      <c r="AB284" s="378"/>
      <c r="AC284" s="378"/>
      <c r="AD284" s="378"/>
      <c r="AE284" s="378"/>
      <c r="AF284" s="378"/>
      <c r="AG284" s="378"/>
      <c r="AH284" s="378"/>
      <c r="AI284" s="378"/>
      <c r="AJ284" s="378"/>
      <c r="AK284" s="378"/>
      <c r="AL284" s="378"/>
      <c r="AM284" s="378"/>
      <c r="AN284" s="378"/>
      <c r="AO284" s="378"/>
    </row>
    <row r="285" s="379" customFormat="1" ht="11.25" spans="2:41">
      <c r="B285" s="468"/>
      <c r="C285" s="378"/>
      <c r="D285" s="471"/>
      <c r="E285" s="474"/>
      <c r="F285" s="472"/>
      <c r="G285" s="469"/>
      <c r="H285" s="472"/>
      <c r="I285" s="481"/>
      <c r="J285" s="481"/>
      <c r="K285" s="481"/>
      <c r="L285" s="378"/>
      <c r="M285" s="378"/>
      <c r="N285" s="378"/>
      <c r="O285" s="378"/>
      <c r="P285" s="378"/>
      <c r="Q285" s="378"/>
      <c r="R285" s="378"/>
      <c r="S285" s="378"/>
      <c r="T285" s="378"/>
      <c r="U285" s="378"/>
      <c r="V285" s="378"/>
      <c r="W285" s="378"/>
      <c r="X285" s="378"/>
      <c r="Y285" s="378"/>
      <c r="Z285" s="378"/>
      <c r="AA285" s="378"/>
      <c r="AB285" s="378"/>
      <c r="AC285" s="378"/>
      <c r="AD285" s="378"/>
      <c r="AE285" s="378"/>
      <c r="AF285" s="378"/>
      <c r="AG285" s="378"/>
      <c r="AH285" s="378"/>
      <c r="AI285" s="378"/>
      <c r="AJ285" s="378"/>
      <c r="AK285" s="378"/>
      <c r="AL285" s="378"/>
      <c r="AM285" s="378"/>
      <c r="AN285" s="378"/>
      <c r="AO285" s="378"/>
    </row>
    <row r="286" s="379" customFormat="1" ht="11.25" spans="2:41">
      <c r="B286" s="378"/>
      <c r="C286" s="378"/>
      <c r="D286" s="471"/>
      <c r="E286" s="474"/>
      <c r="F286" s="472"/>
      <c r="G286" s="469"/>
      <c r="H286" s="472"/>
      <c r="I286" s="481"/>
      <c r="J286" s="481"/>
      <c r="K286" s="378"/>
      <c r="L286" s="378"/>
      <c r="M286" s="378"/>
      <c r="N286" s="378"/>
      <c r="O286" s="378"/>
      <c r="P286" s="378"/>
      <c r="Q286" s="378"/>
      <c r="R286" s="378"/>
      <c r="S286" s="378"/>
      <c r="T286" s="378"/>
      <c r="U286" s="378"/>
      <c r="V286" s="378"/>
      <c r="W286" s="378"/>
      <c r="X286" s="378"/>
      <c r="Y286" s="378"/>
      <c r="Z286" s="378"/>
      <c r="AA286" s="378"/>
      <c r="AB286" s="378"/>
      <c r="AC286" s="378"/>
      <c r="AD286" s="378"/>
      <c r="AE286" s="378"/>
      <c r="AF286" s="378"/>
      <c r="AG286" s="378"/>
      <c r="AH286" s="378"/>
      <c r="AI286" s="378"/>
      <c r="AJ286" s="378"/>
      <c r="AK286" s="378"/>
      <c r="AL286" s="378"/>
      <c r="AM286" s="378"/>
      <c r="AN286" s="378"/>
      <c r="AO286" s="378"/>
    </row>
    <row r="287" spans="2:19">
      <c r="B287" s="468"/>
      <c r="C287" s="378"/>
      <c r="D287" s="471"/>
      <c r="E287" s="469"/>
      <c r="F287" s="469"/>
      <c r="G287" s="469"/>
      <c r="H287" s="469"/>
      <c r="I287" s="481"/>
      <c r="J287" s="481"/>
      <c r="K287" s="292"/>
      <c r="L287" s="292"/>
      <c r="M287" s="292"/>
      <c r="N287" s="292"/>
      <c r="O287" s="292"/>
      <c r="P287" s="292"/>
      <c r="Q287" s="292"/>
      <c r="R287" s="292"/>
      <c r="S287" s="292"/>
    </row>
    <row r="288" spans="2:19">
      <c r="B288" s="378"/>
      <c r="C288" s="378"/>
      <c r="D288" s="475"/>
      <c r="E288" s="476"/>
      <c r="F288" s="469"/>
      <c r="G288" s="378"/>
      <c r="H288" s="378"/>
      <c r="I288" s="378"/>
      <c r="J288" s="378"/>
      <c r="K288" s="292"/>
      <c r="L288" s="292"/>
      <c r="M288" s="292"/>
      <c r="N288" s="292"/>
      <c r="O288" s="292"/>
      <c r="P288" s="292"/>
      <c r="Q288" s="292"/>
      <c r="R288" s="292"/>
      <c r="S288" s="292"/>
    </row>
    <row r="289" spans="2:19">
      <c r="B289" s="464"/>
      <c r="C289" s="464"/>
      <c r="D289" s="464"/>
      <c r="E289" s="464"/>
      <c r="F289" s="464"/>
      <c r="G289" s="464"/>
      <c r="H289" s="464"/>
      <c r="I289" s="464"/>
      <c r="J289" s="464"/>
      <c r="K289" s="292"/>
      <c r="L289" s="292"/>
      <c r="M289" s="292"/>
      <c r="N289" s="292"/>
      <c r="O289" s="292"/>
      <c r="P289" s="292"/>
      <c r="Q289" s="292"/>
      <c r="R289" s="292"/>
      <c r="S289" s="292"/>
    </row>
    <row r="290" spans="2:19">
      <c r="B290" s="464"/>
      <c r="C290" s="464"/>
      <c r="D290" s="464"/>
      <c r="E290" s="464"/>
      <c r="F290" s="464"/>
      <c r="G290" s="464"/>
      <c r="H290" s="464"/>
      <c r="I290" s="464"/>
      <c r="J290" s="464"/>
      <c r="K290" s="292"/>
      <c r="L290" s="292"/>
      <c r="M290" s="292"/>
      <c r="N290" s="292"/>
      <c r="O290" s="292"/>
      <c r="P290" s="292"/>
      <c r="Q290" s="292"/>
      <c r="R290" s="292"/>
      <c r="S290" s="292"/>
    </row>
    <row r="291" spans="2:19">
      <c r="B291" s="464"/>
      <c r="C291" s="464"/>
      <c r="D291" s="464"/>
      <c r="E291" s="464"/>
      <c r="F291" s="464"/>
      <c r="G291" s="464"/>
      <c r="H291" s="464"/>
      <c r="I291" s="464"/>
      <c r="J291" s="464"/>
      <c r="K291" s="292"/>
      <c r="L291" s="292"/>
      <c r="M291" s="292"/>
      <c r="N291" s="292"/>
      <c r="O291" s="292"/>
      <c r="P291" s="292"/>
      <c r="Q291" s="292"/>
      <c r="R291" s="292"/>
      <c r="S291" s="292"/>
    </row>
    <row r="292" spans="2:19">
      <c r="B292" s="464"/>
      <c r="C292" s="464"/>
      <c r="D292" s="464"/>
      <c r="E292" s="464"/>
      <c r="F292" s="464"/>
      <c r="G292" s="464"/>
      <c r="H292" s="464"/>
      <c r="I292" s="464"/>
      <c r="J292" s="464"/>
      <c r="K292" s="292"/>
      <c r="L292" s="292"/>
      <c r="M292" s="292"/>
      <c r="N292" s="292"/>
      <c r="O292" s="292"/>
      <c r="P292" s="292"/>
      <c r="Q292" s="292"/>
      <c r="R292" s="292"/>
      <c r="S292" s="292"/>
    </row>
    <row r="293" spans="2:19">
      <c r="B293" s="464"/>
      <c r="C293" s="464"/>
      <c r="D293" s="464"/>
      <c r="E293" s="464"/>
      <c r="F293" s="464"/>
      <c r="G293" s="464"/>
      <c r="H293" s="464"/>
      <c r="I293" s="464"/>
      <c r="J293" s="464"/>
      <c r="K293" s="292"/>
      <c r="L293" s="292"/>
      <c r="M293" s="292"/>
      <c r="N293" s="292"/>
      <c r="O293" s="292"/>
      <c r="P293" s="292"/>
      <c r="Q293" s="292"/>
      <c r="R293" s="292"/>
      <c r="S293" s="292"/>
    </row>
    <row r="294" spans="2:19">
      <c r="B294" s="464"/>
      <c r="C294" s="464"/>
      <c r="D294" s="464"/>
      <c r="E294" s="464"/>
      <c r="F294" s="464"/>
      <c r="G294" s="464"/>
      <c r="H294" s="464"/>
      <c r="I294" s="464"/>
      <c r="J294" s="464"/>
      <c r="K294" s="292"/>
      <c r="L294" s="292"/>
      <c r="M294" s="292"/>
      <c r="N294" s="292"/>
      <c r="O294" s="292"/>
      <c r="P294" s="292"/>
      <c r="Q294" s="292"/>
      <c r="R294" s="292"/>
      <c r="S294" s="292"/>
    </row>
    <row r="295" spans="2:19">
      <c r="B295" s="292"/>
      <c r="C295" s="292"/>
      <c r="D295" s="292"/>
      <c r="E295" s="292"/>
      <c r="F295" s="292"/>
      <c r="G295" s="292"/>
      <c r="H295" s="292"/>
      <c r="I295" s="292"/>
      <c r="J295" s="292"/>
      <c r="K295" s="292"/>
      <c r="L295" s="292"/>
      <c r="M295" s="292"/>
      <c r="N295" s="292"/>
      <c r="O295" s="292"/>
      <c r="P295" s="292"/>
      <c r="Q295" s="292"/>
      <c r="R295" s="292"/>
      <c r="S295" s="292"/>
    </row>
    <row r="296" spans="2:19">
      <c r="B296" s="292"/>
      <c r="C296" s="292"/>
      <c r="D296" s="292"/>
      <c r="E296" s="292"/>
      <c r="F296" s="292"/>
      <c r="G296" s="292"/>
      <c r="H296" s="292"/>
      <c r="I296" s="292"/>
      <c r="J296" s="292"/>
      <c r="K296" s="292"/>
      <c r="L296" s="292"/>
      <c r="M296" s="292"/>
      <c r="N296" s="292"/>
      <c r="O296" s="292"/>
      <c r="P296" s="292"/>
      <c r="Q296" s="292"/>
      <c r="R296" s="292"/>
      <c r="S296" s="292"/>
    </row>
    <row r="297" spans="2:19">
      <c r="B297" s="292"/>
      <c r="C297" s="292"/>
      <c r="D297" s="292"/>
      <c r="E297" s="292"/>
      <c r="F297" s="292"/>
      <c r="G297" s="292"/>
      <c r="H297" s="292"/>
      <c r="I297" s="292"/>
      <c r="J297" s="292"/>
      <c r="K297" s="292"/>
      <c r="L297" s="292"/>
      <c r="M297" s="292"/>
      <c r="N297" s="292"/>
      <c r="O297" s="292"/>
      <c r="P297" s="292"/>
      <c r="Q297" s="292"/>
      <c r="R297" s="292"/>
      <c r="S297" s="292"/>
    </row>
    <row r="298" spans="2:19">
      <c r="B298" s="292"/>
      <c r="C298" s="292"/>
      <c r="D298" s="292"/>
      <c r="E298" s="292"/>
      <c r="F298" s="292"/>
      <c r="G298" s="292"/>
      <c r="H298" s="292"/>
      <c r="I298" s="292"/>
      <c r="J298" s="292"/>
      <c r="K298" s="292"/>
      <c r="L298" s="292"/>
      <c r="M298" s="292"/>
      <c r="N298" s="292"/>
      <c r="O298" s="292"/>
      <c r="P298" s="292"/>
      <c r="Q298" s="292"/>
      <c r="R298" s="292"/>
      <c r="S298" s="292"/>
    </row>
    <row r="299" spans="2:19">
      <c r="B299" s="292"/>
      <c r="C299" s="292"/>
      <c r="D299" s="292"/>
      <c r="E299" s="292"/>
      <c r="F299" s="292"/>
      <c r="G299" s="292"/>
      <c r="H299" s="292"/>
      <c r="I299" s="292"/>
      <c r="J299" s="292"/>
      <c r="K299" s="292"/>
      <c r="L299" s="292"/>
      <c r="M299" s="292"/>
      <c r="N299" s="292"/>
      <c r="O299" s="292"/>
      <c r="P299" s="292"/>
      <c r="Q299" s="292"/>
      <c r="R299" s="292"/>
      <c r="S299" s="292"/>
    </row>
    <row r="300" spans="2:19">
      <c r="B300" s="292"/>
      <c r="C300" s="292"/>
      <c r="D300" s="292"/>
      <c r="E300" s="292"/>
      <c r="F300" s="292"/>
      <c r="G300" s="292"/>
      <c r="H300" s="292"/>
      <c r="I300" s="292"/>
      <c r="J300" s="292"/>
      <c r="K300" s="292"/>
      <c r="L300" s="292"/>
      <c r="M300" s="292"/>
      <c r="N300" s="292"/>
      <c r="O300" s="292"/>
      <c r="P300" s="292"/>
      <c r="Q300" s="292"/>
      <c r="R300" s="292"/>
      <c r="S300" s="292"/>
    </row>
    <row r="301" spans="2:19">
      <c r="B301" s="292"/>
      <c r="C301" s="292"/>
      <c r="D301" s="292"/>
      <c r="E301" s="292"/>
      <c r="F301" s="292"/>
      <c r="G301" s="292"/>
      <c r="H301" s="292"/>
      <c r="I301" s="292"/>
      <c r="J301" s="292"/>
      <c r="K301" s="292"/>
      <c r="L301" s="292"/>
      <c r="M301" s="292"/>
      <c r="N301" s="292"/>
      <c r="O301" s="292"/>
      <c r="P301" s="292"/>
      <c r="Q301" s="292"/>
      <c r="R301" s="292"/>
      <c r="S301" s="292"/>
    </row>
  </sheetData>
  <mergeCells count="2">
    <mergeCell ref="E24:F24"/>
    <mergeCell ref="E39:G39"/>
  </mergeCells>
  <conditionalFormatting sqref="D56 F57 H56 J57 L56 N57">
    <cfRule type="cellIs" dxfId="0" priority="38" operator="notEqual">
      <formula>1</formula>
    </cfRule>
  </conditionalFormatting>
  <conditionalFormatting sqref="$A71:$XFD72">
    <cfRule type="containsBlanks" dxfId="1" priority="39">
      <formula>LEN(TRIM(A71))=0</formula>
    </cfRule>
  </conditionalFormatting>
  <conditionalFormatting sqref="D131:I131 D176:I176 D86:I86">
    <cfRule type="cellIs" dxfId="0" priority="37" operator="notEqual">
      <formula>1</formula>
    </cfRule>
  </conditionalFormatting>
  <conditionalFormatting sqref="J131 J176 J86">
    <cfRule type="cellIs" dxfId="0" priority="15" operator="notEqual">
      <formula>1</formula>
    </cfRule>
  </conditionalFormatting>
  <conditionalFormatting sqref="K131 K176 K86">
    <cfRule type="cellIs" dxfId="0" priority="9" operator="notEqual">
      <formula>1</formula>
    </cfRule>
  </conditionalFormatting>
  <conditionalFormatting sqref="L131 L176 L86">
    <cfRule type="cellIs" dxfId="0" priority="4" operator="notEqual">
      <formula>1</formula>
    </cfRule>
  </conditionalFormatting>
  <conditionalFormatting sqref="M131 M176 M86">
    <cfRule type="cellIs" dxfId="0" priority="1" operator="notEqual">
      <formula>1</formula>
    </cfRule>
  </conditionalFormatting>
  <conditionalFormatting sqref="N131 N176 N86">
    <cfRule type="cellIs" dxfId="0" priority="18" operator="notEqual">
      <formula>1</formula>
    </cfRule>
  </conditionalFormatting>
  <conditionalFormatting sqref="O131 O176 O86">
    <cfRule type="cellIs" dxfId="0" priority="26" operator="notEqual">
      <formula>1</formula>
    </cfRule>
  </conditionalFormatting>
  <pageMargins left="0.75" right="0.75" top="1" bottom="1" header="0.5" footer="0.5"/>
  <pageSetup paperSize="1" scale="55" orientation="landscape"/>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1"/>
  <legacyDrawing r:id="rId2"/>
  <controls>
    <mc:AlternateContent xmlns:mc="http://schemas.openxmlformats.org/markup-compatibility/2006">
      <mc:Choice Requires="x14">
        <control shapeId="12291" r:id="rId3" name="ComboBox1">
          <controlPr defaultSize="0" r:id="rId4">
            <anchor moveWithCells="1">
              <from>
                <xdr:col>3</xdr:col>
                <xdr:colOff>558800</xdr:colOff>
                <xdr:row>0</xdr:row>
                <xdr:rowOff>96520</xdr:rowOff>
              </from>
              <to>
                <xdr:col>6</xdr:col>
                <xdr:colOff>627380</xdr:colOff>
                <xdr:row>0</xdr:row>
                <xdr:rowOff>339090</xdr:rowOff>
              </to>
            </anchor>
          </controlPr>
        </control>
      </mc:Choice>
      <mc:Fallback>
        <control shapeId="12291" r:id="rId3" name="ComboBox1"/>
      </mc:Fallback>
    </mc:AlternateContent>
    <mc:AlternateContent xmlns:mc="http://schemas.openxmlformats.org/markup-compatibility/2006">
      <mc:Choice Requires="x14">
        <control shapeId="12310" name="Check Box 22" r:id="rId5">
          <controlPr defaultSize="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name="Check Box 23" r:id="rId6">
          <controlPr defaultSize="0">
            <anchor moveWithCells="1">
              <from>
                <xdr:col>1</xdr:col>
                <xdr:colOff>609600</xdr:colOff>
                <xdr:row>1</xdr:row>
                <xdr:rowOff>19050</xdr:rowOff>
              </from>
              <to>
                <xdr:col>2</xdr:col>
                <xdr:colOff>200025</xdr:colOff>
                <xdr:row>1</xdr:row>
                <xdr:rowOff>237490</xdr:rowOff>
              </to>
            </anchor>
          </controlPr>
        </control>
      </mc:Choice>
    </mc:AlternateContent>
    <mc:AlternateContent xmlns:mc="http://schemas.openxmlformats.org/markup-compatibility/2006">
      <mc:Choice Requires="x14">
        <control shapeId="12312" name="Check Box 24" r:id="rId7">
          <controlPr defaultSize="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name="Check Box 25" r:id="rId8">
          <controlPr defaultSize="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00FF00"/>
  </sheetPr>
  <dimension ref="A1:BR31"/>
  <sheetViews>
    <sheetView showGridLines="0" showRowColHeaders="0" zoomScalePageLayoutView="80" workbookViewId="0">
      <pane ySplit="1" topLeftCell="A2" activePane="bottomLeft" state="frozen"/>
      <selection/>
      <selection pane="bottomLeft" activeCell="K32" sqref="K32"/>
    </sheetView>
  </sheetViews>
  <sheetFormatPr defaultColWidth="9.14166666666667" defaultRowHeight="12.75"/>
  <cols>
    <col min="1" max="3" width="9.14166666666667" style="328"/>
    <col min="4" max="4" width="12" style="328" customWidth="1"/>
    <col min="5" max="5" width="9.14166666666667" style="328"/>
    <col min="6" max="6" width="10.1416666666667" style="328" customWidth="1"/>
    <col min="7" max="7" width="9.14166666666667" style="328"/>
    <col min="8" max="8" width="9.56666666666667" style="328" customWidth="1"/>
    <col min="9" max="9" width="9.14166666666667" style="328"/>
    <col min="10" max="10" width="9.56666666666667" style="328" customWidth="1"/>
    <col min="11" max="11" width="9.14166666666667" style="328"/>
    <col min="12" max="12" width="9.56666666666667" style="328" customWidth="1"/>
    <col min="13" max="13" width="9.14166666666667" style="328"/>
    <col min="14" max="14" width="10.8583333333333" style="328" customWidth="1"/>
    <col min="15" max="17" width="9.14166666666667" style="328"/>
    <col min="18" max="18" width="11.1416666666667" style="328" customWidth="1"/>
    <col min="19" max="19" width="12.5666666666667" style="328" customWidth="1"/>
    <col min="20" max="16384" width="9.14166666666667" style="328"/>
  </cols>
  <sheetData>
    <row r="1" s="1" customFormat="1" ht="32.1" customHeight="1" spans="1:25">
      <c r="A1" s="329"/>
      <c r="B1" s="329"/>
      <c r="C1" s="329"/>
      <c r="D1" s="329"/>
      <c r="E1" s="329"/>
      <c r="F1" s="329"/>
      <c r="G1" s="329"/>
      <c r="H1" s="329"/>
      <c r="I1" s="329"/>
      <c r="J1" s="329"/>
      <c r="K1" s="329"/>
      <c r="L1" s="20"/>
      <c r="M1" s="329"/>
      <c r="Q1" s="20"/>
      <c r="R1" s="20"/>
      <c r="S1" s="20"/>
      <c r="T1" s="20"/>
      <c r="U1" s="20"/>
      <c r="V1" s="20"/>
      <c r="W1" s="20"/>
      <c r="X1" s="20"/>
      <c r="Y1" s="20"/>
    </row>
    <row r="2" s="1" customFormat="1" ht="41.25" customHeight="1" spans="12:25">
      <c r="L2" s="20"/>
      <c r="Q2" s="20"/>
      <c r="R2" s="20"/>
      <c r="S2" s="20"/>
      <c r="T2" s="20"/>
      <c r="U2" s="20"/>
      <c r="V2" s="20"/>
      <c r="W2" s="20"/>
      <c r="X2" s="20"/>
      <c r="Y2" s="20"/>
    </row>
    <row r="3" s="1" customFormat="1" customHeight="1" spans="17:25">
      <c r="Q3" s="20"/>
      <c r="R3" s="20"/>
      <c r="S3" s="20"/>
      <c r="T3" s="20"/>
      <c r="U3" s="20"/>
      <c r="V3" s="20"/>
      <c r="W3" s="20"/>
      <c r="X3" s="20"/>
      <c r="Y3" s="20"/>
    </row>
    <row r="4" spans="2:21">
      <c r="B4" s="1"/>
      <c r="C4" s="1"/>
      <c r="D4" s="330"/>
      <c r="E4" s="1"/>
      <c r="F4" s="1"/>
      <c r="G4" s="1"/>
      <c r="H4" s="1"/>
      <c r="I4" s="1"/>
      <c r="J4" s="1"/>
      <c r="K4" s="1"/>
      <c r="L4" s="1"/>
      <c r="M4" s="1"/>
      <c r="N4" s="1"/>
      <c r="O4" s="1"/>
      <c r="P4" s="1"/>
      <c r="Q4" s="1"/>
      <c r="R4" s="1"/>
      <c r="S4" s="1"/>
      <c r="T4" s="1"/>
      <c r="U4" s="1"/>
    </row>
    <row r="5" spans="2:24">
      <c r="B5" s="331"/>
      <c r="C5" s="331"/>
      <c r="D5" s="331"/>
      <c r="E5" s="331"/>
      <c r="F5" s="331"/>
      <c r="G5" s="331"/>
      <c r="H5" s="331"/>
      <c r="I5" s="331"/>
      <c r="J5" s="331"/>
      <c r="K5" s="331"/>
      <c r="L5" s="331"/>
      <c r="M5" s="331"/>
      <c r="N5" s="331"/>
      <c r="O5" s="331"/>
      <c r="P5" s="365"/>
      <c r="Q5" s="331"/>
      <c r="R5" s="331"/>
      <c r="S5" s="331"/>
      <c r="T5" s="331"/>
      <c r="U5" s="331"/>
      <c r="V5" s="331"/>
      <c r="W5" s="331"/>
      <c r="X5" s="1"/>
    </row>
    <row r="6" ht="18" spans="1:24">
      <c r="A6" s="332">
        <v>1</v>
      </c>
      <c r="B6" s="333" t="s">
        <v>74</v>
      </c>
      <c r="C6" s="334"/>
      <c r="D6" s="335"/>
      <c r="E6" s="335"/>
      <c r="F6" s="335"/>
      <c r="G6" s="335"/>
      <c r="H6" s="336"/>
      <c r="I6" s="7"/>
      <c r="J6" s="366"/>
      <c r="K6" s="7"/>
      <c r="L6" s="7"/>
      <c r="M6" s="7"/>
      <c r="N6" s="4"/>
      <c r="O6" s="326"/>
      <c r="P6" s="326"/>
      <c r="Q6" s="7"/>
      <c r="R6" s="7"/>
      <c r="S6" s="365"/>
      <c r="T6" s="331"/>
      <c r="U6" s="331"/>
      <c r="V6" s="331"/>
      <c r="W6" s="331"/>
      <c r="X6" s="1"/>
    </row>
    <row r="7" s="326" customFormat="1" spans="1:25">
      <c r="A7" s="337"/>
      <c r="B7" s="338"/>
      <c r="C7" s="339"/>
      <c r="D7" s="340"/>
      <c r="E7" s="341" t="s">
        <v>202</v>
      </c>
      <c r="F7" s="342"/>
      <c r="G7" s="343"/>
      <c r="H7" s="344"/>
      <c r="M7" s="367"/>
      <c r="N7" s="367"/>
      <c r="O7" s="367"/>
      <c r="P7" s="327"/>
      <c r="Q7" s="7"/>
      <c r="R7" s="7"/>
      <c r="S7" s="7"/>
      <c r="T7" s="7"/>
      <c r="U7" s="7"/>
      <c r="V7" s="7"/>
      <c r="W7" s="7"/>
      <c r="X7" s="7"/>
      <c r="Y7" s="7"/>
    </row>
    <row r="8" s="327" customFormat="1" spans="1:70">
      <c r="A8" s="345"/>
      <c r="B8" s="346"/>
      <c r="C8" s="346"/>
      <c r="D8" s="347"/>
      <c r="E8" s="348" t="s">
        <v>203</v>
      </c>
      <c r="F8" s="349" t="s">
        <v>204</v>
      </c>
      <c r="G8" s="350" t="s">
        <v>205</v>
      </c>
      <c r="H8" s="351" t="s">
        <v>206</v>
      </c>
      <c r="I8" s="349" t="s">
        <v>207</v>
      </c>
      <c r="J8" s="349" t="s">
        <v>208</v>
      </c>
      <c r="K8" s="349" t="s">
        <v>209</v>
      </c>
      <c r="L8" s="349" t="s">
        <v>209</v>
      </c>
      <c r="M8" s="349" t="s">
        <v>211</v>
      </c>
      <c r="N8" s="349" t="s">
        <v>212</v>
      </c>
      <c r="O8" s="6"/>
      <c r="P8" s="6"/>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P8" s="7"/>
      <c r="BQ8" s="7"/>
      <c r="BR8" s="7"/>
    </row>
    <row r="9" s="327" customFormat="1" spans="1:70">
      <c r="A9" s="345"/>
      <c r="B9" s="352" t="s">
        <v>213</v>
      </c>
      <c r="C9" s="353" t="s">
        <v>214</v>
      </c>
      <c r="D9" s="354" t="s">
        <v>215</v>
      </c>
      <c r="E9" s="355" t="s">
        <v>216</v>
      </c>
      <c r="F9" s="356" t="s">
        <v>216</v>
      </c>
      <c r="G9" s="357" t="s">
        <v>216</v>
      </c>
      <c r="H9" s="358" t="s">
        <v>216</v>
      </c>
      <c r="I9" s="356" t="s">
        <v>217</v>
      </c>
      <c r="J9" s="356"/>
      <c r="K9" s="356" t="s">
        <v>218</v>
      </c>
      <c r="L9" s="356" t="s">
        <v>1332</v>
      </c>
      <c r="M9" s="356" t="s">
        <v>219</v>
      </c>
      <c r="N9" s="356" t="s">
        <v>219</v>
      </c>
      <c r="O9" s="6"/>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row>
    <row r="10" s="327" customFormat="1" spans="1:70">
      <c r="A10" s="345"/>
      <c r="B10" s="359" t="s">
        <v>220</v>
      </c>
      <c r="C10" s="6" t="s">
        <v>221</v>
      </c>
      <c r="D10" s="359" t="s">
        <v>222</v>
      </c>
      <c r="E10" s="360">
        <v>0.28</v>
      </c>
      <c r="F10" s="360">
        <v>0.1</v>
      </c>
      <c r="G10" s="360">
        <v>0.15</v>
      </c>
      <c r="H10" s="361">
        <v>4</v>
      </c>
      <c r="I10" s="368">
        <v>1</v>
      </c>
      <c r="J10" s="6">
        <v>0.8</v>
      </c>
      <c r="K10" s="6">
        <v>1.05</v>
      </c>
      <c r="L10" s="6"/>
      <c r="M10" s="6"/>
      <c r="N10" s="6"/>
      <c r="O10" s="6"/>
      <c r="P10" s="369"/>
      <c r="Q10" s="373"/>
      <c r="R10" s="369"/>
      <c r="S10" s="369"/>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c r="AZ10" s="7"/>
      <c r="BA10" s="7"/>
      <c r="BB10" s="7"/>
      <c r="BC10" s="7"/>
      <c r="BD10" s="7"/>
      <c r="BE10" s="7"/>
      <c r="BF10" s="7"/>
      <c r="BG10" s="7"/>
      <c r="BH10" s="7"/>
      <c r="BI10" s="7"/>
      <c r="BJ10" s="7"/>
      <c r="BK10" s="7"/>
      <c r="BL10" s="7"/>
      <c r="BM10" s="7"/>
      <c r="BN10" s="7"/>
      <c r="BO10" s="7"/>
      <c r="BP10" s="7"/>
      <c r="BQ10" s="7"/>
      <c r="BR10" s="7"/>
    </row>
    <row r="11" s="327" customFormat="1" spans="1:70">
      <c r="A11" s="345"/>
      <c r="B11" s="7" t="s">
        <v>224</v>
      </c>
      <c r="C11" s="6" t="s">
        <v>221</v>
      </c>
      <c r="D11" s="359" t="s">
        <v>225</v>
      </c>
      <c r="E11" s="360">
        <v>0.28</v>
      </c>
      <c r="F11" s="360">
        <v>0.1</v>
      </c>
      <c r="G11" s="360">
        <v>0.15</v>
      </c>
      <c r="H11" s="361">
        <v>4</v>
      </c>
      <c r="I11" s="368">
        <v>1</v>
      </c>
      <c r="J11" s="6">
        <v>0.8</v>
      </c>
      <c r="K11" s="6">
        <v>1.05</v>
      </c>
      <c r="L11" s="6"/>
      <c r="M11" s="6"/>
      <c r="N11" s="6"/>
      <c r="O11" s="6"/>
      <c r="P11" s="370"/>
      <c r="Q11" s="369"/>
      <c r="R11" s="369"/>
      <c r="S11" s="369"/>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row>
    <row r="12" s="327" customFormat="1" spans="1:70">
      <c r="A12" s="345"/>
      <c r="B12" s="7" t="s">
        <v>228</v>
      </c>
      <c r="C12" s="6" t="s">
        <v>221</v>
      </c>
      <c r="D12" s="362" t="s">
        <v>229</v>
      </c>
      <c r="E12" s="360">
        <v>0.25</v>
      </c>
      <c r="F12" s="360">
        <v>0.1</v>
      </c>
      <c r="G12" s="360">
        <v>0.15</v>
      </c>
      <c r="H12" s="361">
        <v>3.5</v>
      </c>
      <c r="I12" s="368">
        <v>1</v>
      </c>
      <c r="J12" s="6">
        <v>0.8</v>
      </c>
      <c r="K12" s="6">
        <v>1.05</v>
      </c>
      <c r="L12" s="6"/>
      <c r="M12" s="6"/>
      <c r="N12" s="6"/>
      <c r="O12" s="7"/>
      <c r="P12" s="371"/>
      <c r="Q12" s="374"/>
      <c r="R12" s="374"/>
      <c r="S12" s="369"/>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row>
    <row r="13" s="327" customFormat="1" spans="1:70">
      <c r="A13" s="345"/>
      <c r="B13" s="7" t="s">
        <v>232</v>
      </c>
      <c r="C13" s="6" t="s">
        <v>221</v>
      </c>
      <c r="D13" s="362" t="s">
        <v>233</v>
      </c>
      <c r="E13" s="360">
        <v>0.25</v>
      </c>
      <c r="F13" s="360">
        <v>0.1</v>
      </c>
      <c r="G13" s="360">
        <v>0.15</v>
      </c>
      <c r="H13" s="361">
        <v>3.5</v>
      </c>
      <c r="I13" s="368">
        <v>1</v>
      </c>
      <c r="J13" s="6">
        <v>0.8</v>
      </c>
      <c r="K13" s="6">
        <v>1.05</v>
      </c>
      <c r="L13" s="6"/>
      <c r="M13" s="6"/>
      <c r="N13" s="6"/>
      <c r="O13" s="7"/>
      <c r="P13" s="371"/>
      <c r="Q13" s="375"/>
      <c r="R13" s="375"/>
      <c r="S13" s="369"/>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row>
    <row r="14" s="327" customFormat="1" spans="1:70">
      <c r="A14" s="345"/>
      <c r="B14" s="7" t="s">
        <v>236</v>
      </c>
      <c r="C14" s="6" t="s">
        <v>221</v>
      </c>
      <c r="D14" s="362" t="s">
        <v>237</v>
      </c>
      <c r="E14" s="360">
        <v>0.25</v>
      </c>
      <c r="F14" s="360">
        <v>0.1</v>
      </c>
      <c r="G14" s="360">
        <v>0.15</v>
      </c>
      <c r="H14" s="361">
        <v>3.5</v>
      </c>
      <c r="I14" s="368">
        <v>1</v>
      </c>
      <c r="J14" s="6">
        <v>0.8</v>
      </c>
      <c r="K14" s="6">
        <v>1.05</v>
      </c>
      <c r="L14" s="6"/>
      <c r="M14" s="6"/>
      <c r="N14" s="6"/>
      <c r="O14" s="7"/>
      <c r="P14" s="371"/>
      <c r="Q14" s="375"/>
      <c r="R14" s="375"/>
      <c r="S14" s="369"/>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row>
    <row r="15" s="327" customFormat="1" spans="1:70">
      <c r="A15" s="345"/>
      <c r="B15" s="7" t="s">
        <v>238</v>
      </c>
      <c r="C15" s="6" t="s">
        <v>221</v>
      </c>
      <c r="D15" s="362" t="s">
        <v>239</v>
      </c>
      <c r="E15" s="360">
        <v>0.25</v>
      </c>
      <c r="F15" s="360">
        <v>0.1</v>
      </c>
      <c r="G15" s="360">
        <v>0.15</v>
      </c>
      <c r="H15" s="361">
        <v>3.5</v>
      </c>
      <c r="I15" s="368">
        <v>1</v>
      </c>
      <c r="J15" s="6">
        <v>0.8</v>
      </c>
      <c r="K15" s="6">
        <v>1.05</v>
      </c>
      <c r="L15" s="6"/>
      <c r="M15" s="6"/>
      <c r="N15" s="6"/>
      <c r="O15" s="7"/>
      <c r="P15" s="371"/>
      <c r="Q15" s="375"/>
      <c r="R15" s="375"/>
      <c r="S15" s="369"/>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row>
    <row r="16" s="327" customFormat="1" spans="1:70">
      <c r="A16" s="345"/>
      <c r="B16" s="7" t="s">
        <v>240</v>
      </c>
      <c r="C16" s="6" t="s">
        <v>241</v>
      </c>
      <c r="D16" s="362" t="s">
        <v>222</v>
      </c>
      <c r="E16" s="360">
        <v>0.28</v>
      </c>
      <c r="F16" s="360">
        <v>0.8</v>
      </c>
      <c r="G16" s="360">
        <v>0.13</v>
      </c>
      <c r="H16" s="361">
        <v>1.25</v>
      </c>
      <c r="I16" s="368">
        <v>124</v>
      </c>
      <c r="J16" s="6">
        <v>0.8</v>
      </c>
      <c r="K16" s="6">
        <v>130.8</v>
      </c>
      <c r="L16" s="6">
        <v>160.5</v>
      </c>
      <c r="M16" s="6" t="s">
        <v>242</v>
      </c>
      <c r="N16" s="6">
        <v>16</v>
      </c>
      <c r="O16" s="7"/>
      <c r="P16" s="371"/>
      <c r="Q16" s="375"/>
      <c r="R16" s="375"/>
      <c r="S16" s="369"/>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row>
    <row r="17" s="327" customFormat="1" spans="1:70">
      <c r="A17" s="345"/>
      <c r="B17" s="7" t="s">
        <v>243</v>
      </c>
      <c r="C17" s="6" t="s">
        <v>241</v>
      </c>
      <c r="D17" s="362" t="s">
        <v>225</v>
      </c>
      <c r="E17" s="360">
        <v>0.28</v>
      </c>
      <c r="F17" s="360">
        <v>0.8</v>
      </c>
      <c r="G17" s="360">
        <v>0.13</v>
      </c>
      <c r="H17" s="361">
        <v>1.28</v>
      </c>
      <c r="I17" s="368">
        <v>124</v>
      </c>
      <c r="J17" s="6">
        <v>0.8</v>
      </c>
      <c r="K17" s="6">
        <v>130.8</v>
      </c>
      <c r="L17" s="6">
        <v>160.5</v>
      </c>
      <c r="M17" s="6">
        <v>23.3</v>
      </c>
      <c r="N17" s="6">
        <v>16</v>
      </c>
      <c r="O17" s="7"/>
      <c r="P17" s="371"/>
      <c r="Q17" s="375"/>
      <c r="R17" s="375"/>
      <c r="S17" s="369"/>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row>
    <row r="18" s="327" customFormat="1" spans="1:70">
      <c r="A18" s="345"/>
      <c r="B18" s="7" t="s">
        <v>244</v>
      </c>
      <c r="C18" s="6" t="s">
        <v>221</v>
      </c>
      <c r="D18" s="362" t="s">
        <v>245</v>
      </c>
      <c r="E18" s="360">
        <v>0.265</v>
      </c>
      <c r="F18" s="360">
        <v>0.1</v>
      </c>
      <c r="G18" s="360">
        <v>0.145</v>
      </c>
      <c r="H18" s="361">
        <v>3</v>
      </c>
      <c r="I18" s="368">
        <v>1</v>
      </c>
      <c r="J18" s="6">
        <v>1</v>
      </c>
      <c r="K18" s="6"/>
      <c r="L18" s="6"/>
      <c r="M18" s="6"/>
      <c r="N18" s="6"/>
      <c r="O18" s="7"/>
      <c r="P18" s="371"/>
      <c r="Q18" s="375"/>
      <c r="R18" s="375"/>
      <c r="S18" s="369"/>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row>
    <row r="19" spans="2:14">
      <c r="B19" s="21"/>
      <c r="C19" s="21"/>
      <c r="D19" s="21"/>
      <c r="E19" s="363"/>
      <c r="F19" s="363"/>
      <c r="G19" s="363"/>
      <c r="H19" s="364"/>
      <c r="I19" s="372"/>
      <c r="J19" s="363"/>
      <c r="K19" s="363"/>
      <c r="L19" s="363"/>
      <c r="M19" s="363"/>
      <c r="N19" s="363"/>
    </row>
    <row r="20" spans="2:14">
      <c r="B20" s="21"/>
      <c r="C20" s="21"/>
      <c r="D20" s="21"/>
      <c r="E20" s="363"/>
      <c r="F20" s="363"/>
      <c r="G20" s="363"/>
      <c r="H20" s="364"/>
      <c r="I20" s="372"/>
      <c r="J20" s="363"/>
      <c r="K20" s="363"/>
      <c r="L20" s="363"/>
      <c r="M20" s="363"/>
      <c r="N20" s="363"/>
    </row>
    <row r="21" spans="2:14">
      <c r="B21" s="21"/>
      <c r="C21" s="21"/>
      <c r="D21" s="21"/>
      <c r="E21" s="363"/>
      <c r="F21" s="363"/>
      <c r="G21" s="363"/>
      <c r="H21" s="364"/>
      <c r="I21" s="372"/>
      <c r="J21" s="363"/>
      <c r="K21" s="363"/>
      <c r="L21" s="363"/>
      <c r="M21" s="363"/>
      <c r="N21" s="363"/>
    </row>
    <row r="22" spans="2:14">
      <c r="B22" s="21"/>
      <c r="C22" s="21"/>
      <c r="D22" s="21"/>
      <c r="E22" s="363"/>
      <c r="F22" s="363"/>
      <c r="G22" s="363"/>
      <c r="H22" s="364"/>
      <c r="I22" s="372"/>
      <c r="J22" s="363"/>
      <c r="K22" s="363"/>
      <c r="L22" s="363"/>
      <c r="M22" s="363"/>
      <c r="N22" s="363"/>
    </row>
    <row r="23" spans="2:14">
      <c r="B23" s="21"/>
      <c r="C23" s="21"/>
      <c r="D23" s="21"/>
      <c r="E23" s="363"/>
      <c r="F23" s="363"/>
      <c r="G23" s="363"/>
      <c r="H23" s="363"/>
      <c r="I23" s="372"/>
      <c r="J23" s="363"/>
      <c r="K23" s="363"/>
      <c r="L23" s="363"/>
      <c r="M23" s="363"/>
      <c r="N23" s="363"/>
    </row>
    <row r="24" spans="2:14">
      <c r="B24" s="21"/>
      <c r="C24" s="21"/>
      <c r="D24" s="21"/>
      <c r="E24" s="363"/>
      <c r="F24" s="363"/>
      <c r="G24" s="363"/>
      <c r="H24" s="363"/>
      <c r="I24" s="372"/>
      <c r="J24" s="363"/>
      <c r="K24" s="363"/>
      <c r="L24" s="363"/>
      <c r="M24" s="363"/>
      <c r="N24" s="363"/>
    </row>
    <row r="25" spans="2:14">
      <c r="B25" s="21"/>
      <c r="C25" s="21"/>
      <c r="D25" s="21"/>
      <c r="E25" s="363"/>
      <c r="F25" s="363"/>
      <c r="G25" s="363"/>
      <c r="H25" s="363"/>
      <c r="I25" s="363"/>
      <c r="J25" s="363"/>
      <c r="K25" s="363"/>
      <c r="L25" s="363"/>
      <c r="M25" s="363"/>
      <c r="N25" s="363"/>
    </row>
    <row r="26" spans="2:14">
      <c r="B26" s="21"/>
      <c r="C26" s="21"/>
      <c r="D26" s="21"/>
      <c r="E26" s="363"/>
      <c r="F26" s="363"/>
      <c r="G26" s="363"/>
      <c r="H26" s="363"/>
      <c r="I26" s="363"/>
      <c r="J26" s="363"/>
      <c r="K26" s="363"/>
      <c r="L26" s="363"/>
      <c r="M26" s="363"/>
      <c r="N26" s="363"/>
    </row>
    <row r="27" spans="2:14">
      <c r="B27" s="21"/>
      <c r="C27" s="21"/>
      <c r="D27" s="21"/>
      <c r="E27" s="363"/>
      <c r="F27" s="363"/>
      <c r="G27" s="363"/>
      <c r="H27" s="363"/>
      <c r="I27" s="363"/>
      <c r="J27" s="363"/>
      <c r="K27" s="363"/>
      <c r="L27" s="363"/>
      <c r="M27" s="363"/>
      <c r="N27" s="363"/>
    </row>
    <row r="28" spans="5:14">
      <c r="E28" s="363"/>
      <c r="F28" s="363"/>
      <c r="G28" s="363"/>
      <c r="H28" s="363"/>
      <c r="I28" s="363"/>
      <c r="J28" s="363"/>
      <c r="K28" s="363"/>
      <c r="L28" s="363"/>
      <c r="M28" s="363"/>
      <c r="N28" s="363"/>
    </row>
    <row r="29" spans="5:14">
      <c r="E29" s="363"/>
      <c r="F29" s="363"/>
      <c r="G29" s="363"/>
      <c r="H29" s="363"/>
      <c r="I29" s="363"/>
      <c r="J29" s="363"/>
      <c r="K29" s="363"/>
      <c r="L29" s="363"/>
      <c r="M29" s="363"/>
      <c r="N29" s="363"/>
    </row>
    <row r="30" spans="5:14">
      <c r="E30" s="363"/>
      <c r="F30" s="363"/>
      <c r="G30" s="363"/>
      <c r="H30" s="363"/>
      <c r="I30" s="363"/>
      <c r="J30" s="363"/>
      <c r="K30" s="363"/>
      <c r="L30" s="363"/>
      <c r="M30" s="363"/>
      <c r="N30" s="363"/>
    </row>
    <row r="31" spans="5:14">
      <c r="E31" s="363"/>
      <c r="F31" s="363"/>
      <c r="G31" s="363"/>
      <c r="H31" s="363"/>
      <c r="I31" s="363"/>
      <c r="J31" s="363"/>
      <c r="K31" s="363"/>
      <c r="L31" s="363"/>
      <c r="M31" s="363"/>
      <c r="N31" s="363"/>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paperSize="1" scale="61" orientation="landscape"/>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1"/>
  <legacyDrawing r:id="rId2"/>
  <controls>
    <mc:AlternateContent xmlns:mc="http://schemas.openxmlformats.org/markup-compatibility/2006">
      <mc:Choice Requires="x14">
        <control shapeId="13314" r:id="rId3" name="ComboBox1">
          <controlPr defaultSize="0" r:id="rId4">
            <anchor moveWithCells="1">
              <from>
                <xdr:col>4</xdr:col>
                <xdr:colOff>550545</xdr:colOff>
                <xdr:row>0</xdr:row>
                <xdr:rowOff>76835</xdr:rowOff>
              </from>
              <to>
                <xdr:col>8</xdr:col>
                <xdr:colOff>355600</xdr:colOff>
                <xdr:row>0</xdr:row>
                <xdr:rowOff>329565</xdr:rowOff>
              </to>
            </anchor>
          </controlPr>
        </control>
      </mc:Choice>
      <mc:Fallback>
        <control shapeId="13314" r:id="rId3" name="ComboBox1"/>
      </mc:Fallback>
    </mc:AlternateContent>
    <mc:AlternateContent xmlns:mc="http://schemas.openxmlformats.org/markup-compatibility/2006">
      <mc:Choice Requires="x14">
        <control shapeId="13315" name="Check Box 3" r:id="rId5">
          <controlPr defaultSize="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FF00"/>
  </sheetPr>
  <dimension ref="A1:BR227"/>
  <sheetViews>
    <sheetView showGridLines="0" showRowColHeaders="0" workbookViewId="0">
      <pane ySplit="1" topLeftCell="A2" activePane="bottomLeft" state="frozen"/>
      <selection/>
      <selection pane="bottomLeft" activeCell="G34" sqref="G34"/>
    </sheetView>
  </sheetViews>
  <sheetFormatPr defaultColWidth="9.14166666666667" defaultRowHeight="12.75"/>
  <cols>
    <col min="1" max="4" width="9.14166666666667" style="27"/>
    <col min="5" max="5" width="11.5666666666667" style="27" customWidth="1"/>
    <col min="6" max="6" width="9.14166666666667" style="27"/>
    <col min="7" max="7" width="10.5666666666667" style="27" customWidth="1"/>
    <col min="8" max="8" width="9.14166666666667" style="27"/>
    <col min="9" max="9" width="9.85833333333333" style="27" customWidth="1"/>
    <col min="10" max="10" width="9.14166666666667" style="27"/>
    <col min="11" max="11" width="10.5666666666667" style="27" customWidth="1"/>
    <col min="12" max="12" width="9.14166666666667" style="27"/>
    <col min="13" max="13" width="10.8583333333333" style="27" customWidth="1"/>
    <col min="14" max="14" width="9.14166666666667" style="27"/>
    <col min="15" max="15" width="10" style="27" customWidth="1"/>
    <col min="16" max="16384" width="9.14166666666667" style="27"/>
  </cols>
  <sheetData>
    <row r="1" s="25" customFormat="1" ht="32.1" customHeight="1" spans="1:25">
      <c r="A1" s="29"/>
      <c r="B1" s="29"/>
      <c r="C1" s="29"/>
      <c r="D1" s="29"/>
      <c r="E1" s="29"/>
      <c r="F1" s="29"/>
      <c r="G1" s="29"/>
      <c r="H1" s="29"/>
      <c r="I1" s="29"/>
      <c r="J1" s="29"/>
      <c r="K1" s="29"/>
      <c r="L1" s="140"/>
      <c r="M1" s="29"/>
      <c r="Q1" s="140"/>
      <c r="R1" s="140"/>
      <c r="S1" s="140"/>
      <c r="T1" s="140"/>
      <c r="U1" s="140"/>
      <c r="V1" s="140"/>
      <c r="W1" s="140"/>
      <c r="X1" s="140"/>
      <c r="Y1" s="140"/>
    </row>
    <row r="2" s="25" customFormat="1" ht="41.25" customHeight="1" spans="12:25">
      <c r="L2" s="140"/>
      <c r="Q2" s="140"/>
      <c r="R2" s="140"/>
      <c r="S2" s="140"/>
      <c r="T2" s="140"/>
      <c r="U2" s="140"/>
      <c r="V2" s="140"/>
      <c r="W2" s="140"/>
      <c r="X2" s="140"/>
      <c r="Y2" s="140"/>
    </row>
    <row r="3" s="25" customFormat="1" customHeight="1" spans="17:25">
      <c r="Q3" s="140"/>
      <c r="R3" s="140"/>
      <c r="S3" s="140"/>
      <c r="T3" s="140"/>
      <c r="U3" s="140"/>
      <c r="V3" s="140"/>
      <c r="W3" s="140"/>
      <c r="X3" s="140"/>
      <c r="Y3" s="140"/>
    </row>
    <row r="4" spans="1:20">
      <c r="A4" s="25"/>
      <c r="B4" s="25"/>
      <c r="C4" s="25"/>
      <c r="D4" s="25"/>
      <c r="E4" s="25"/>
      <c r="F4" s="25"/>
      <c r="G4" s="25"/>
      <c r="H4" s="25"/>
      <c r="I4" s="25"/>
      <c r="J4" s="25"/>
      <c r="K4" s="25"/>
      <c r="L4" s="25"/>
      <c r="M4" s="25"/>
      <c r="N4" s="25"/>
      <c r="O4" s="25"/>
      <c r="P4" s="25"/>
      <c r="Q4" s="25"/>
      <c r="R4" s="25"/>
      <c r="S4" s="25"/>
      <c r="T4" s="25"/>
    </row>
    <row r="5" spans="1:22">
      <c r="A5" s="33"/>
      <c r="B5" s="33"/>
      <c r="C5" s="33"/>
      <c r="D5" s="33"/>
      <c r="E5" s="33"/>
      <c r="F5" s="33"/>
      <c r="G5" s="33"/>
      <c r="H5" s="33"/>
      <c r="I5" s="33"/>
      <c r="J5" s="33"/>
      <c r="K5" s="33"/>
      <c r="L5" s="33"/>
      <c r="M5" s="33"/>
      <c r="N5" s="33"/>
      <c r="O5" s="124"/>
      <c r="P5" s="33"/>
      <c r="Q5" s="33"/>
      <c r="R5" s="33"/>
      <c r="S5" s="33"/>
      <c r="T5" s="33"/>
      <c r="U5" s="141"/>
      <c r="V5" s="141"/>
    </row>
    <row r="6" ht="15.75" spans="1:22">
      <c r="A6" s="206">
        <v>1</v>
      </c>
      <c r="B6" s="36" t="s">
        <v>1335</v>
      </c>
      <c r="C6" s="36"/>
      <c r="D6" s="36"/>
      <c r="E6" s="36"/>
      <c r="F6" s="207"/>
      <c r="G6" s="38"/>
      <c r="H6" s="38"/>
      <c r="I6" s="125"/>
      <c r="J6" s="38"/>
      <c r="K6" s="38"/>
      <c r="L6" s="38"/>
      <c r="M6" s="126"/>
      <c r="N6" s="26"/>
      <c r="O6" s="26"/>
      <c r="P6" s="38"/>
      <c r="Q6" s="38"/>
      <c r="R6" s="124"/>
      <c r="S6" s="33"/>
      <c r="T6" s="33"/>
      <c r="U6" s="141"/>
      <c r="V6" s="141"/>
    </row>
    <row r="7" s="26" customFormat="1" spans="1:25">
      <c r="A7" s="70"/>
      <c r="B7" s="71"/>
      <c r="C7" s="208"/>
      <c r="D7" s="71"/>
      <c r="K7" s="38"/>
      <c r="L7" s="38"/>
      <c r="M7" s="38"/>
      <c r="O7" s="127"/>
      <c r="P7" s="127"/>
      <c r="Q7" s="38"/>
      <c r="R7" s="38"/>
      <c r="S7" s="38"/>
      <c r="T7" s="38"/>
      <c r="U7" s="38"/>
      <c r="V7" s="38"/>
      <c r="W7" s="38"/>
      <c r="X7" s="38"/>
      <c r="Y7" s="38"/>
    </row>
    <row r="8" s="26" customFormat="1" spans="1:25">
      <c r="A8" s="70"/>
      <c r="B8" s="71"/>
      <c r="C8" s="208"/>
      <c r="D8" s="209"/>
      <c r="E8" s="168" t="s">
        <v>202</v>
      </c>
      <c r="F8" s="210"/>
      <c r="G8" s="169"/>
      <c r="H8" s="50"/>
      <c r="M8" s="270"/>
      <c r="N8" s="270"/>
      <c r="O8" s="270"/>
      <c r="P8" s="127"/>
      <c r="Q8" s="38"/>
      <c r="R8" s="38"/>
      <c r="S8" s="38"/>
      <c r="T8" s="38"/>
      <c r="U8" s="38"/>
      <c r="V8" s="38"/>
      <c r="W8" s="38"/>
      <c r="X8" s="38"/>
      <c r="Y8" s="38"/>
    </row>
    <row r="9" s="127" customFormat="1" spans="1:70">
      <c r="A9" s="154"/>
      <c r="B9" s="211"/>
      <c r="C9" s="211"/>
      <c r="D9" s="212"/>
      <c r="E9" s="213" t="s">
        <v>203</v>
      </c>
      <c r="F9" s="214" t="s">
        <v>204</v>
      </c>
      <c r="G9" s="215" t="s">
        <v>205</v>
      </c>
      <c r="H9" s="216" t="s">
        <v>206</v>
      </c>
      <c r="I9" s="271" t="s">
        <v>207</v>
      </c>
      <c r="J9" s="214" t="s">
        <v>208</v>
      </c>
      <c r="K9" s="271" t="s">
        <v>209</v>
      </c>
      <c r="L9" s="271" t="s">
        <v>209</v>
      </c>
      <c r="M9" s="271" t="s">
        <v>211</v>
      </c>
      <c r="N9" s="271" t="s">
        <v>212</v>
      </c>
      <c r="O9" s="83"/>
      <c r="P9" s="83"/>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row>
    <row r="10" s="127" customFormat="1" spans="1:70">
      <c r="A10" s="154"/>
      <c r="B10" s="74" t="s">
        <v>213</v>
      </c>
      <c r="C10" s="217" t="s">
        <v>214</v>
      </c>
      <c r="D10" s="218" t="s">
        <v>215</v>
      </c>
      <c r="E10" s="219" t="s">
        <v>216</v>
      </c>
      <c r="F10" s="160" t="s">
        <v>216</v>
      </c>
      <c r="G10" s="220" t="s">
        <v>216</v>
      </c>
      <c r="H10" s="221" t="s">
        <v>216</v>
      </c>
      <c r="I10" s="160" t="s">
        <v>217</v>
      </c>
      <c r="J10" s="160"/>
      <c r="K10" s="160" t="s">
        <v>218</v>
      </c>
      <c r="L10" s="160" t="s">
        <v>1332</v>
      </c>
      <c r="M10" s="160" t="s">
        <v>219</v>
      </c>
      <c r="N10" s="160" t="s">
        <v>219</v>
      </c>
      <c r="O10" s="83"/>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row>
    <row r="11" s="127" customFormat="1" spans="1:70">
      <c r="A11" s="154"/>
      <c r="B11" s="38" t="s">
        <v>220</v>
      </c>
      <c r="C11" s="83" t="s">
        <v>221</v>
      </c>
      <c r="D11" s="222" t="s">
        <v>222</v>
      </c>
      <c r="E11" s="223">
        <v>0.36</v>
      </c>
      <c r="F11" s="223">
        <v>0.24</v>
      </c>
      <c r="G11" s="223">
        <v>0.33</v>
      </c>
      <c r="H11" s="224">
        <v>4.49</v>
      </c>
      <c r="I11" s="83">
        <v>1</v>
      </c>
      <c r="J11" s="55">
        <v>0.8</v>
      </c>
      <c r="K11" s="83">
        <v>1.05</v>
      </c>
      <c r="L11" s="83">
        <v>1.3</v>
      </c>
      <c r="M11" s="83">
        <v>0</v>
      </c>
      <c r="N11" s="83">
        <v>0</v>
      </c>
      <c r="O11" s="83"/>
      <c r="P11" s="272"/>
      <c r="Q11" s="288"/>
      <c r="R11" s="272"/>
      <c r="S11" s="272"/>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row>
    <row r="12" s="127" customFormat="1" spans="1:70">
      <c r="A12" s="154"/>
      <c r="B12" s="38" t="s">
        <v>224</v>
      </c>
      <c r="C12" s="83" t="s">
        <v>221</v>
      </c>
      <c r="D12" s="222" t="s">
        <v>225</v>
      </c>
      <c r="E12" s="223">
        <v>0.4</v>
      </c>
      <c r="F12" s="223">
        <v>0.24</v>
      </c>
      <c r="G12" s="223">
        <v>0.33</v>
      </c>
      <c r="H12" s="224">
        <v>6.99</v>
      </c>
      <c r="I12" s="83">
        <v>1</v>
      </c>
      <c r="J12" s="55">
        <v>0.8</v>
      </c>
      <c r="K12" s="83">
        <v>1.05</v>
      </c>
      <c r="L12" s="83">
        <v>1.3</v>
      </c>
      <c r="M12" s="83">
        <v>0</v>
      </c>
      <c r="N12" s="83">
        <v>0</v>
      </c>
      <c r="O12" s="83"/>
      <c r="P12" s="273"/>
      <c r="Q12" s="272"/>
      <c r="R12" s="272"/>
      <c r="S12" s="272"/>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row>
    <row r="13" s="127" customFormat="1" spans="1:70">
      <c r="A13" s="154"/>
      <c r="B13" s="38" t="s">
        <v>228</v>
      </c>
      <c r="C13" s="83" t="s">
        <v>221</v>
      </c>
      <c r="D13" s="222" t="s">
        <v>229</v>
      </c>
      <c r="E13" s="223">
        <v>0.37</v>
      </c>
      <c r="F13" s="223">
        <v>0.24</v>
      </c>
      <c r="G13" s="223">
        <v>0.33</v>
      </c>
      <c r="H13" s="224">
        <v>5.49</v>
      </c>
      <c r="I13" s="83">
        <v>1</v>
      </c>
      <c r="J13" s="55">
        <v>0.5</v>
      </c>
      <c r="K13" s="83">
        <v>1.05</v>
      </c>
      <c r="L13" s="83">
        <v>1.3</v>
      </c>
      <c r="M13" s="83">
        <v>0</v>
      </c>
      <c r="N13" s="83">
        <v>0</v>
      </c>
      <c r="O13" s="38"/>
      <c r="P13" s="274"/>
      <c r="Q13" s="289"/>
      <c r="R13" s="289"/>
      <c r="S13" s="272"/>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row>
    <row r="14" s="127" customFormat="1" spans="1:70">
      <c r="A14" s="154"/>
      <c r="B14" s="38" t="s">
        <v>232</v>
      </c>
      <c r="C14" s="83" t="s">
        <v>221</v>
      </c>
      <c r="D14" s="222" t="s">
        <v>233</v>
      </c>
      <c r="E14" s="223">
        <v>0.38</v>
      </c>
      <c r="F14" s="223">
        <v>0.24</v>
      </c>
      <c r="G14" s="223">
        <v>0.33</v>
      </c>
      <c r="H14" s="224">
        <v>6.99</v>
      </c>
      <c r="I14" s="83">
        <v>1</v>
      </c>
      <c r="J14" s="55">
        <v>0.55</v>
      </c>
      <c r="K14" s="83">
        <v>1.05</v>
      </c>
      <c r="L14" s="83">
        <v>1.3</v>
      </c>
      <c r="M14" s="83">
        <v>0</v>
      </c>
      <c r="N14" s="83">
        <v>0</v>
      </c>
      <c r="O14" s="38"/>
      <c r="P14" s="274"/>
      <c r="Q14" s="290"/>
      <c r="R14" s="290"/>
      <c r="S14" s="272"/>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row>
    <row r="15" s="127" customFormat="1" spans="1:70">
      <c r="A15" s="154"/>
      <c r="B15" s="38" t="s">
        <v>236</v>
      </c>
      <c r="C15" s="83" t="s">
        <v>221</v>
      </c>
      <c r="D15" s="222" t="s">
        <v>237</v>
      </c>
      <c r="E15" s="223">
        <v>0.37</v>
      </c>
      <c r="F15" s="223">
        <v>0.24</v>
      </c>
      <c r="G15" s="223">
        <v>0.33</v>
      </c>
      <c r="H15" s="224">
        <v>5.99</v>
      </c>
      <c r="I15" s="83">
        <v>1</v>
      </c>
      <c r="J15" s="55">
        <v>0.55</v>
      </c>
      <c r="K15" s="83">
        <v>1.05</v>
      </c>
      <c r="L15" s="83">
        <v>1.3</v>
      </c>
      <c r="M15" s="83">
        <v>0</v>
      </c>
      <c r="N15" s="83">
        <v>0</v>
      </c>
      <c r="O15" s="38"/>
      <c r="P15" s="274"/>
      <c r="Q15" s="290"/>
      <c r="R15" s="290"/>
      <c r="S15" s="272"/>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row>
    <row r="16" s="127" customFormat="1" spans="1:70">
      <c r="A16" s="154"/>
      <c r="B16" s="38" t="s">
        <v>238</v>
      </c>
      <c r="C16" s="83" t="s">
        <v>221</v>
      </c>
      <c r="D16" s="222" t="s">
        <v>239</v>
      </c>
      <c r="E16" s="223">
        <v>0.37</v>
      </c>
      <c r="F16" s="223">
        <v>0.24</v>
      </c>
      <c r="G16" s="223">
        <v>0.33</v>
      </c>
      <c r="H16" s="224">
        <v>5.99</v>
      </c>
      <c r="I16" s="83">
        <v>1</v>
      </c>
      <c r="J16" s="55">
        <v>0.55</v>
      </c>
      <c r="K16" s="83">
        <v>1.05</v>
      </c>
      <c r="L16" s="83">
        <v>1.3</v>
      </c>
      <c r="M16" s="83">
        <v>0</v>
      </c>
      <c r="N16" s="83">
        <v>0</v>
      </c>
      <c r="O16" s="38"/>
      <c r="P16" s="274"/>
      <c r="Q16" s="290"/>
      <c r="R16" s="290"/>
      <c r="S16" s="272"/>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row>
    <row r="17" s="127" customFormat="1" spans="1:70">
      <c r="A17" s="154"/>
      <c r="B17" s="38" t="s">
        <v>240</v>
      </c>
      <c r="C17" s="83" t="s">
        <v>241</v>
      </c>
      <c r="D17" s="222" t="s">
        <v>222</v>
      </c>
      <c r="E17" s="223">
        <v>0.36</v>
      </c>
      <c r="F17" s="223">
        <v>0.24</v>
      </c>
      <c r="G17" s="223">
        <v>0.33</v>
      </c>
      <c r="H17" s="224">
        <v>2.45</v>
      </c>
      <c r="I17" s="83">
        <v>124</v>
      </c>
      <c r="J17" s="55">
        <v>0.8</v>
      </c>
      <c r="K17" s="83">
        <v>130.8</v>
      </c>
      <c r="L17" s="83">
        <v>160.5</v>
      </c>
      <c r="M17" s="83" t="s">
        <v>242</v>
      </c>
      <c r="N17" s="83">
        <v>16</v>
      </c>
      <c r="O17" s="224"/>
      <c r="P17" s="274"/>
      <c r="Q17" s="290"/>
      <c r="R17" s="290"/>
      <c r="S17" s="272"/>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row>
    <row r="18" s="127" customFormat="1" spans="1:70">
      <c r="A18" s="154"/>
      <c r="B18" s="38" t="s">
        <v>243</v>
      </c>
      <c r="C18" s="83" t="s">
        <v>241</v>
      </c>
      <c r="D18" s="222" t="s">
        <v>225</v>
      </c>
      <c r="E18" s="223">
        <v>0.4</v>
      </c>
      <c r="F18" s="223">
        <v>0.24</v>
      </c>
      <c r="G18" s="223">
        <v>0.33</v>
      </c>
      <c r="H18" s="224">
        <v>2.99</v>
      </c>
      <c r="I18" s="83">
        <v>124</v>
      </c>
      <c r="J18" s="55">
        <v>0.8</v>
      </c>
      <c r="K18" s="83">
        <v>130.8</v>
      </c>
      <c r="L18" s="83">
        <v>160.5</v>
      </c>
      <c r="M18" s="83">
        <v>23.3</v>
      </c>
      <c r="N18" s="83">
        <v>16</v>
      </c>
      <c r="O18" s="224"/>
      <c r="P18" s="274"/>
      <c r="Q18" s="290"/>
      <c r="R18" s="290"/>
      <c r="S18" s="272"/>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row>
    <row r="19" s="127" customFormat="1" spans="1:70">
      <c r="A19" s="154"/>
      <c r="B19" s="38" t="s">
        <v>244</v>
      </c>
      <c r="C19" s="83" t="s">
        <v>221</v>
      </c>
      <c r="D19" s="222" t="s">
        <v>245</v>
      </c>
      <c r="E19" s="223">
        <v>0.37</v>
      </c>
      <c r="F19" s="223">
        <v>0.24</v>
      </c>
      <c r="G19" s="223">
        <v>0.33</v>
      </c>
      <c r="H19" s="224">
        <v>1.99</v>
      </c>
      <c r="I19" s="83">
        <v>1</v>
      </c>
      <c r="J19" s="55">
        <v>1</v>
      </c>
      <c r="K19" s="83">
        <v>1.05</v>
      </c>
      <c r="L19" s="83">
        <v>1.3</v>
      </c>
      <c r="M19" s="83">
        <v>0</v>
      </c>
      <c r="N19" s="83">
        <v>0</v>
      </c>
      <c r="O19" s="224"/>
      <c r="P19" s="274"/>
      <c r="Q19" s="290"/>
      <c r="R19" s="290"/>
      <c r="S19" s="272"/>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row>
    <row r="20" s="127" customFormat="1" spans="1:70">
      <c r="A20" s="154"/>
      <c r="B20" s="38"/>
      <c r="C20" s="126"/>
      <c r="D20" s="83"/>
      <c r="E20" s="83"/>
      <c r="F20" s="83"/>
      <c r="G20" s="83"/>
      <c r="H20" s="83"/>
      <c r="I20" s="83"/>
      <c r="J20" s="83"/>
      <c r="K20" s="83"/>
      <c r="L20" s="83"/>
      <c r="M20" s="83"/>
      <c r="N20" s="83"/>
      <c r="O20" s="83"/>
      <c r="P20" s="274"/>
      <c r="Q20" s="289"/>
      <c r="R20" s="290"/>
      <c r="S20" s="272"/>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row>
    <row r="21" s="201" customFormat="1" ht="15.75" spans="1:22">
      <c r="A21" s="225">
        <v>2</v>
      </c>
      <c r="B21" s="36" t="s">
        <v>1333</v>
      </c>
      <c r="C21" s="226"/>
      <c r="D21" s="225"/>
      <c r="E21" s="225"/>
      <c r="F21" s="225"/>
      <c r="G21" s="225"/>
      <c r="H21" s="227"/>
      <c r="I21" s="227"/>
      <c r="J21" s="275"/>
      <c r="K21" s="33"/>
      <c r="L21" s="257"/>
      <c r="M21" s="276"/>
      <c r="N21" s="276"/>
      <c r="O21" s="276"/>
      <c r="P21" s="276"/>
      <c r="Q21" s="33"/>
      <c r="R21" s="33"/>
      <c r="S21" s="33"/>
      <c r="T21" s="33"/>
      <c r="U21" s="141"/>
      <c r="V21" s="141"/>
    </row>
    <row r="22" s="38" customFormat="1" ht="11.25" spans="1:16">
      <c r="A22" s="228"/>
      <c r="B22" s="229"/>
      <c r="C22" s="214"/>
      <c r="D22" s="230"/>
      <c r="E22" s="231" t="s">
        <v>103</v>
      </c>
      <c r="F22" s="232"/>
      <c r="G22" s="233"/>
      <c r="H22" s="230"/>
      <c r="I22" s="231" t="s">
        <v>104</v>
      </c>
      <c r="J22" s="232"/>
      <c r="K22" s="233"/>
      <c r="L22" s="230"/>
      <c r="M22" s="231" t="s">
        <v>105</v>
      </c>
      <c r="N22" s="277"/>
      <c r="O22" s="233"/>
      <c r="P22" s="278"/>
    </row>
    <row r="23" s="38" customFormat="1" ht="11.25" spans="1:16">
      <c r="A23" s="228"/>
      <c r="B23" s="229"/>
      <c r="C23" s="234" t="s">
        <v>221</v>
      </c>
      <c r="D23" s="235">
        <f>SUM(D26:D36)</f>
        <v>1</v>
      </c>
      <c r="E23" s="236">
        <v>100514.7291456</v>
      </c>
      <c r="F23" s="237"/>
      <c r="G23" s="238"/>
      <c r="H23" s="235">
        <f>SUM(H26:H36)</f>
        <v>1</v>
      </c>
      <c r="I23" s="236">
        <v>106999.5503808</v>
      </c>
      <c r="J23" s="237"/>
      <c r="K23" s="238"/>
      <c r="L23" s="235">
        <f>SUM(L26:L36)</f>
        <v>1</v>
      </c>
      <c r="M23" s="236">
        <v>110583.2673792</v>
      </c>
      <c r="N23" s="279"/>
      <c r="O23" s="238"/>
      <c r="P23" s="278"/>
    </row>
    <row r="24" s="38" customFormat="1" ht="11.25" spans="1:16">
      <c r="A24" s="228"/>
      <c r="B24" s="229"/>
      <c r="C24" s="237" t="s">
        <v>241</v>
      </c>
      <c r="D24" s="239"/>
      <c r="E24" s="238"/>
      <c r="F24" s="240">
        <f>SUM(F26:F36)</f>
        <v>1</v>
      </c>
      <c r="G24" s="241">
        <v>163997.7159744</v>
      </c>
      <c r="H24" s="239"/>
      <c r="I24" s="238"/>
      <c r="J24" s="240">
        <f>SUM(J26:J36)</f>
        <v>1</v>
      </c>
      <c r="K24" s="241">
        <v>174578.2137792</v>
      </c>
      <c r="L24" s="239"/>
      <c r="M24" s="238"/>
      <c r="N24" s="240">
        <f>SUM(N26:N36)</f>
        <v>1</v>
      </c>
      <c r="O24" s="241">
        <v>196592.4753408</v>
      </c>
      <c r="P24" s="278"/>
    </row>
    <row r="25" s="38" customFormat="1" ht="11.25" spans="1:16">
      <c r="A25" s="228"/>
      <c r="B25" s="74" t="s">
        <v>213</v>
      </c>
      <c r="C25" s="217" t="s">
        <v>214</v>
      </c>
      <c r="D25" s="242"/>
      <c r="E25" s="220"/>
      <c r="F25" s="74"/>
      <c r="G25" s="243"/>
      <c r="H25" s="242"/>
      <c r="I25" s="220"/>
      <c r="J25" s="74"/>
      <c r="K25" s="243"/>
      <c r="L25" s="242"/>
      <c r="M25" s="220"/>
      <c r="N25" s="280"/>
      <c r="O25" s="243"/>
      <c r="P25" s="278"/>
    </row>
    <row r="26" s="38" customFormat="1" ht="11.25" spans="1:16">
      <c r="A26" s="228"/>
      <c r="B26" s="38" t="str">
        <f>B11</f>
        <v>BR01-01</v>
      </c>
      <c r="C26" s="83" t="str">
        <f>C11</f>
        <v>[retail]</v>
      </c>
      <c r="D26" s="244">
        <v>0.11</v>
      </c>
      <c r="E26" s="245">
        <f t="shared" ref="E26:E34" si="0">IF(C26="[retail]",VLOOKUP(C26,retail_wholesale_oper,3,FALSE)*D26,"")</f>
        <v>11056.620206016</v>
      </c>
      <c r="F26" s="83"/>
      <c r="G26" s="246" t="str">
        <f t="shared" ref="G26:G34" si="1">IF(C26="[wholesale]",F26*VLOOKUP(C26,retail_wholesale_oper,5,FALSE),"")</f>
        <v/>
      </c>
      <c r="H26" s="244">
        <v>0.11</v>
      </c>
      <c r="I26" s="245">
        <f t="shared" ref="I26:I34" si="2">IF(C26="[retail]",VLOOKUP(C26,retail_wholesale_oper,7,FALSE)*H26,"")</f>
        <v>11769.950541888</v>
      </c>
      <c r="J26" s="83"/>
      <c r="K26" s="281" t="str">
        <f t="shared" ref="K26:K34" si="3">IF(C26="[wholesale]",VLOOKUP(C26,retail_wholesale_oper,9,FALSE)*J26,"")</f>
        <v/>
      </c>
      <c r="L26" s="244">
        <v>0.11</v>
      </c>
      <c r="M26" s="245">
        <f t="shared" ref="M26:M34" si="4">IF(C26="[retail]",VLOOKUP(C26,retail_wholesale_oper,11,FALSE)*L26,"")</f>
        <v>12164.159411712</v>
      </c>
      <c r="N26" s="278"/>
      <c r="O26" s="245" t="str">
        <f t="shared" ref="O26:O34" si="5">IF(C26="[wholesale]",VLOOKUP(C26,retail_wholesale_oper,13,FALSE)*N26,"")</f>
        <v/>
      </c>
      <c r="P26" s="278"/>
    </row>
    <row r="27" s="38" customFormat="1" ht="11.25" spans="1:16">
      <c r="A27" s="228"/>
      <c r="B27" s="38" t="str">
        <f t="shared" ref="B27:C34" si="6">B12</f>
        <v>BR01-02</v>
      </c>
      <c r="C27" s="83" t="str">
        <f t="shared" si="6"/>
        <v>[retail]</v>
      </c>
      <c r="D27" s="247">
        <v>0.11</v>
      </c>
      <c r="E27" s="245">
        <f t="shared" si="0"/>
        <v>11056.620206016</v>
      </c>
      <c r="F27" s="83"/>
      <c r="G27" s="246" t="str">
        <f t="shared" si="1"/>
        <v/>
      </c>
      <c r="H27" s="247">
        <v>0.11</v>
      </c>
      <c r="I27" s="245">
        <f t="shared" si="2"/>
        <v>11769.950541888</v>
      </c>
      <c r="J27" s="83"/>
      <c r="K27" s="281" t="str">
        <f t="shared" si="3"/>
        <v/>
      </c>
      <c r="L27" s="247">
        <v>0.11</v>
      </c>
      <c r="M27" s="245">
        <f t="shared" si="4"/>
        <v>12164.159411712</v>
      </c>
      <c r="N27" s="278"/>
      <c r="O27" s="245" t="str">
        <f t="shared" si="5"/>
        <v/>
      </c>
      <c r="P27" s="278"/>
    </row>
    <row r="28" s="38" customFormat="1" ht="11.25" spans="1:16">
      <c r="A28" s="228"/>
      <c r="B28" s="38" t="str">
        <f t="shared" si="6"/>
        <v>BR01-03</v>
      </c>
      <c r="C28" s="83" t="str">
        <f t="shared" si="6"/>
        <v>[retail]</v>
      </c>
      <c r="D28" s="247">
        <v>0.09</v>
      </c>
      <c r="E28" s="245">
        <f t="shared" si="0"/>
        <v>9046.325623104</v>
      </c>
      <c r="F28" s="83"/>
      <c r="G28" s="246" t="str">
        <f t="shared" si="1"/>
        <v/>
      </c>
      <c r="H28" s="247">
        <v>0.09</v>
      </c>
      <c r="I28" s="245">
        <f t="shared" si="2"/>
        <v>9629.959534272</v>
      </c>
      <c r="J28" s="83"/>
      <c r="K28" s="281" t="str">
        <f t="shared" si="3"/>
        <v/>
      </c>
      <c r="L28" s="247">
        <v>0.09</v>
      </c>
      <c r="M28" s="245">
        <f t="shared" si="4"/>
        <v>9952.494064128</v>
      </c>
      <c r="N28" s="278"/>
      <c r="O28" s="245" t="str">
        <f t="shared" si="5"/>
        <v/>
      </c>
      <c r="P28" s="278"/>
    </row>
    <row r="29" s="38" customFormat="1" ht="11.25" spans="1:16">
      <c r="A29" s="228"/>
      <c r="B29" s="38" t="str">
        <f t="shared" si="6"/>
        <v>BR01-04</v>
      </c>
      <c r="C29" s="83" t="str">
        <f t="shared" si="6"/>
        <v>[retail]</v>
      </c>
      <c r="D29" s="247">
        <v>0.23</v>
      </c>
      <c r="E29" s="245">
        <f t="shared" si="0"/>
        <v>23118.387703488</v>
      </c>
      <c r="F29" s="83"/>
      <c r="G29" s="246" t="str">
        <f t="shared" si="1"/>
        <v/>
      </c>
      <c r="H29" s="247">
        <v>0.23</v>
      </c>
      <c r="I29" s="245">
        <f t="shared" si="2"/>
        <v>24609.896587584</v>
      </c>
      <c r="J29" s="83"/>
      <c r="K29" s="281" t="str">
        <f t="shared" si="3"/>
        <v/>
      </c>
      <c r="L29" s="247">
        <v>0.23</v>
      </c>
      <c r="M29" s="245">
        <f t="shared" si="4"/>
        <v>25434.151497216</v>
      </c>
      <c r="N29" s="278"/>
      <c r="O29" s="245" t="str">
        <f t="shared" si="5"/>
        <v/>
      </c>
      <c r="P29" s="278"/>
    </row>
    <row r="30" s="38" customFormat="1" ht="11.25" spans="1:16">
      <c r="A30" s="228"/>
      <c r="B30" s="38" t="str">
        <f t="shared" si="6"/>
        <v>BR01-05</v>
      </c>
      <c r="C30" s="83" t="str">
        <f t="shared" si="6"/>
        <v>[retail]</v>
      </c>
      <c r="D30" s="247">
        <v>0.23</v>
      </c>
      <c r="E30" s="245">
        <f t="shared" si="0"/>
        <v>23118.387703488</v>
      </c>
      <c r="F30" s="83"/>
      <c r="G30" s="246" t="str">
        <f t="shared" si="1"/>
        <v/>
      </c>
      <c r="H30" s="247">
        <v>0.23</v>
      </c>
      <c r="I30" s="245">
        <f t="shared" si="2"/>
        <v>24609.896587584</v>
      </c>
      <c r="J30" s="83"/>
      <c r="K30" s="281" t="str">
        <f t="shared" si="3"/>
        <v/>
      </c>
      <c r="L30" s="247">
        <v>0.23</v>
      </c>
      <c r="M30" s="245">
        <f t="shared" si="4"/>
        <v>25434.151497216</v>
      </c>
      <c r="N30" s="278"/>
      <c r="O30" s="245" t="str">
        <f t="shared" si="5"/>
        <v/>
      </c>
      <c r="P30" s="278"/>
    </row>
    <row r="31" s="38" customFormat="1" ht="11.25" spans="1:16">
      <c r="A31" s="228"/>
      <c r="B31" s="38" t="str">
        <f t="shared" si="6"/>
        <v>BR01-06</v>
      </c>
      <c r="C31" s="83" t="str">
        <f t="shared" si="6"/>
        <v>[retail]</v>
      </c>
      <c r="D31" s="248">
        <v>0.23</v>
      </c>
      <c r="E31" s="245">
        <f t="shared" si="0"/>
        <v>23118.387703488</v>
      </c>
      <c r="F31" s="83"/>
      <c r="G31" s="246" t="str">
        <f t="shared" si="1"/>
        <v/>
      </c>
      <c r="H31" s="248">
        <v>0.23</v>
      </c>
      <c r="I31" s="245">
        <f t="shared" si="2"/>
        <v>24609.896587584</v>
      </c>
      <c r="J31" s="83"/>
      <c r="K31" s="281" t="str">
        <f t="shared" si="3"/>
        <v/>
      </c>
      <c r="L31" s="248">
        <v>0.23</v>
      </c>
      <c r="M31" s="245">
        <f t="shared" si="4"/>
        <v>25434.151497216</v>
      </c>
      <c r="N31" s="278"/>
      <c r="O31" s="245" t="str">
        <f t="shared" si="5"/>
        <v/>
      </c>
      <c r="P31" s="278"/>
    </row>
    <row r="32" s="38" customFormat="1" ht="11.25" spans="1:16">
      <c r="A32" s="228"/>
      <c r="B32" s="38" t="str">
        <f t="shared" si="6"/>
        <v>BR01-07</v>
      </c>
      <c r="C32" s="83" t="str">
        <f t="shared" si="6"/>
        <v>[wholesale]</v>
      </c>
      <c r="D32" s="83"/>
      <c r="E32" s="245" t="str">
        <f t="shared" si="0"/>
        <v/>
      </c>
      <c r="F32" s="247">
        <v>0.45</v>
      </c>
      <c r="G32" s="246">
        <f t="shared" si="1"/>
        <v>73798.97218848</v>
      </c>
      <c r="H32" s="83"/>
      <c r="I32" s="245" t="str">
        <f t="shared" si="2"/>
        <v/>
      </c>
      <c r="J32" s="247">
        <v>0.48</v>
      </c>
      <c r="K32" s="281">
        <f t="shared" si="3"/>
        <v>83797.542614016</v>
      </c>
      <c r="L32" s="83"/>
      <c r="M32" s="245" t="str">
        <f t="shared" si="4"/>
        <v/>
      </c>
      <c r="N32" s="282">
        <v>0.5</v>
      </c>
      <c r="O32" s="245">
        <f t="shared" si="5"/>
        <v>98296.2376704</v>
      </c>
      <c r="P32" s="278"/>
    </row>
    <row r="33" s="38" customFormat="1" ht="11.25" spans="1:16">
      <c r="A33" s="228"/>
      <c r="B33" s="38" t="str">
        <f t="shared" si="6"/>
        <v>BR01-08</v>
      </c>
      <c r="C33" s="83" t="str">
        <f t="shared" si="6"/>
        <v>[wholesale]</v>
      </c>
      <c r="D33" s="83"/>
      <c r="E33" s="245" t="str">
        <f t="shared" si="0"/>
        <v/>
      </c>
      <c r="F33" s="248">
        <v>0.55</v>
      </c>
      <c r="G33" s="246">
        <f t="shared" si="1"/>
        <v>90198.74378592</v>
      </c>
      <c r="H33" s="83"/>
      <c r="I33" s="245" t="str">
        <f t="shared" si="2"/>
        <v/>
      </c>
      <c r="J33" s="248">
        <v>0.52</v>
      </c>
      <c r="K33" s="281">
        <f t="shared" si="3"/>
        <v>90780.671165184</v>
      </c>
      <c r="L33" s="83"/>
      <c r="M33" s="245" t="str">
        <f t="shared" si="4"/>
        <v/>
      </c>
      <c r="N33" s="283">
        <v>0.5</v>
      </c>
      <c r="O33" s="245">
        <f t="shared" si="5"/>
        <v>98296.2376704</v>
      </c>
      <c r="P33" s="278"/>
    </row>
    <row r="34" s="38" customFormat="1" ht="11.25" spans="1:16">
      <c r="A34" s="228"/>
      <c r="B34" s="38" t="str">
        <f t="shared" si="6"/>
        <v>BR01-09</v>
      </c>
      <c r="C34" s="83" t="str">
        <f>C19</f>
        <v>[retail]</v>
      </c>
      <c r="D34" s="249">
        <v>0</v>
      </c>
      <c r="E34" s="245">
        <f t="shared" si="0"/>
        <v>0</v>
      </c>
      <c r="F34" s="250"/>
      <c r="G34" s="246" t="str">
        <f t="shared" si="1"/>
        <v/>
      </c>
      <c r="H34" s="249">
        <v>0</v>
      </c>
      <c r="I34" s="245">
        <f t="shared" si="2"/>
        <v>0</v>
      </c>
      <c r="J34" s="250"/>
      <c r="K34" s="281" t="str">
        <f t="shared" si="3"/>
        <v/>
      </c>
      <c r="L34" s="249">
        <v>0</v>
      </c>
      <c r="M34" s="245">
        <f t="shared" si="4"/>
        <v>0</v>
      </c>
      <c r="N34" s="284"/>
      <c r="O34" s="245" t="str">
        <f t="shared" si="5"/>
        <v/>
      </c>
      <c r="P34" s="278"/>
    </row>
    <row r="35" s="201" customFormat="1" ht="12" spans="2:23">
      <c r="B35" s="251"/>
      <c r="C35" s="38"/>
      <c r="D35" s="83"/>
      <c r="E35" s="252"/>
      <c r="F35" s="83"/>
      <c r="G35" s="252"/>
      <c r="H35" s="83"/>
      <c r="I35" s="252"/>
      <c r="J35" s="83"/>
      <c r="K35" s="252"/>
      <c r="L35" s="83"/>
      <c r="M35" s="285"/>
      <c r="N35" s="59"/>
      <c r="O35" s="285"/>
      <c r="P35" s="41"/>
      <c r="Q35" s="41"/>
      <c r="R35" s="291"/>
      <c r="S35" s="288"/>
      <c r="T35" s="33"/>
      <c r="U35" s="33"/>
      <c r="V35" s="141"/>
      <c r="W35" s="141"/>
    </row>
    <row r="36" spans="2:23">
      <c r="B36" s="253"/>
      <c r="C36" s="253"/>
      <c r="D36" s="253"/>
      <c r="E36" s="254"/>
      <c r="F36" s="253"/>
      <c r="G36" s="254"/>
      <c r="H36" s="253"/>
      <c r="I36" s="254"/>
      <c r="J36" s="253"/>
      <c r="K36" s="254"/>
      <c r="L36" s="253"/>
      <c r="M36" s="254"/>
      <c r="N36" s="253"/>
      <c r="O36" s="254"/>
      <c r="P36" s="253"/>
      <c r="Q36" s="276"/>
      <c r="R36" s="276"/>
      <c r="S36" s="276"/>
      <c r="T36" s="276"/>
      <c r="U36" s="140"/>
      <c r="V36" s="292"/>
      <c r="W36" s="292"/>
    </row>
    <row r="37" ht="15.75" spans="1:22">
      <c r="A37" s="225">
        <v>3</v>
      </c>
      <c r="B37" s="156" t="s">
        <v>1334</v>
      </c>
      <c r="C37" s="255"/>
      <c r="D37" s="225"/>
      <c r="E37" s="256"/>
      <c r="F37" s="256"/>
      <c r="G37" s="255"/>
      <c r="H37" s="255"/>
      <c r="I37" s="255"/>
      <c r="J37" s="255"/>
      <c r="K37" s="253"/>
      <c r="L37" s="253"/>
      <c r="M37" s="253"/>
      <c r="N37" s="253"/>
      <c r="O37" s="253"/>
      <c r="P37" s="253"/>
      <c r="Q37" s="276"/>
      <c r="R37" s="276"/>
      <c r="S37" s="276"/>
      <c r="T37" s="140"/>
      <c r="U37" s="292"/>
      <c r="V37" s="292"/>
    </row>
    <row r="38" spans="2:23">
      <c r="B38" s="253"/>
      <c r="C38" s="253"/>
      <c r="D38" s="253"/>
      <c r="E38" s="253"/>
      <c r="F38" s="257"/>
      <c r="G38" s="257"/>
      <c r="H38" s="257"/>
      <c r="I38" s="286"/>
      <c r="J38" s="286"/>
      <c r="K38" s="287"/>
      <c r="L38" s="33"/>
      <c r="M38" s="33"/>
      <c r="N38" s="33"/>
      <c r="O38" s="33"/>
      <c r="P38" s="33"/>
      <c r="Q38" s="33"/>
      <c r="R38" s="33"/>
      <c r="S38" s="33"/>
      <c r="T38" s="33"/>
      <c r="U38" s="140"/>
      <c r="V38" s="292"/>
      <c r="W38" s="292"/>
    </row>
    <row r="39" s="202" customFormat="1" spans="1:48">
      <c r="A39" s="258"/>
      <c r="B39" s="203" t="s">
        <v>254</v>
      </c>
      <c r="C39" s="203"/>
      <c r="D39" s="218" t="str">
        <f>B11</f>
        <v>BR01-01</v>
      </c>
      <c r="E39" s="160" t="str">
        <f>IF(B12="","",B12)</f>
        <v>BR01-02</v>
      </c>
      <c r="F39" s="160" t="str">
        <f>IF(B13="","",B13)</f>
        <v>BR01-03</v>
      </c>
      <c r="G39" s="160" t="str">
        <f>IF(B14="","",B14)</f>
        <v>BR01-04</v>
      </c>
      <c r="H39" s="74" t="str">
        <f>IF(B15="","",B15)</f>
        <v>BR01-05</v>
      </c>
      <c r="I39" s="74" t="str">
        <f>IF(B16="","",B16)</f>
        <v>BR01-06</v>
      </c>
      <c r="J39" s="74" t="str">
        <f>IF(B17="","",B17)</f>
        <v>BR01-07</v>
      </c>
      <c r="K39" s="74" t="str">
        <f>IFERROR(IF(B18="","",B18),"")</f>
        <v>BR01-08</v>
      </c>
      <c r="L39" s="74" t="str">
        <f>IFERROR(IF(B19="","",B19),"")</f>
        <v>BR01-09</v>
      </c>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row>
    <row r="40" s="202" customFormat="1" spans="1:48">
      <c r="A40" s="258"/>
      <c r="B40" s="203"/>
      <c r="C40" s="203"/>
      <c r="D40" s="160" t="str">
        <f>C11</f>
        <v>[retail]</v>
      </c>
      <c r="E40" s="160" t="str">
        <f>C12</f>
        <v>[retail]</v>
      </c>
      <c r="F40" s="160" t="str">
        <f>C13</f>
        <v>[retail]</v>
      </c>
      <c r="G40" s="160" t="str">
        <f>C14</f>
        <v>[retail]</v>
      </c>
      <c r="H40" s="160" t="str">
        <f>C15</f>
        <v>[retail]</v>
      </c>
      <c r="I40" s="160" t="str">
        <f>C16</f>
        <v>[retail]</v>
      </c>
      <c r="J40" s="160" t="str">
        <f>C17</f>
        <v>[wholesale]</v>
      </c>
      <c r="K40" s="160" t="str">
        <f>IFERROR(C18,"")</f>
        <v>[wholesale]</v>
      </c>
      <c r="L40" s="160" t="str">
        <f>IFERROR(C19,"")</f>
        <v>[retail]</v>
      </c>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row>
    <row r="41" s="202" customFormat="1" spans="1:48">
      <c r="A41" s="258"/>
      <c r="B41" s="259" t="s">
        <v>103</v>
      </c>
      <c r="C41" s="259"/>
      <c r="D41" s="260" t="s">
        <v>255</v>
      </c>
      <c r="E41" s="259"/>
      <c r="F41" s="259"/>
      <c r="G41" s="259"/>
      <c r="H41" s="259"/>
      <c r="I41" s="259"/>
      <c r="J41" s="259"/>
      <c r="K41" s="259"/>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row>
    <row r="42" s="202" customFormat="1" spans="1:48">
      <c r="A42" s="261"/>
      <c r="B42" s="262" t="s">
        <v>256</v>
      </c>
      <c r="C42" s="203"/>
      <c r="D42" s="263">
        <v>0.04</v>
      </c>
      <c r="E42" s="263">
        <v>0.06</v>
      </c>
      <c r="F42" s="263">
        <v>0.02</v>
      </c>
      <c r="G42" s="263">
        <v>0.05</v>
      </c>
      <c r="H42" s="263">
        <v>0.05</v>
      </c>
      <c r="I42" s="263">
        <v>0.05</v>
      </c>
      <c r="J42" s="263">
        <v>0.03</v>
      </c>
      <c r="K42" s="263">
        <v>0.03</v>
      </c>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row>
    <row r="43" s="202" customFormat="1" spans="1:48">
      <c r="A43" s="264"/>
      <c r="B43" s="262" t="s">
        <v>257</v>
      </c>
      <c r="C43" s="203"/>
      <c r="D43" s="263">
        <v>0.04</v>
      </c>
      <c r="E43" s="263">
        <v>0.05</v>
      </c>
      <c r="F43" s="263">
        <v>0.03</v>
      </c>
      <c r="G43" s="263">
        <v>0.05</v>
      </c>
      <c r="H43" s="263">
        <v>0.05</v>
      </c>
      <c r="I43" s="263">
        <v>0.05</v>
      </c>
      <c r="J43" s="263">
        <v>0.03</v>
      </c>
      <c r="K43" s="263">
        <v>0.03</v>
      </c>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row>
    <row r="44" s="202" customFormat="1" spans="1:48">
      <c r="A44" s="203"/>
      <c r="B44" s="96" t="s">
        <v>258</v>
      </c>
      <c r="C44" s="203"/>
      <c r="D44" s="263">
        <v>0.04</v>
      </c>
      <c r="E44" s="263">
        <v>0.06</v>
      </c>
      <c r="F44" s="263">
        <v>0.03</v>
      </c>
      <c r="G44" s="263">
        <v>0.06</v>
      </c>
      <c r="H44" s="263">
        <v>0.06</v>
      </c>
      <c r="I44" s="263">
        <v>0.06</v>
      </c>
      <c r="J44" s="263">
        <v>0.03</v>
      </c>
      <c r="K44" s="263">
        <v>0.03</v>
      </c>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row>
    <row r="45" s="203" customFormat="1" spans="2:48">
      <c r="B45" s="96" t="s">
        <v>259</v>
      </c>
      <c r="D45" s="263">
        <v>0.04</v>
      </c>
      <c r="E45" s="263">
        <v>0.06</v>
      </c>
      <c r="F45" s="263">
        <v>0.04</v>
      </c>
      <c r="G45" s="263">
        <v>0.07</v>
      </c>
      <c r="H45" s="263">
        <v>0.07</v>
      </c>
      <c r="I45" s="263">
        <v>0.07</v>
      </c>
      <c r="J45" s="263">
        <v>0.11</v>
      </c>
      <c r="K45" s="263">
        <v>0.11</v>
      </c>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row>
    <row r="46" s="203" customFormat="1" spans="2:48">
      <c r="B46" s="96" t="s">
        <v>260</v>
      </c>
      <c r="D46" s="263">
        <v>0.12</v>
      </c>
      <c r="E46" s="263">
        <v>0.11</v>
      </c>
      <c r="F46" s="263">
        <v>0.11</v>
      </c>
      <c r="G46" s="263">
        <v>0.08</v>
      </c>
      <c r="H46" s="263">
        <v>0.08</v>
      </c>
      <c r="I46" s="263">
        <v>0.08</v>
      </c>
      <c r="J46" s="263">
        <v>0.11</v>
      </c>
      <c r="K46" s="263">
        <v>0.11</v>
      </c>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row>
    <row r="47" s="203" customFormat="1" spans="1:48">
      <c r="A47" s="140"/>
      <c r="B47" s="96" t="s">
        <v>261</v>
      </c>
      <c r="D47" s="263">
        <v>0.12</v>
      </c>
      <c r="E47" s="263">
        <v>0.11</v>
      </c>
      <c r="F47" s="263">
        <v>0.12</v>
      </c>
      <c r="G47" s="263">
        <v>0.1</v>
      </c>
      <c r="H47" s="263">
        <v>0.1</v>
      </c>
      <c r="I47" s="263">
        <v>0.1</v>
      </c>
      <c r="J47" s="263">
        <v>0.14</v>
      </c>
      <c r="K47" s="263">
        <v>0.14</v>
      </c>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row>
    <row r="48" s="203" customFormat="1" spans="1:48">
      <c r="A48" s="140"/>
      <c r="B48" s="96" t="s">
        <v>262</v>
      </c>
      <c r="D48" s="263">
        <v>0.12</v>
      </c>
      <c r="E48" s="263">
        <v>0.11</v>
      </c>
      <c r="F48" s="263">
        <v>0.12</v>
      </c>
      <c r="G48" s="263">
        <v>0.1</v>
      </c>
      <c r="H48" s="263">
        <v>0.1</v>
      </c>
      <c r="I48" s="263">
        <v>0.1</v>
      </c>
      <c r="J48" s="263">
        <v>0.14</v>
      </c>
      <c r="K48" s="263">
        <v>0.14</v>
      </c>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row>
    <row r="49" s="203" customFormat="1" spans="1:48">
      <c r="A49" s="140"/>
      <c r="B49" s="96" t="s">
        <v>263</v>
      </c>
      <c r="D49" s="263">
        <v>0.12</v>
      </c>
      <c r="E49" s="263">
        <v>0.11</v>
      </c>
      <c r="F49" s="263">
        <v>0.12</v>
      </c>
      <c r="G49" s="263">
        <v>0.12</v>
      </c>
      <c r="H49" s="263">
        <v>0.12</v>
      </c>
      <c r="I49" s="263">
        <v>0.12</v>
      </c>
      <c r="J49" s="263">
        <v>0.12</v>
      </c>
      <c r="K49" s="263">
        <v>0.12</v>
      </c>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row>
    <row r="50" s="203" customFormat="1" spans="1:48">
      <c r="A50" s="140"/>
      <c r="B50" s="96" t="s">
        <v>264</v>
      </c>
      <c r="D50" s="263">
        <v>0.12</v>
      </c>
      <c r="E50" s="263">
        <v>0.11</v>
      </c>
      <c r="F50" s="263">
        <v>0.12</v>
      </c>
      <c r="G50" s="263">
        <v>0.12</v>
      </c>
      <c r="H50" s="263">
        <v>0.12</v>
      </c>
      <c r="I50" s="263">
        <v>0.12</v>
      </c>
      <c r="J50" s="263">
        <v>0.12</v>
      </c>
      <c r="K50" s="263">
        <v>0.12</v>
      </c>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row>
    <row r="51" s="203" customFormat="1" spans="1:48">
      <c r="A51" s="140"/>
      <c r="B51" s="96" t="s">
        <v>265</v>
      </c>
      <c r="D51" s="263">
        <v>0.1</v>
      </c>
      <c r="E51" s="263">
        <v>0.11</v>
      </c>
      <c r="F51" s="263">
        <v>0.11</v>
      </c>
      <c r="G51" s="263">
        <v>0.11</v>
      </c>
      <c r="H51" s="263">
        <v>0.11</v>
      </c>
      <c r="I51" s="263">
        <v>0.11</v>
      </c>
      <c r="J51" s="263">
        <v>0.11</v>
      </c>
      <c r="K51" s="263">
        <v>0.11</v>
      </c>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row>
    <row r="52" s="203" customFormat="1" spans="1:48">
      <c r="A52" s="140"/>
      <c r="B52" s="96" t="s">
        <v>266</v>
      </c>
      <c r="D52" s="263">
        <v>0.07</v>
      </c>
      <c r="E52" s="263">
        <v>0.06</v>
      </c>
      <c r="F52" s="263">
        <v>0.15</v>
      </c>
      <c r="G52" s="263">
        <v>0.07</v>
      </c>
      <c r="H52" s="263">
        <v>0.07</v>
      </c>
      <c r="I52" s="263">
        <v>0.07</v>
      </c>
      <c r="J52" s="263">
        <v>0.03</v>
      </c>
      <c r="K52" s="263">
        <v>0.03</v>
      </c>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row>
    <row r="53" s="203" customFormat="1" spans="1:48">
      <c r="A53" s="140"/>
      <c r="B53" s="96" t="s">
        <v>267</v>
      </c>
      <c r="D53" s="263">
        <v>0.07</v>
      </c>
      <c r="E53" s="263">
        <v>0.05</v>
      </c>
      <c r="F53" s="263">
        <v>0.03</v>
      </c>
      <c r="G53" s="263">
        <v>0.07</v>
      </c>
      <c r="H53" s="263">
        <v>0.07</v>
      </c>
      <c r="I53" s="263">
        <v>0.07</v>
      </c>
      <c r="J53" s="263">
        <v>0.03</v>
      </c>
      <c r="K53" s="263">
        <v>0.03</v>
      </c>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row>
    <row r="54" s="203" customFormat="1" spans="1:48">
      <c r="A54" s="140"/>
      <c r="B54" s="96" t="s">
        <v>268</v>
      </c>
      <c r="D54" s="265">
        <f t="shared" ref="D54:L54" si="7">SUM(D42:D53)</f>
        <v>1</v>
      </c>
      <c r="E54" s="265">
        <f t="shared" si="7"/>
        <v>1</v>
      </c>
      <c r="F54" s="265">
        <f t="shared" si="7"/>
        <v>1</v>
      </c>
      <c r="G54" s="265">
        <f t="shared" si="7"/>
        <v>1</v>
      </c>
      <c r="H54" s="265">
        <f t="shared" si="7"/>
        <v>1</v>
      </c>
      <c r="I54" s="265">
        <f t="shared" si="7"/>
        <v>1</v>
      </c>
      <c r="J54" s="265">
        <f t="shared" si="7"/>
        <v>1</v>
      </c>
      <c r="K54" s="265">
        <f t="shared" si="7"/>
        <v>1</v>
      </c>
      <c r="L54" s="265">
        <f t="shared" si="7"/>
        <v>0</v>
      </c>
      <c r="M54" s="140"/>
      <c r="N54" s="140"/>
      <c r="O54" s="140"/>
      <c r="P54" s="140"/>
      <c r="Q54" s="140"/>
      <c r="R54" s="140"/>
      <c r="S54" s="140"/>
      <c r="T54" s="140"/>
      <c r="U54" s="140"/>
      <c r="V54" s="140"/>
      <c r="W54" s="140"/>
      <c r="AG54" s="140"/>
      <c r="AH54" s="140"/>
      <c r="AI54" s="140"/>
      <c r="AJ54" s="140"/>
      <c r="AK54" s="140"/>
      <c r="AL54" s="140"/>
      <c r="AM54" s="140"/>
      <c r="AN54" s="140"/>
      <c r="AO54" s="140"/>
      <c r="AP54" s="140"/>
      <c r="AQ54" s="140"/>
      <c r="AR54" s="140"/>
      <c r="AS54" s="140"/>
      <c r="AT54" s="140"/>
      <c r="AU54" s="140"/>
      <c r="AV54" s="140"/>
    </row>
    <row r="55" s="203" customFormat="1" spans="1:48">
      <c r="A55" s="140"/>
      <c r="B55" s="96"/>
      <c r="D55" s="266" t="s">
        <v>269</v>
      </c>
      <c r="E55" s="267"/>
      <c r="F55" s="267"/>
      <c r="G55" s="267"/>
      <c r="H55" s="267"/>
      <c r="I55" s="267"/>
      <c r="J55" s="267"/>
      <c r="K55" s="267"/>
      <c r="L55" s="267"/>
      <c r="M55" s="140"/>
      <c r="N55" s="140"/>
      <c r="O55" s="140"/>
      <c r="P55" s="140"/>
      <c r="Q55" s="140"/>
      <c r="R55" s="140"/>
      <c r="S55" s="140"/>
      <c r="T55" s="140"/>
      <c r="U55" s="140"/>
      <c r="V55" s="140"/>
      <c r="W55" s="140"/>
      <c r="AG55" s="140"/>
      <c r="AH55" s="140"/>
      <c r="AI55" s="140"/>
      <c r="AJ55" s="140"/>
      <c r="AK55" s="140"/>
      <c r="AL55" s="140"/>
      <c r="AM55" s="140"/>
      <c r="AN55" s="140"/>
      <c r="AO55" s="140"/>
      <c r="AP55" s="140"/>
      <c r="AQ55" s="140"/>
      <c r="AR55" s="140"/>
      <c r="AS55" s="140"/>
      <c r="AT55" s="140"/>
      <c r="AU55" s="140"/>
      <c r="AV55" s="140"/>
    </row>
    <row r="56" s="203" customFormat="1" spans="1:48">
      <c r="A56" s="258"/>
      <c r="B56" s="262" t="s">
        <v>256</v>
      </c>
      <c r="D56" s="268">
        <f t="shared" ref="D56:L56" si="8">D68*D42</f>
        <v>442.26480824064</v>
      </c>
      <c r="E56" s="268">
        <f t="shared" si="8"/>
        <v>663.39721236096</v>
      </c>
      <c r="F56" s="268">
        <f t="shared" si="8"/>
        <v>180.92651246208</v>
      </c>
      <c r="G56" s="268">
        <f t="shared" si="8"/>
        <v>1155.9193851744</v>
      </c>
      <c r="H56" s="268">
        <f t="shared" si="8"/>
        <v>1155.9193851744</v>
      </c>
      <c r="I56" s="268">
        <f t="shared" si="8"/>
        <v>1155.9193851744</v>
      </c>
      <c r="J56" s="268">
        <f t="shared" si="8"/>
        <v>2213.9691656544</v>
      </c>
      <c r="K56" s="268">
        <f t="shared" si="8"/>
        <v>2705.9623135776</v>
      </c>
      <c r="L56" s="268">
        <f t="shared" si="8"/>
        <v>0</v>
      </c>
      <c r="M56" s="140"/>
      <c r="N56" s="140"/>
      <c r="O56" s="140"/>
      <c r="P56" s="140"/>
      <c r="Q56" s="140"/>
      <c r="R56" s="140"/>
      <c r="S56" s="140"/>
      <c r="T56" s="140"/>
      <c r="U56" s="140"/>
      <c r="V56" s="140"/>
      <c r="W56" s="140"/>
      <c r="AG56" s="140"/>
      <c r="AH56" s="140"/>
      <c r="AI56" s="140"/>
      <c r="AJ56" s="140"/>
      <c r="AK56" s="140"/>
      <c r="AL56" s="140"/>
      <c r="AM56" s="140"/>
      <c r="AN56" s="140"/>
      <c r="AO56" s="140"/>
      <c r="AP56" s="140"/>
      <c r="AQ56" s="140"/>
      <c r="AR56" s="140"/>
      <c r="AS56" s="140"/>
      <c r="AT56" s="140"/>
      <c r="AU56" s="140"/>
      <c r="AV56" s="140"/>
    </row>
    <row r="57" s="203" customFormat="1" spans="1:48">
      <c r="A57" s="258"/>
      <c r="B57" s="262" t="s">
        <v>257</v>
      </c>
      <c r="D57" s="268">
        <f t="shared" ref="D57:L57" si="9">D68*D43</f>
        <v>442.26480824064</v>
      </c>
      <c r="E57" s="268">
        <f t="shared" si="9"/>
        <v>552.8310103008</v>
      </c>
      <c r="F57" s="268">
        <f t="shared" si="9"/>
        <v>271.38976869312</v>
      </c>
      <c r="G57" s="268">
        <f t="shared" si="9"/>
        <v>1155.9193851744</v>
      </c>
      <c r="H57" s="268">
        <f t="shared" si="9"/>
        <v>1155.9193851744</v>
      </c>
      <c r="I57" s="268">
        <f t="shared" si="9"/>
        <v>1155.9193851744</v>
      </c>
      <c r="J57" s="268">
        <f t="shared" si="9"/>
        <v>2213.9691656544</v>
      </c>
      <c r="K57" s="268">
        <f t="shared" si="9"/>
        <v>2705.9623135776</v>
      </c>
      <c r="L57" s="268">
        <f t="shared" si="9"/>
        <v>0</v>
      </c>
      <c r="M57" s="140"/>
      <c r="N57" s="140"/>
      <c r="O57" s="140"/>
      <c r="P57" s="140"/>
      <c r="Q57" s="140"/>
      <c r="R57" s="140"/>
      <c r="S57" s="140"/>
      <c r="T57" s="140"/>
      <c r="U57" s="140"/>
      <c r="V57" s="140"/>
      <c r="W57" s="140"/>
      <c r="AG57" s="140"/>
      <c r="AH57" s="140"/>
      <c r="AI57" s="140"/>
      <c r="AJ57" s="140"/>
      <c r="AK57" s="140"/>
      <c r="AL57" s="140"/>
      <c r="AM57" s="140"/>
      <c r="AN57" s="140"/>
      <c r="AO57" s="140"/>
      <c r="AP57" s="140"/>
      <c r="AQ57" s="140"/>
      <c r="AR57" s="140"/>
      <c r="AS57" s="140"/>
      <c r="AT57" s="140"/>
      <c r="AU57" s="140"/>
      <c r="AV57" s="140"/>
    </row>
    <row r="58" s="203" customFormat="1" spans="1:48">
      <c r="A58" s="258"/>
      <c r="B58" s="96" t="s">
        <v>258</v>
      </c>
      <c r="D58" s="268">
        <f t="shared" ref="D58:L58" si="10">D68*D44</f>
        <v>442.26480824064</v>
      </c>
      <c r="E58" s="268">
        <f t="shared" si="10"/>
        <v>663.39721236096</v>
      </c>
      <c r="F58" s="268">
        <f t="shared" si="10"/>
        <v>271.38976869312</v>
      </c>
      <c r="G58" s="268">
        <f t="shared" si="10"/>
        <v>1387.10326220928</v>
      </c>
      <c r="H58" s="268">
        <f t="shared" si="10"/>
        <v>1387.10326220928</v>
      </c>
      <c r="I58" s="268">
        <f t="shared" si="10"/>
        <v>1387.10326220928</v>
      </c>
      <c r="J58" s="268">
        <f t="shared" si="10"/>
        <v>2213.9691656544</v>
      </c>
      <c r="K58" s="268">
        <f t="shared" si="10"/>
        <v>2705.9623135776</v>
      </c>
      <c r="L58" s="268">
        <f t="shared" si="10"/>
        <v>0</v>
      </c>
      <c r="M58" s="140"/>
      <c r="N58" s="140"/>
      <c r="O58" s="140"/>
      <c r="P58" s="140"/>
      <c r="Q58" s="140"/>
      <c r="R58" s="140"/>
      <c r="S58" s="140"/>
      <c r="T58" s="140"/>
      <c r="U58" s="140"/>
      <c r="V58" s="140"/>
      <c r="W58" s="140"/>
      <c r="AG58" s="140"/>
      <c r="AH58" s="140"/>
      <c r="AI58" s="140"/>
      <c r="AJ58" s="140"/>
      <c r="AK58" s="140"/>
      <c r="AL58" s="140"/>
      <c r="AM58" s="140"/>
      <c r="AN58" s="140"/>
      <c r="AO58" s="140"/>
      <c r="AP58" s="140"/>
      <c r="AQ58" s="140"/>
      <c r="AR58" s="140"/>
      <c r="AS58" s="140"/>
      <c r="AT58" s="140"/>
      <c r="AU58" s="140"/>
      <c r="AV58" s="140"/>
    </row>
    <row r="59" s="203" customFormat="1" spans="1:21">
      <c r="A59" s="269"/>
      <c r="B59" s="96" t="s">
        <v>259</v>
      </c>
      <c r="D59" s="268">
        <f t="shared" ref="D59:L59" si="11">D68*D45</f>
        <v>442.26480824064</v>
      </c>
      <c r="E59" s="268">
        <f t="shared" si="11"/>
        <v>663.39721236096</v>
      </c>
      <c r="F59" s="268">
        <f t="shared" si="11"/>
        <v>361.85302492416</v>
      </c>
      <c r="G59" s="268">
        <f t="shared" si="11"/>
        <v>1618.28713924416</v>
      </c>
      <c r="H59" s="268">
        <f t="shared" si="11"/>
        <v>1618.28713924416</v>
      </c>
      <c r="I59" s="268">
        <f t="shared" si="11"/>
        <v>1618.28713924416</v>
      </c>
      <c r="J59" s="268">
        <f t="shared" si="11"/>
        <v>8117.8869407328</v>
      </c>
      <c r="K59" s="268">
        <f t="shared" si="11"/>
        <v>9921.8618164512</v>
      </c>
      <c r="L59" s="268">
        <f t="shared" si="11"/>
        <v>0</v>
      </c>
      <c r="M59" s="140"/>
      <c r="N59" s="140"/>
      <c r="O59" s="140"/>
      <c r="P59" s="140"/>
      <c r="Q59" s="140"/>
      <c r="R59" s="140"/>
      <c r="S59" s="140"/>
      <c r="T59" s="140"/>
      <c r="U59" s="140"/>
    </row>
    <row r="60" s="203" customFormat="1" spans="1:21">
      <c r="A60" s="258"/>
      <c r="B60" s="96" t="s">
        <v>260</v>
      </c>
      <c r="D60" s="268">
        <f t="shared" ref="D60:L60" si="12">D68*D46</f>
        <v>1326.79442472192</v>
      </c>
      <c r="E60" s="268">
        <f t="shared" si="12"/>
        <v>1216.22822266176</v>
      </c>
      <c r="F60" s="268">
        <f t="shared" si="12"/>
        <v>995.09581854144</v>
      </c>
      <c r="G60" s="268">
        <f t="shared" si="12"/>
        <v>1849.47101627904</v>
      </c>
      <c r="H60" s="268">
        <f t="shared" si="12"/>
        <v>1849.47101627904</v>
      </c>
      <c r="I60" s="268">
        <f t="shared" si="12"/>
        <v>1849.47101627904</v>
      </c>
      <c r="J60" s="268">
        <f t="shared" si="12"/>
        <v>8117.8869407328</v>
      </c>
      <c r="K60" s="268">
        <f t="shared" si="12"/>
        <v>9921.8618164512</v>
      </c>
      <c r="L60" s="268">
        <f t="shared" si="12"/>
        <v>0</v>
      </c>
      <c r="M60" s="140"/>
      <c r="N60" s="140"/>
      <c r="O60" s="140"/>
      <c r="P60" s="140"/>
      <c r="Q60" s="140"/>
      <c r="R60" s="140"/>
      <c r="S60" s="140"/>
      <c r="T60" s="140"/>
      <c r="U60" s="140"/>
    </row>
    <row r="61" s="203" customFormat="1" spans="1:21">
      <c r="A61" s="258"/>
      <c r="B61" s="96" t="s">
        <v>261</v>
      </c>
      <c r="D61" s="268">
        <f t="shared" ref="D61:L61" si="13">D68*D47</f>
        <v>1326.79442472192</v>
      </c>
      <c r="E61" s="268">
        <f t="shared" si="13"/>
        <v>1216.22822266176</v>
      </c>
      <c r="F61" s="268">
        <f t="shared" si="13"/>
        <v>1085.55907477248</v>
      </c>
      <c r="G61" s="268">
        <f t="shared" si="13"/>
        <v>2311.8387703488</v>
      </c>
      <c r="H61" s="268">
        <f t="shared" si="13"/>
        <v>2311.8387703488</v>
      </c>
      <c r="I61" s="268">
        <f t="shared" si="13"/>
        <v>2311.8387703488</v>
      </c>
      <c r="J61" s="268">
        <f t="shared" si="13"/>
        <v>10331.8561063872</v>
      </c>
      <c r="K61" s="268">
        <f t="shared" si="13"/>
        <v>12627.8241300288</v>
      </c>
      <c r="L61" s="268">
        <f t="shared" si="13"/>
        <v>0</v>
      </c>
      <c r="M61" s="140"/>
      <c r="N61" s="140"/>
      <c r="O61" s="140"/>
      <c r="P61" s="140"/>
      <c r="Q61" s="140"/>
      <c r="R61" s="140"/>
      <c r="S61" s="140"/>
      <c r="T61" s="140"/>
      <c r="U61" s="140"/>
    </row>
    <row r="62" s="203" customFormat="1" spans="1:21">
      <c r="A62" s="258"/>
      <c r="B62" s="96" t="s">
        <v>262</v>
      </c>
      <c r="D62" s="268">
        <f t="shared" ref="D62:L62" si="14">D68*D48</f>
        <v>1326.79442472192</v>
      </c>
      <c r="E62" s="268">
        <f t="shared" si="14"/>
        <v>1216.22822266176</v>
      </c>
      <c r="F62" s="268">
        <f t="shared" si="14"/>
        <v>1085.55907477248</v>
      </c>
      <c r="G62" s="268">
        <f t="shared" si="14"/>
        <v>2311.8387703488</v>
      </c>
      <c r="H62" s="268">
        <f t="shared" si="14"/>
        <v>2311.8387703488</v>
      </c>
      <c r="I62" s="268">
        <f t="shared" si="14"/>
        <v>2311.8387703488</v>
      </c>
      <c r="J62" s="268">
        <f t="shared" si="14"/>
        <v>10331.8561063872</v>
      </c>
      <c r="K62" s="268">
        <f t="shared" si="14"/>
        <v>12627.8241300288</v>
      </c>
      <c r="L62" s="268">
        <f t="shared" si="14"/>
        <v>0</v>
      </c>
      <c r="M62" s="140"/>
      <c r="N62" s="140"/>
      <c r="O62" s="140"/>
      <c r="P62" s="140"/>
      <c r="Q62" s="140"/>
      <c r="R62" s="140"/>
      <c r="S62" s="140"/>
      <c r="T62" s="140"/>
      <c r="U62" s="140"/>
    </row>
    <row r="63" s="203" customFormat="1" spans="1:21">
      <c r="A63" s="258"/>
      <c r="B63" s="96" t="s">
        <v>263</v>
      </c>
      <c r="D63" s="268">
        <f t="shared" ref="D63:L63" si="15">D68*D49</f>
        <v>1326.79442472192</v>
      </c>
      <c r="E63" s="268">
        <f t="shared" si="15"/>
        <v>1216.22822266176</v>
      </c>
      <c r="F63" s="268">
        <f t="shared" si="15"/>
        <v>1085.55907477248</v>
      </c>
      <c r="G63" s="268">
        <f t="shared" si="15"/>
        <v>2774.20652441856</v>
      </c>
      <c r="H63" s="268">
        <f t="shared" si="15"/>
        <v>2774.20652441856</v>
      </c>
      <c r="I63" s="268">
        <f t="shared" si="15"/>
        <v>2774.20652441856</v>
      </c>
      <c r="J63" s="268">
        <f t="shared" si="15"/>
        <v>8855.8766626176</v>
      </c>
      <c r="K63" s="268">
        <f t="shared" si="15"/>
        <v>10823.8492543104</v>
      </c>
      <c r="L63" s="268">
        <f t="shared" si="15"/>
        <v>0</v>
      </c>
      <c r="M63" s="140"/>
      <c r="N63" s="140"/>
      <c r="O63" s="140"/>
      <c r="P63" s="140"/>
      <c r="Q63" s="140"/>
      <c r="R63" s="140"/>
      <c r="S63" s="140"/>
      <c r="T63" s="140"/>
      <c r="U63" s="140"/>
    </row>
    <row r="64" s="203" customFormat="1" spans="1:21">
      <c r="A64" s="258"/>
      <c r="B64" s="96" t="s">
        <v>264</v>
      </c>
      <c r="D64" s="268">
        <f t="shared" ref="D64:L64" si="16">D68*D50</f>
        <v>1326.79442472192</v>
      </c>
      <c r="E64" s="268">
        <f t="shared" si="16"/>
        <v>1216.22822266176</v>
      </c>
      <c r="F64" s="268">
        <f t="shared" si="16"/>
        <v>1085.55907477248</v>
      </c>
      <c r="G64" s="268">
        <f t="shared" si="16"/>
        <v>2774.20652441856</v>
      </c>
      <c r="H64" s="268">
        <f t="shared" si="16"/>
        <v>2774.20652441856</v>
      </c>
      <c r="I64" s="268">
        <f t="shared" si="16"/>
        <v>2774.20652441856</v>
      </c>
      <c r="J64" s="268">
        <f t="shared" si="16"/>
        <v>8855.8766626176</v>
      </c>
      <c r="K64" s="268">
        <f t="shared" si="16"/>
        <v>10823.8492543104</v>
      </c>
      <c r="L64" s="268">
        <f t="shared" si="16"/>
        <v>0</v>
      </c>
      <c r="M64" s="140"/>
      <c r="N64" s="140"/>
      <c r="O64" s="140"/>
      <c r="P64" s="140"/>
      <c r="Q64" s="140"/>
      <c r="R64" s="140"/>
      <c r="S64" s="140"/>
      <c r="T64" s="140"/>
      <c r="U64" s="140"/>
    </row>
    <row r="65" s="203" customFormat="1" spans="1:21">
      <c r="A65" s="258"/>
      <c r="B65" s="96" t="s">
        <v>265</v>
      </c>
      <c r="D65" s="268">
        <f t="shared" ref="D65:L65" si="17">D68*D51</f>
        <v>1105.6620206016</v>
      </c>
      <c r="E65" s="268">
        <f t="shared" si="17"/>
        <v>1216.22822266176</v>
      </c>
      <c r="F65" s="268">
        <f t="shared" si="17"/>
        <v>995.09581854144</v>
      </c>
      <c r="G65" s="268">
        <f t="shared" si="17"/>
        <v>2543.02264738368</v>
      </c>
      <c r="H65" s="268">
        <f t="shared" si="17"/>
        <v>2543.02264738368</v>
      </c>
      <c r="I65" s="268">
        <f t="shared" si="17"/>
        <v>2543.02264738368</v>
      </c>
      <c r="J65" s="268">
        <f t="shared" si="17"/>
        <v>8117.8869407328</v>
      </c>
      <c r="K65" s="268">
        <f t="shared" si="17"/>
        <v>9921.8618164512</v>
      </c>
      <c r="L65" s="268">
        <f t="shared" si="17"/>
        <v>0</v>
      </c>
      <c r="M65" s="140"/>
      <c r="N65" s="140"/>
      <c r="O65" s="140"/>
      <c r="P65" s="140"/>
      <c r="Q65" s="140"/>
      <c r="R65" s="140"/>
      <c r="S65" s="140"/>
      <c r="T65" s="140"/>
      <c r="U65" s="140"/>
    </row>
    <row r="66" s="203" customFormat="1" spans="1:21">
      <c r="A66" s="258"/>
      <c r="B66" s="96" t="s">
        <v>266</v>
      </c>
      <c r="D66" s="268">
        <f t="shared" ref="D66:L66" si="18">D68*D52</f>
        <v>773.96341442112</v>
      </c>
      <c r="E66" s="268">
        <f t="shared" si="18"/>
        <v>663.39721236096</v>
      </c>
      <c r="F66" s="268">
        <f t="shared" si="18"/>
        <v>1356.9488434656</v>
      </c>
      <c r="G66" s="268">
        <f t="shared" si="18"/>
        <v>1618.28713924416</v>
      </c>
      <c r="H66" s="268">
        <f t="shared" si="18"/>
        <v>1618.28713924416</v>
      </c>
      <c r="I66" s="268">
        <f t="shared" si="18"/>
        <v>1618.28713924416</v>
      </c>
      <c r="J66" s="268">
        <f t="shared" si="18"/>
        <v>2213.9691656544</v>
      </c>
      <c r="K66" s="268">
        <f t="shared" si="18"/>
        <v>2705.9623135776</v>
      </c>
      <c r="L66" s="268">
        <f t="shared" si="18"/>
        <v>0</v>
      </c>
      <c r="M66" s="140"/>
      <c r="N66" s="140"/>
      <c r="O66" s="140"/>
      <c r="P66" s="140"/>
      <c r="Q66" s="140"/>
      <c r="R66" s="140"/>
      <c r="S66" s="140"/>
      <c r="T66" s="140"/>
      <c r="U66" s="140"/>
    </row>
    <row r="67" s="203" customFormat="1" spans="1:21">
      <c r="A67" s="258"/>
      <c r="B67" s="96" t="s">
        <v>267</v>
      </c>
      <c r="D67" s="268">
        <f t="shared" ref="D67:L67" si="19">D68*D53</f>
        <v>773.96341442112</v>
      </c>
      <c r="E67" s="268">
        <f t="shared" si="19"/>
        <v>552.8310103008</v>
      </c>
      <c r="F67" s="268">
        <f t="shared" si="19"/>
        <v>271.38976869312</v>
      </c>
      <c r="G67" s="268">
        <f t="shared" si="19"/>
        <v>1618.28713924416</v>
      </c>
      <c r="H67" s="268">
        <f t="shared" si="19"/>
        <v>1618.28713924416</v>
      </c>
      <c r="I67" s="268">
        <f t="shared" si="19"/>
        <v>1618.28713924416</v>
      </c>
      <c r="J67" s="268">
        <f t="shared" si="19"/>
        <v>2213.9691656544</v>
      </c>
      <c r="K67" s="268">
        <f t="shared" si="19"/>
        <v>2705.9623135776</v>
      </c>
      <c r="L67" s="268">
        <f t="shared" si="19"/>
        <v>0</v>
      </c>
      <c r="M67" s="140"/>
      <c r="N67" s="140"/>
      <c r="O67" s="140"/>
      <c r="P67" s="140"/>
      <c r="Q67" s="140"/>
      <c r="R67" s="140"/>
      <c r="S67" s="140"/>
      <c r="T67" s="140"/>
      <c r="U67" s="140"/>
    </row>
    <row r="68" s="203" customFormat="1" spans="1:21">
      <c r="A68" s="258"/>
      <c r="B68" s="96" t="s">
        <v>268</v>
      </c>
      <c r="D68" s="268">
        <f t="shared" ref="D68:L68" si="20">VLOOKUP(D39,TargetedMSo,IF(D40="[retail]",4,6),FALSE)</f>
        <v>11056.620206016</v>
      </c>
      <c r="E68" s="268">
        <f t="shared" si="20"/>
        <v>11056.620206016</v>
      </c>
      <c r="F68" s="268">
        <f t="shared" si="20"/>
        <v>9046.325623104</v>
      </c>
      <c r="G68" s="268">
        <f t="shared" si="20"/>
        <v>23118.387703488</v>
      </c>
      <c r="H68" s="268">
        <f t="shared" si="20"/>
        <v>23118.387703488</v>
      </c>
      <c r="I68" s="268">
        <f t="shared" si="20"/>
        <v>23118.387703488</v>
      </c>
      <c r="J68" s="268">
        <f t="shared" si="20"/>
        <v>73798.97218848</v>
      </c>
      <c r="K68" s="268">
        <f t="shared" si="20"/>
        <v>90198.74378592</v>
      </c>
      <c r="L68" s="268">
        <f t="shared" si="20"/>
        <v>0</v>
      </c>
      <c r="M68" s="140"/>
      <c r="N68" s="140"/>
      <c r="O68" s="140"/>
      <c r="P68" s="140"/>
      <c r="Q68" s="140"/>
      <c r="R68" s="140"/>
      <c r="S68" s="140"/>
      <c r="T68" s="140"/>
      <c r="U68" s="140"/>
    </row>
    <row r="69" s="140" customFormat="1" spans="1:12">
      <c r="A69" s="258"/>
      <c r="B69" s="262" t="s">
        <v>270</v>
      </c>
      <c r="D69" s="293" t="str">
        <f t="shared" ref="D69:L69" si="21">IF(D40="[wholesale]",D68/capacity,"")</f>
        <v/>
      </c>
      <c r="E69" s="293" t="str">
        <f t="shared" si="21"/>
        <v/>
      </c>
      <c r="F69" s="293" t="str">
        <f t="shared" si="21"/>
        <v/>
      </c>
      <c r="G69" s="293" t="str">
        <f t="shared" si="21"/>
        <v/>
      </c>
      <c r="H69" s="293" t="str">
        <f t="shared" si="21"/>
        <v/>
      </c>
      <c r="I69" s="293" t="str">
        <f t="shared" si="21"/>
        <v/>
      </c>
      <c r="J69" s="293">
        <f t="shared" si="21"/>
        <v>59.515300152</v>
      </c>
      <c r="K69" s="293">
        <f t="shared" si="21"/>
        <v>72.740922408</v>
      </c>
      <c r="L69" s="293" t="str">
        <f t="shared" si="21"/>
        <v/>
      </c>
    </row>
    <row r="70" s="204" customFormat="1" spans="1:19">
      <c r="A70" s="294"/>
      <c r="B70" s="295"/>
      <c r="C70" s="296" t="s">
        <v>142</v>
      </c>
      <c r="D70" s="266" t="s">
        <v>271</v>
      </c>
      <c r="E70" s="266"/>
      <c r="F70" s="266"/>
      <c r="G70" s="266"/>
      <c r="H70" s="266"/>
      <c r="I70" s="266"/>
      <c r="J70" s="266"/>
      <c r="K70" s="266"/>
      <c r="L70" s="266"/>
      <c r="O70" s="267"/>
      <c r="R70" s="267"/>
      <c r="S70" s="267"/>
    </row>
    <row r="71" s="140" customFormat="1" spans="1:19">
      <c r="A71" s="261"/>
      <c r="B71" s="262" t="s">
        <v>256</v>
      </c>
      <c r="C71" s="297">
        <f>SUM(D71:Z71)</f>
        <v>7</v>
      </c>
      <c r="D71" s="281">
        <f>ProductionFY1o(1,D39,VLOOKUP(D39,ProductsRangeOper,3,FALSE),D56)</f>
        <v>0.333001394144593</v>
      </c>
      <c r="E71" s="281">
        <f>ProductionFY1o(1,E39,VLOOKUP(E39,ProductsRangeOper,3,FALSE),E56)</f>
        <v>0.393782383419689</v>
      </c>
      <c r="F71" s="281">
        <f>ProductionFY1o(1,F39,VLOOKUP(F39,ProductsRangeOper,3,FALSE),F56)</f>
        <v>0</v>
      </c>
      <c r="G71" s="281">
        <f>ProductionFY1o(1,G39,VLOOKUP(G39,ProductsRangeOper,3,FALSE),G56)</f>
        <v>1</v>
      </c>
      <c r="H71" s="281">
        <f>ProductionFY1o(1,H39,VLOOKUP(H39,ProductsRangeOper,3,FALSE),H56)</f>
        <v>1</v>
      </c>
      <c r="I71" s="281">
        <f>ProductionFY1o(1,I39,VLOOKUP(I39,ProductsRangeOper,3,FALSE),I56)</f>
        <v>1</v>
      </c>
      <c r="J71" s="281">
        <f>ProductionFY1o(1,J39,VLOOKUP(J39,ProductsRangeOper,3,FALSE),J56)</f>
        <v>1.66699860585541</v>
      </c>
      <c r="K71" s="281">
        <f>ProductionFY1o(1,K39,VLOOKUP(K39,ProductsRangeOper,3,FALSE),K56)</f>
        <v>1.60621761658031</v>
      </c>
      <c r="L71" s="281">
        <f>ProductionFY1o(1,L39,VLOOKUP(L39,ProductsRangeOper,3,FALSE),L56)</f>
        <v>0</v>
      </c>
      <c r="M71" s="306"/>
      <c r="N71" s="307"/>
      <c r="O71" s="308"/>
      <c r="R71" s="308"/>
      <c r="S71" s="308"/>
    </row>
    <row r="72" s="140" customFormat="1" spans="1:19">
      <c r="A72" s="264"/>
      <c r="B72" s="262" t="s">
        <v>257</v>
      </c>
      <c r="C72" s="297">
        <f t="shared" ref="C72:C82" si="22">SUM(D72:Z72)</f>
        <v>7</v>
      </c>
      <c r="D72" s="281">
        <f>ProductionFY1o(2,D39,VLOOKUP(D39,ProductsRangeOper,3,FALSE),D57)</f>
        <v>0.333001394144593</v>
      </c>
      <c r="E72" s="281">
        <f>ProductionFY1o(2,E39,VLOOKUP(E39,ProductsRangeOper,3,FALSE),E57)</f>
        <v>0.339285714285714</v>
      </c>
      <c r="F72" s="281">
        <f>ProductionFY1o(2,F39,VLOOKUP(F39,ProductsRangeOper,3,FALSE),F57)</f>
        <v>0</v>
      </c>
      <c r="G72" s="281">
        <f>ProductionFY1o(2,G39,VLOOKUP(G39,ProductsRangeOper,3,FALSE),G57)</f>
        <v>1</v>
      </c>
      <c r="H72" s="281">
        <f>ProductionFY1o(2,H39,VLOOKUP(H39,ProductsRangeOper,3,FALSE),H57)</f>
        <v>1</v>
      </c>
      <c r="I72" s="281">
        <f>ProductionFY1o(2,I39,VLOOKUP(I39,ProductsRangeOper,3,FALSE),I57)</f>
        <v>1</v>
      </c>
      <c r="J72" s="281">
        <f>ProductionFY1o(2,J39,VLOOKUP(J39,ProductsRangeOper,3,FALSE),J57)</f>
        <v>1.66699860585541</v>
      </c>
      <c r="K72" s="281">
        <f>ProductionFY1o(2,K39,VLOOKUP(K39,ProductsRangeOper,3,FALSE),K57)</f>
        <v>1.66071428571429</v>
      </c>
      <c r="L72" s="281">
        <f>ProductionFY1o(2,L39,VLOOKUP(L39,ProductsRangeOper,3,FALSE),L57)</f>
        <v>0</v>
      </c>
      <c r="M72" s="261"/>
      <c r="O72" s="308"/>
      <c r="R72" s="308"/>
      <c r="S72" s="308"/>
    </row>
    <row r="73" s="140" customFormat="1" spans="1:19">
      <c r="A73" s="203"/>
      <c r="B73" s="96" t="s">
        <v>258</v>
      </c>
      <c r="C73" s="297">
        <f t="shared" si="22"/>
        <v>7</v>
      </c>
      <c r="D73" s="281">
        <f>ProductionFY1o(3,D39,VLOOKUP(D39,ProductsRangeOper,3,FALSE),D58)</f>
        <v>0.333001394144593</v>
      </c>
      <c r="E73" s="281">
        <f>ProductionFY1o(3,E39,VLOOKUP(E39,ProductsRangeOper,3,FALSE),E58)</f>
        <v>0.393782383419689</v>
      </c>
      <c r="F73" s="281">
        <f>ProductionFY1o(3,F39,VLOOKUP(F39,ProductsRangeOper,3,FALSE),F58)</f>
        <v>0</v>
      </c>
      <c r="G73" s="281">
        <f>ProductionFY1o(3,G39,VLOOKUP(G39,ProductsRangeOper,3,FALSE),G58)</f>
        <v>1</v>
      </c>
      <c r="H73" s="281">
        <f>ProductionFY1o(3,H39,VLOOKUP(H39,ProductsRangeOper,3,FALSE),H58)</f>
        <v>1</v>
      </c>
      <c r="I73" s="281">
        <f>ProductionFY1o(3,I39,VLOOKUP(I39,ProductsRangeOper,3,FALSE),I58)</f>
        <v>1</v>
      </c>
      <c r="J73" s="281">
        <f>ProductionFY1o(3,J39,VLOOKUP(J39,ProductsRangeOper,3,FALSE),J58)</f>
        <v>1.66699860585541</v>
      </c>
      <c r="K73" s="281">
        <f>ProductionFY1o(3,K39,VLOOKUP(K39,ProductsRangeOper,3,FALSE),K58)</f>
        <v>1.60621761658031</v>
      </c>
      <c r="L73" s="281">
        <f>ProductionFY1o(3,L39,VLOOKUP(L39,ProductsRangeOper,3,FALSE),L58)</f>
        <v>0</v>
      </c>
      <c r="M73" s="261"/>
      <c r="O73" s="308"/>
      <c r="R73" s="308"/>
      <c r="S73" s="308"/>
    </row>
    <row r="74" s="140" customFormat="1" spans="1:19">
      <c r="A74" s="203"/>
      <c r="B74" s="96" t="s">
        <v>259</v>
      </c>
      <c r="C74" s="297">
        <f t="shared" si="22"/>
        <v>18</v>
      </c>
      <c r="D74" s="281">
        <f>ProductionFY1o(4,D39,VLOOKUP(D39,ProductsRangeOper,3,FALSE),D59)</f>
        <v>0.361658735554045</v>
      </c>
      <c r="E74" s="281">
        <f>ProductionFY1o(4,E39,VLOOKUP(E39,ProductsRangeOper,3,FALSE),E59)</f>
        <v>0.501374381528312</v>
      </c>
      <c r="F74" s="281">
        <f>ProductionFY1o(4,F39,VLOOKUP(F39,ProductsRangeOper,3,FALSE),F59)</f>
        <v>0</v>
      </c>
      <c r="G74" s="281">
        <f>ProductionFY1o(4,G39,VLOOKUP(G39,ProductsRangeOper,3,FALSE),G59)</f>
        <v>1</v>
      </c>
      <c r="H74" s="281">
        <f>ProductionFY1o(4,H39,VLOOKUP(H39,ProductsRangeOper,3,FALSE),H59)</f>
        <v>1</v>
      </c>
      <c r="I74" s="281">
        <f>ProductionFY1o(4,I39,VLOOKUP(I39,ProductsRangeOper,3,FALSE),I59)</f>
        <v>1</v>
      </c>
      <c r="J74" s="281">
        <f>ProductionFY1o(4,J39,VLOOKUP(J39,ProductsRangeOper,3,FALSE),J59)</f>
        <v>6.63834126444595</v>
      </c>
      <c r="K74" s="281">
        <f>ProductionFY1o(4,K39,VLOOKUP(K39,ProductsRangeOper,3,FALSE),K59)</f>
        <v>7.49862561847169</v>
      </c>
      <c r="L74" s="281">
        <f>ProductionFY1o(4,L39,VLOOKUP(L39,ProductsRangeOper,3,FALSE),L59)</f>
        <v>0</v>
      </c>
      <c r="M74" s="261"/>
      <c r="O74" s="308"/>
      <c r="R74" s="308"/>
      <c r="S74" s="308"/>
    </row>
    <row r="75" s="140" customFormat="1" spans="1:19">
      <c r="A75" s="203"/>
      <c r="B75" s="96" t="s">
        <v>260</v>
      </c>
      <c r="C75" s="297">
        <f t="shared" si="22"/>
        <v>20</v>
      </c>
      <c r="D75" s="281">
        <f>ProductionFY1o(5,D39,VLOOKUP(D39,ProductsRangeOper,3,FALSE),D60)</f>
        <v>0.983364140480591</v>
      </c>
      <c r="E75" s="281">
        <f>ProductionFY1o(5,E39,VLOOKUP(E39,ProductsRangeOper,3,FALSE),E60)</f>
        <v>0.982758620689655</v>
      </c>
      <c r="F75" s="281">
        <f>ProductionFY1o(5,F39,VLOOKUP(F39,ProductsRangeOper,3,FALSE),F60)</f>
        <v>1</v>
      </c>
      <c r="G75" s="281">
        <f>ProductionFY1o(5,G39,VLOOKUP(G39,ProductsRangeOper,3,FALSE),G60)</f>
        <v>1</v>
      </c>
      <c r="H75" s="281">
        <f>ProductionFY1o(5,H39,VLOOKUP(H39,ProductsRangeOper,3,FALSE),H60)</f>
        <v>1</v>
      </c>
      <c r="I75" s="281">
        <f>ProductionFY1o(5,I39,VLOOKUP(I39,ProductsRangeOper,3,FALSE),I60)</f>
        <v>1</v>
      </c>
      <c r="J75" s="281">
        <f>ProductionFY1o(5,J39,VLOOKUP(J39,ProductsRangeOper,3,FALSE),J60)</f>
        <v>6.01663585951941</v>
      </c>
      <c r="K75" s="281">
        <f>ProductionFY1o(5,K39,VLOOKUP(K39,ProductsRangeOper,3,FALSE),K60)</f>
        <v>8.01724137931035</v>
      </c>
      <c r="L75" s="281">
        <f>ProductionFY1o(5,L39,VLOOKUP(L39,ProductsRangeOper,3,FALSE),L60)</f>
        <v>0</v>
      </c>
      <c r="M75" s="261"/>
      <c r="O75" s="308"/>
      <c r="R75" s="308"/>
      <c r="S75" s="308"/>
    </row>
    <row r="76" s="140" customFormat="1" spans="2:19">
      <c r="B76" s="96" t="s">
        <v>261</v>
      </c>
      <c r="C76" s="297">
        <f t="shared" si="22"/>
        <v>27</v>
      </c>
      <c r="D76" s="281">
        <f>ProductionFY1o(6,D39,VLOOKUP(D39,ProductsRangeOper,3,FALSE),D61)</f>
        <v>1.024230873945</v>
      </c>
      <c r="E76" s="281">
        <f>ProductionFY1o(6,E39,VLOOKUP(E39,ProductsRangeOper,3,FALSE),E61)</f>
        <v>0.966372425388819</v>
      </c>
      <c r="F76" s="281">
        <f>ProductionFY1o(6,F39,VLOOKUP(F39,ProductsRangeOper,3,FALSE),F61)</f>
        <v>1</v>
      </c>
      <c r="G76" s="281">
        <f>ProductionFY1o(6,G39,VLOOKUP(G39,ProductsRangeOper,3,FALSE),G61)</f>
        <v>2</v>
      </c>
      <c r="H76" s="281">
        <f>ProductionFY1o(6,H39,VLOOKUP(H39,ProductsRangeOper,3,FALSE),H61)</f>
        <v>2</v>
      </c>
      <c r="I76" s="281">
        <f>ProductionFY1o(6,I39,VLOOKUP(I39,ProductsRangeOper,3,FALSE),I61)</f>
        <v>2</v>
      </c>
      <c r="J76" s="281">
        <f>ProductionFY1o(6,J39,VLOOKUP(J39,ProductsRangeOper,3,FALSE),J61)</f>
        <v>7.975769126055</v>
      </c>
      <c r="K76" s="281">
        <f>ProductionFY1o(6,K39,VLOOKUP(K39,ProductsRangeOper,3,FALSE),K61)</f>
        <v>10.0336275746112</v>
      </c>
      <c r="L76" s="281">
        <f>ProductionFY1o(6,L39,VLOOKUP(L39,ProductsRangeOper,3,FALSE),L61)</f>
        <v>0</v>
      </c>
      <c r="M76" s="261"/>
      <c r="O76" s="308"/>
      <c r="R76" s="308"/>
      <c r="S76" s="308"/>
    </row>
    <row r="77" s="140" customFormat="1" spans="2:19">
      <c r="B77" s="96" t="s">
        <v>262</v>
      </c>
      <c r="C77" s="297">
        <f t="shared" si="22"/>
        <v>27</v>
      </c>
      <c r="D77" s="281">
        <f>ProductionFY1o(7,D39,VLOOKUP(D39,ProductsRangeOper,3,FALSE),D62)</f>
        <v>1.024230873945</v>
      </c>
      <c r="E77" s="281">
        <f>ProductionFY1o(7,E39,VLOOKUP(E39,ProductsRangeOper,3,FALSE),E62)</f>
        <v>0.966372425388819</v>
      </c>
      <c r="F77" s="281">
        <f>ProductionFY1o(7,F39,VLOOKUP(F39,ProductsRangeOper,3,FALSE),F62)</f>
        <v>1</v>
      </c>
      <c r="G77" s="281">
        <f>ProductionFY1o(7,G39,VLOOKUP(G39,ProductsRangeOper,3,FALSE),G62)</f>
        <v>2</v>
      </c>
      <c r="H77" s="281">
        <f>ProductionFY1o(7,H39,VLOOKUP(H39,ProductsRangeOper,3,FALSE),H62)</f>
        <v>2</v>
      </c>
      <c r="I77" s="281">
        <f>ProductionFY1o(7,I39,VLOOKUP(I39,ProductsRangeOper,3,FALSE),I62)</f>
        <v>2</v>
      </c>
      <c r="J77" s="281">
        <f>ProductionFY1o(7,J39,VLOOKUP(J39,ProductsRangeOper,3,FALSE),J62)</f>
        <v>7.975769126055</v>
      </c>
      <c r="K77" s="281">
        <f>ProductionFY1o(7,K39,VLOOKUP(K39,ProductsRangeOper,3,FALSE),K62)</f>
        <v>10.0336275746112</v>
      </c>
      <c r="L77" s="281">
        <f>ProductionFY1o(7,L39,VLOOKUP(L39,ProductsRangeOper,3,FALSE),L62)</f>
        <v>0</v>
      </c>
      <c r="M77" s="261"/>
      <c r="O77" s="308"/>
      <c r="R77" s="308"/>
      <c r="S77" s="308"/>
    </row>
    <row r="78" s="140" customFormat="1" spans="2:19">
      <c r="B78" s="96" t="s">
        <v>263</v>
      </c>
      <c r="C78" s="297">
        <f t="shared" si="22"/>
        <v>24</v>
      </c>
      <c r="D78" s="281">
        <f>ProductionFY1o(8,D39,VLOOKUP(D39,ProductsRangeOper,3,FALSE),D63)</f>
        <v>1.04239401496259</v>
      </c>
      <c r="E78" s="281">
        <f>ProductionFY1o(8,E39,VLOOKUP(E39,ProductsRangeOper,3,FALSE),E63)</f>
        <v>0.909134847752538</v>
      </c>
      <c r="F78" s="281">
        <f>ProductionFY1o(8,F39,VLOOKUP(F39,ProductsRangeOper,3,FALSE),F63)</f>
        <v>1</v>
      </c>
      <c r="G78" s="281">
        <f>ProductionFY1o(8,G39,VLOOKUP(G39,ProductsRangeOper,3,FALSE),G63)</f>
        <v>2</v>
      </c>
      <c r="H78" s="281">
        <f>ProductionFY1o(8,H39,VLOOKUP(H39,ProductsRangeOper,3,FALSE),H63)</f>
        <v>2</v>
      </c>
      <c r="I78" s="281">
        <f>ProductionFY1o(8,I39,VLOOKUP(I39,ProductsRangeOper,3,FALSE),I63)</f>
        <v>2</v>
      </c>
      <c r="J78" s="281">
        <f>ProductionFY1o(8,J39,VLOOKUP(J39,ProductsRangeOper,3,FALSE),J63)</f>
        <v>6.95760598503741</v>
      </c>
      <c r="K78" s="281">
        <f>ProductionFY1o(8,K39,VLOOKUP(K39,ProductsRangeOper,3,FALSE),K63)</f>
        <v>8.09086515224746</v>
      </c>
      <c r="L78" s="281">
        <f>ProductionFY1o(8,L39,VLOOKUP(L39,ProductsRangeOper,3,FALSE),L63)</f>
        <v>0</v>
      </c>
      <c r="M78" s="261"/>
      <c r="O78" s="308"/>
      <c r="R78" s="308"/>
      <c r="S78" s="308"/>
    </row>
    <row r="79" s="140" customFormat="1" spans="2:19">
      <c r="B79" s="96" t="s">
        <v>264</v>
      </c>
      <c r="C79" s="297">
        <f t="shared" si="22"/>
        <v>24</v>
      </c>
      <c r="D79" s="281">
        <f>ProductionFY1o(9,D39,VLOOKUP(D39,ProductsRangeOper,3,FALSE),D64)</f>
        <v>1.04239401496259</v>
      </c>
      <c r="E79" s="281">
        <f>ProductionFY1o(9,E39,VLOOKUP(E39,ProductsRangeOper,3,FALSE),E64)</f>
        <v>0.909134847752538</v>
      </c>
      <c r="F79" s="281">
        <f>ProductionFY1o(9,F39,VLOOKUP(F39,ProductsRangeOper,3,FALSE),F64)</f>
        <v>1</v>
      </c>
      <c r="G79" s="281">
        <f>ProductionFY1o(9,G39,VLOOKUP(G39,ProductsRangeOper,3,FALSE),G64)</f>
        <v>2</v>
      </c>
      <c r="H79" s="281">
        <f>ProductionFY1o(9,H39,VLOOKUP(H39,ProductsRangeOper,3,FALSE),H64)</f>
        <v>2</v>
      </c>
      <c r="I79" s="281">
        <f>ProductionFY1o(9,I39,VLOOKUP(I39,ProductsRangeOper,3,FALSE),I64)</f>
        <v>2</v>
      </c>
      <c r="J79" s="281">
        <f>ProductionFY1o(9,J39,VLOOKUP(J39,ProductsRangeOper,3,FALSE),J64)</f>
        <v>6.95760598503741</v>
      </c>
      <c r="K79" s="281">
        <f>ProductionFY1o(9,K39,VLOOKUP(K39,ProductsRangeOper,3,FALSE),K64)</f>
        <v>8.09086515224746</v>
      </c>
      <c r="L79" s="281">
        <f>ProductionFY1o(9,L39,VLOOKUP(L39,ProductsRangeOper,3,FALSE),L64)</f>
        <v>0</v>
      </c>
      <c r="M79" s="261"/>
      <c r="O79" s="308"/>
      <c r="R79" s="308"/>
      <c r="S79" s="308"/>
    </row>
    <row r="80" s="140" customFormat="1" spans="2:19">
      <c r="B80" s="96" t="s">
        <v>265</v>
      </c>
      <c r="C80" s="297">
        <f t="shared" si="22"/>
        <v>23</v>
      </c>
      <c r="D80" s="281">
        <f>ProductionFY1o(10,D39,VLOOKUP(D39,ProductsRangeOper,3,FALSE),D65)</f>
        <v>0.839116719242902</v>
      </c>
      <c r="E80" s="281">
        <f>ProductionFY1o(10,E39,VLOOKUP(E39,ProductsRangeOper,3,FALSE),E65)</f>
        <v>0.982758620689655</v>
      </c>
      <c r="F80" s="281">
        <f>ProductionFY1o(10,F39,VLOOKUP(F39,ProductsRangeOper,3,FALSE),F65)</f>
        <v>1</v>
      </c>
      <c r="G80" s="281">
        <f>ProductionFY1o(10,G39,VLOOKUP(G39,ProductsRangeOper,3,FALSE),G65)</f>
        <v>2</v>
      </c>
      <c r="H80" s="281">
        <f>ProductionFY1o(10,H39,VLOOKUP(H39,ProductsRangeOper,3,FALSE),H65)</f>
        <v>2</v>
      </c>
      <c r="I80" s="281">
        <f>ProductionFY1o(10,I39,VLOOKUP(I39,ProductsRangeOper,3,FALSE),I65)</f>
        <v>2</v>
      </c>
      <c r="J80" s="281">
        <f>ProductionFY1o(10,J39,VLOOKUP(J39,ProductsRangeOper,3,FALSE),J65)</f>
        <v>6.1608832807571</v>
      </c>
      <c r="K80" s="281">
        <f>ProductionFY1o(10,K39,VLOOKUP(K39,ProductsRangeOper,3,FALSE),K65)</f>
        <v>8.01724137931035</v>
      </c>
      <c r="L80" s="281">
        <f>ProductionFY1o(10,L39,VLOOKUP(L39,ProductsRangeOper,3,FALSE),L65)</f>
        <v>0</v>
      </c>
      <c r="M80" s="261"/>
      <c r="O80" s="308"/>
      <c r="R80" s="308"/>
      <c r="S80" s="308"/>
    </row>
    <row r="81" s="140" customFormat="1" spans="2:19">
      <c r="B81" s="96" t="s">
        <v>266</v>
      </c>
      <c r="C81" s="297">
        <f t="shared" si="22"/>
        <v>8</v>
      </c>
      <c r="D81" s="281">
        <f>ProductionFY1o(11,D39,VLOOKUP(D39,ProductsRangeOper,3,FALSE),D66)</f>
        <v>0.518059490084986</v>
      </c>
      <c r="E81" s="281">
        <f>ProductionFY1o(11,E39,VLOOKUP(E39,ProductsRangeOper,3,FALSE),E66)</f>
        <v>0.393782383419689</v>
      </c>
      <c r="F81" s="281">
        <f>ProductionFY1o(11,F39,VLOOKUP(F39,ProductsRangeOper,3,FALSE),F66)</f>
        <v>1</v>
      </c>
      <c r="G81" s="281">
        <f>ProductionFY1o(11,G39,VLOOKUP(G39,ProductsRangeOper,3,FALSE),G66)</f>
        <v>1</v>
      </c>
      <c r="H81" s="281">
        <f>ProductionFY1o(11,H39,VLOOKUP(H39,ProductsRangeOper,3,FALSE),H66)</f>
        <v>1</v>
      </c>
      <c r="I81" s="281">
        <f>ProductionFY1o(11,I39,VLOOKUP(I39,ProductsRangeOper,3,FALSE),I66)</f>
        <v>1</v>
      </c>
      <c r="J81" s="281">
        <f>ProductionFY1o(11,J39,VLOOKUP(J39,ProductsRangeOper,3,FALSE),J66)</f>
        <v>1.48194050991501</v>
      </c>
      <c r="K81" s="281">
        <f>ProductionFY1o(11,K39,VLOOKUP(K39,ProductsRangeOper,3,FALSE),K66)</f>
        <v>1.60621761658031</v>
      </c>
      <c r="L81" s="281">
        <f>ProductionFY1o(11,L39,VLOOKUP(L39,ProductsRangeOper,3,FALSE),L66)</f>
        <v>0</v>
      </c>
      <c r="M81" s="261"/>
      <c r="O81" s="308"/>
      <c r="R81" s="308"/>
      <c r="S81" s="308"/>
    </row>
    <row r="82" s="140" customFormat="1" spans="2:19">
      <c r="B82" s="96" t="s">
        <v>267</v>
      </c>
      <c r="C82" s="297">
        <f t="shared" si="22"/>
        <v>7</v>
      </c>
      <c r="D82" s="281">
        <f>ProductionFY1o(12,D39,VLOOKUP(D39,ProductsRangeOper,3,FALSE),D67)</f>
        <v>0.518059490084986</v>
      </c>
      <c r="E82" s="281">
        <f>ProductionFY1o(12,E39,VLOOKUP(E39,ProductsRangeOper,3,FALSE),E67)</f>
        <v>0.339285714285714</v>
      </c>
      <c r="F82" s="281">
        <f>ProductionFY1o(12,F39,VLOOKUP(F39,ProductsRangeOper,3,FALSE),F67)</f>
        <v>0</v>
      </c>
      <c r="G82" s="281">
        <f>ProductionFY1o(12,G39,VLOOKUP(G39,ProductsRangeOper,3,FALSE),G67)</f>
        <v>1</v>
      </c>
      <c r="H82" s="281">
        <f>ProductionFY1o(12,H39,VLOOKUP(H39,ProductsRangeOper,3,FALSE),H67)</f>
        <v>1</v>
      </c>
      <c r="I82" s="281">
        <f>ProductionFY1o(12,I39,VLOOKUP(I39,ProductsRangeOper,3,FALSE),I67)</f>
        <v>1</v>
      </c>
      <c r="J82" s="281">
        <f>ProductionFY1o(12,J39,VLOOKUP(J39,ProductsRangeOper,3,FALSE),J67)</f>
        <v>1.48194050991501</v>
      </c>
      <c r="K82" s="281">
        <f>ProductionFY1o(12,K39,VLOOKUP(K39,ProductsRangeOper,3,FALSE),K67)</f>
        <v>1.66071428571429</v>
      </c>
      <c r="L82" s="281">
        <f>ProductionFY1o(12,L39,VLOOKUP(L39,ProductsRangeOper,3,FALSE),L67)</f>
        <v>0</v>
      </c>
      <c r="M82" s="261"/>
      <c r="O82" s="308"/>
      <c r="R82" s="308"/>
      <c r="S82" s="308"/>
    </row>
    <row r="83" s="140" customFormat="1" spans="1:19">
      <c r="A83" s="298" t="s">
        <v>272</v>
      </c>
      <c r="B83" s="203"/>
      <c r="C83" s="262" t="s">
        <v>117</v>
      </c>
      <c r="D83" s="299">
        <f t="shared" ref="D83:I83" si="23">SUM(D56:D67)</f>
        <v>11056.620206016</v>
      </c>
      <c r="E83" s="300">
        <f t="shared" si="23"/>
        <v>11056.620206016</v>
      </c>
      <c r="F83" s="300">
        <f t="shared" si="23"/>
        <v>9046.325623104</v>
      </c>
      <c r="G83" s="300">
        <f t="shared" si="23"/>
        <v>23118.387703488</v>
      </c>
      <c r="H83" s="300">
        <f t="shared" si="23"/>
        <v>23118.387703488</v>
      </c>
      <c r="I83" s="300">
        <f t="shared" si="23"/>
        <v>23118.387703488</v>
      </c>
      <c r="J83" s="309">
        <f>J68</f>
        <v>73798.97218848</v>
      </c>
      <c r="K83" s="309">
        <f>K68</f>
        <v>90198.74378592</v>
      </c>
      <c r="L83" s="309">
        <f>L68</f>
        <v>0</v>
      </c>
      <c r="O83" s="308"/>
      <c r="R83" s="308"/>
      <c r="S83" s="308"/>
    </row>
    <row r="84" s="140" customFormat="1" spans="1:19">
      <c r="A84" s="298" t="s">
        <v>273</v>
      </c>
      <c r="B84" s="203"/>
      <c r="C84" s="262" t="s">
        <v>117</v>
      </c>
      <c r="D84" s="299">
        <f t="shared" ref="D84:L84" si="24">SUM(D71:D82)*capacity</f>
        <v>10357.1155442636</v>
      </c>
      <c r="E84" s="299">
        <f t="shared" si="24"/>
        <v>10016.5026875458</v>
      </c>
      <c r="F84" s="299">
        <f t="shared" si="24"/>
        <v>8680</v>
      </c>
      <c r="G84" s="299">
        <f t="shared" si="24"/>
        <v>21080</v>
      </c>
      <c r="H84" s="299">
        <f t="shared" si="24"/>
        <v>21080</v>
      </c>
      <c r="I84" s="299">
        <f t="shared" si="24"/>
        <v>21080</v>
      </c>
      <c r="J84" s="299">
        <f t="shared" si="24"/>
        <v>70242.8844557363</v>
      </c>
      <c r="K84" s="299">
        <f t="shared" si="24"/>
        <v>84223.4973124542</v>
      </c>
      <c r="L84" s="299">
        <f t="shared" si="24"/>
        <v>0</v>
      </c>
      <c r="O84" s="308"/>
      <c r="R84" s="308"/>
      <c r="S84" s="308"/>
    </row>
    <row r="85" s="140" customFormat="1" spans="1:19">
      <c r="A85" s="298" t="s">
        <v>274</v>
      </c>
      <c r="B85" s="203"/>
      <c r="C85" s="262" t="s">
        <v>117</v>
      </c>
      <c r="D85" s="299">
        <f t="shared" ref="D85:L85" si="25">D83-D84</f>
        <v>699.504661752362</v>
      </c>
      <c r="E85" s="300">
        <f t="shared" si="25"/>
        <v>1040.11751847018</v>
      </c>
      <c r="F85" s="300">
        <f t="shared" si="25"/>
        <v>366.325623104</v>
      </c>
      <c r="G85" s="300">
        <f t="shared" si="25"/>
        <v>2038.38770348801</v>
      </c>
      <c r="H85" s="300">
        <f t="shared" si="25"/>
        <v>2038.38770348801</v>
      </c>
      <c r="I85" s="300">
        <f t="shared" si="25"/>
        <v>2038.38770348801</v>
      </c>
      <c r="J85" s="300">
        <f t="shared" si="25"/>
        <v>3556.08773274366</v>
      </c>
      <c r="K85" s="300">
        <f t="shared" si="25"/>
        <v>5975.24647346584</v>
      </c>
      <c r="L85" s="300">
        <f t="shared" si="25"/>
        <v>0</v>
      </c>
      <c r="O85" s="308"/>
      <c r="R85" s="308"/>
      <c r="S85" s="308"/>
    </row>
    <row r="86" s="202" customFormat="1" spans="1:48">
      <c r="A86" s="258"/>
      <c r="B86" s="259" t="s">
        <v>104</v>
      </c>
      <c r="C86" s="259"/>
      <c r="D86" s="301" t="s">
        <v>255</v>
      </c>
      <c r="E86" s="301"/>
      <c r="F86" s="301"/>
      <c r="G86" s="301"/>
      <c r="H86" s="301"/>
      <c r="I86" s="301"/>
      <c r="J86" s="301"/>
      <c r="K86" s="301"/>
      <c r="L86" s="301"/>
      <c r="M86" s="140"/>
      <c r="N86" s="140"/>
      <c r="O86" s="140"/>
      <c r="P86" s="140"/>
      <c r="Q86" s="140"/>
      <c r="R86" s="140"/>
      <c r="S86" s="140"/>
      <c r="T86" s="140"/>
      <c r="U86" s="140"/>
      <c r="V86" s="140"/>
      <c r="W86" s="140"/>
      <c r="AG86" s="140"/>
      <c r="AH86" s="140"/>
      <c r="AI86" s="140"/>
      <c r="AJ86" s="140"/>
      <c r="AK86" s="140"/>
      <c r="AL86" s="140"/>
      <c r="AM86" s="140"/>
      <c r="AN86" s="140"/>
      <c r="AO86" s="140"/>
      <c r="AP86" s="140"/>
      <c r="AQ86" s="140"/>
      <c r="AR86" s="140"/>
      <c r="AS86" s="140"/>
      <c r="AT86" s="140"/>
      <c r="AU86" s="140"/>
      <c r="AV86" s="140"/>
    </row>
    <row r="87" s="202" customFormat="1" spans="1:48">
      <c r="A87" s="261"/>
      <c r="B87" s="262" t="s">
        <v>256</v>
      </c>
      <c r="C87" s="203"/>
      <c r="D87" s="263">
        <v>0.04</v>
      </c>
      <c r="E87" s="263">
        <v>0.06</v>
      </c>
      <c r="F87" s="263">
        <v>0.02</v>
      </c>
      <c r="G87" s="263">
        <v>0.05</v>
      </c>
      <c r="H87" s="263">
        <v>0.05</v>
      </c>
      <c r="I87" s="263">
        <v>0.05</v>
      </c>
      <c r="J87" s="263">
        <v>0.03</v>
      </c>
      <c r="K87" s="263">
        <v>0.03</v>
      </c>
      <c r="L87" s="140"/>
      <c r="M87" s="140"/>
      <c r="N87" s="140"/>
      <c r="O87" s="140"/>
      <c r="P87" s="140"/>
      <c r="Q87" s="140"/>
      <c r="R87" s="140"/>
      <c r="S87" s="140"/>
      <c r="T87" s="140"/>
      <c r="U87" s="140"/>
      <c r="V87" s="140"/>
      <c r="W87" s="140"/>
      <c r="AG87" s="140"/>
      <c r="AH87" s="140"/>
      <c r="AI87" s="140"/>
      <c r="AJ87" s="140"/>
      <c r="AK87" s="140"/>
      <c r="AL87" s="140"/>
      <c r="AM87" s="140"/>
      <c r="AN87" s="140"/>
      <c r="AO87" s="140"/>
      <c r="AP87" s="140"/>
      <c r="AQ87" s="140"/>
      <c r="AR87" s="140"/>
      <c r="AS87" s="140"/>
      <c r="AT87" s="140"/>
      <c r="AU87" s="140"/>
      <c r="AV87" s="140"/>
    </row>
    <row r="88" s="202" customFormat="1" spans="1:48">
      <c r="A88" s="264"/>
      <c r="B88" s="262" t="s">
        <v>257</v>
      </c>
      <c r="C88" s="203"/>
      <c r="D88" s="263">
        <v>0.04</v>
      </c>
      <c r="E88" s="263">
        <v>0.05</v>
      </c>
      <c r="F88" s="263">
        <v>0.03</v>
      </c>
      <c r="G88" s="263">
        <v>0.05</v>
      </c>
      <c r="H88" s="263">
        <v>0.05</v>
      </c>
      <c r="I88" s="263">
        <v>0.05</v>
      </c>
      <c r="J88" s="263">
        <v>0.03</v>
      </c>
      <c r="K88" s="263">
        <v>0.03</v>
      </c>
      <c r="L88" s="140"/>
      <c r="M88" s="140"/>
      <c r="N88" s="140"/>
      <c r="O88" s="140"/>
      <c r="P88" s="140"/>
      <c r="Q88" s="140"/>
      <c r="R88" s="140"/>
      <c r="S88" s="140"/>
      <c r="T88" s="140"/>
      <c r="U88" s="140"/>
      <c r="V88" s="140"/>
      <c r="W88" s="140"/>
      <c r="AG88" s="140"/>
      <c r="AH88" s="140"/>
      <c r="AI88" s="140"/>
      <c r="AJ88" s="140"/>
      <c r="AK88" s="140"/>
      <c r="AL88" s="140"/>
      <c r="AM88" s="140"/>
      <c r="AN88" s="140"/>
      <c r="AO88" s="140"/>
      <c r="AP88" s="140"/>
      <c r="AQ88" s="140"/>
      <c r="AR88" s="140"/>
      <c r="AS88" s="140"/>
      <c r="AT88" s="140"/>
      <c r="AU88" s="140"/>
      <c r="AV88" s="140"/>
    </row>
    <row r="89" s="202" customFormat="1" spans="1:48">
      <c r="A89" s="203"/>
      <c r="B89" s="96" t="s">
        <v>258</v>
      </c>
      <c r="C89" s="203"/>
      <c r="D89" s="263">
        <v>0.04</v>
      </c>
      <c r="E89" s="263">
        <v>0.06</v>
      </c>
      <c r="F89" s="263">
        <v>0.03</v>
      </c>
      <c r="G89" s="263">
        <v>0.06</v>
      </c>
      <c r="H89" s="263">
        <v>0.06</v>
      </c>
      <c r="I89" s="263">
        <v>0.06</v>
      </c>
      <c r="J89" s="263">
        <v>0.03</v>
      </c>
      <c r="K89" s="263">
        <v>0.03</v>
      </c>
      <c r="L89" s="140"/>
      <c r="M89" s="140"/>
      <c r="N89" s="140"/>
      <c r="O89" s="140"/>
      <c r="P89" s="140"/>
      <c r="Q89" s="140"/>
      <c r="R89" s="140"/>
      <c r="S89" s="140"/>
      <c r="T89" s="140"/>
      <c r="U89" s="140"/>
      <c r="V89" s="140"/>
      <c r="W89" s="140"/>
      <c r="AG89" s="140"/>
      <c r="AH89" s="140"/>
      <c r="AI89" s="140"/>
      <c r="AJ89" s="140"/>
      <c r="AK89" s="140"/>
      <c r="AL89" s="140"/>
      <c r="AM89" s="140"/>
      <c r="AN89" s="140"/>
      <c r="AO89" s="140"/>
      <c r="AP89" s="140"/>
      <c r="AQ89" s="140"/>
      <c r="AR89" s="140"/>
      <c r="AS89" s="140"/>
      <c r="AT89" s="140"/>
      <c r="AU89" s="140"/>
      <c r="AV89" s="140"/>
    </row>
    <row r="90" s="203" customFormat="1" spans="2:48">
      <c r="B90" s="96" t="s">
        <v>259</v>
      </c>
      <c r="D90" s="263">
        <v>0.04</v>
      </c>
      <c r="E90" s="263">
        <v>0.06</v>
      </c>
      <c r="F90" s="263">
        <v>0.04</v>
      </c>
      <c r="G90" s="263">
        <v>0.07</v>
      </c>
      <c r="H90" s="263">
        <v>0.07</v>
      </c>
      <c r="I90" s="263">
        <v>0.07</v>
      </c>
      <c r="J90" s="263">
        <v>0.11</v>
      </c>
      <c r="K90" s="263">
        <v>0.11</v>
      </c>
      <c r="L90" s="140"/>
      <c r="M90" s="140"/>
      <c r="N90" s="140"/>
      <c r="O90" s="140"/>
      <c r="P90" s="140"/>
      <c r="Q90" s="140"/>
      <c r="R90" s="140"/>
      <c r="S90" s="140"/>
      <c r="T90" s="140"/>
      <c r="U90" s="140"/>
      <c r="V90" s="140"/>
      <c r="W90" s="140"/>
      <c r="AG90" s="140"/>
      <c r="AH90" s="140"/>
      <c r="AI90" s="140"/>
      <c r="AJ90" s="140"/>
      <c r="AK90" s="140"/>
      <c r="AL90" s="140"/>
      <c r="AM90" s="140"/>
      <c r="AN90" s="140"/>
      <c r="AO90" s="140"/>
      <c r="AP90" s="140"/>
      <c r="AQ90" s="140"/>
      <c r="AR90" s="140"/>
      <c r="AS90" s="140"/>
      <c r="AT90" s="140"/>
      <c r="AU90" s="140"/>
      <c r="AV90" s="140"/>
    </row>
    <row r="91" s="203" customFormat="1" spans="2:48">
      <c r="B91" s="96" t="s">
        <v>260</v>
      </c>
      <c r="D91" s="263">
        <v>0.12</v>
      </c>
      <c r="E91" s="263">
        <v>0.11</v>
      </c>
      <c r="F91" s="263">
        <v>0.11</v>
      </c>
      <c r="G91" s="263">
        <v>0.08</v>
      </c>
      <c r="H91" s="263">
        <v>0.08</v>
      </c>
      <c r="I91" s="263">
        <v>0.08</v>
      </c>
      <c r="J91" s="263">
        <v>0.11</v>
      </c>
      <c r="K91" s="263">
        <v>0.11</v>
      </c>
      <c r="L91" s="140"/>
      <c r="M91" s="140"/>
      <c r="N91" s="140"/>
      <c r="O91" s="140"/>
      <c r="P91" s="140"/>
      <c r="Q91" s="140"/>
      <c r="R91" s="140"/>
      <c r="S91" s="140"/>
      <c r="T91" s="140"/>
      <c r="U91" s="140"/>
      <c r="V91" s="140"/>
      <c r="W91" s="140"/>
      <c r="AG91" s="140"/>
      <c r="AH91" s="140"/>
      <c r="AI91" s="140"/>
      <c r="AJ91" s="140"/>
      <c r="AK91" s="140"/>
      <c r="AL91" s="140"/>
      <c r="AM91" s="140"/>
      <c r="AN91" s="140"/>
      <c r="AO91" s="140"/>
      <c r="AP91" s="140"/>
      <c r="AQ91" s="140"/>
      <c r="AR91" s="140"/>
      <c r="AS91" s="140"/>
      <c r="AT91" s="140"/>
      <c r="AU91" s="140"/>
      <c r="AV91" s="140"/>
    </row>
    <row r="92" s="203" customFormat="1" spans="1:48">
      <c r="A92" s="140"/>
      <c r="B92" s="96" t="s">
        <v>261</v>
      </c>
      <c r="D92" s="263">
        <v>0.12</v>
      </c>
      <c r="E92" s="263">
        <v>0.11</v>
      </c>
      <c r="F92" s="263">
        <v>0.12</v>
      </c>
      <c r="G92" s="263">
        <v>0.1</v>
      </c>
      <c r="H92" s="263">
        <v>0.1</v>
      </c>
      <c r="I92" s="263">
        <v>0.1</v>
      </c>
      <c r="J92" s="263">
        <v>0.14</v>
      </c>
      <c r="K92" s="263">
        <v>0.14</v>
      </c>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row>
    <row r="93" s="203" customFormat="1" spans="1:48">
      <c r="A93" s="140"/>
      <c r="B93" s="96" t="s">
        <v>262</v>
      </c>
      <c r="D93" s="263">
        <v>0.12</v>
      </c>
      <c r="E93" s="263">
        <v>0.11</v>
      </c>
      <c r="F93" s="263">
        <v>0.12</v>
      </c>
      <c r="G93" s="263">
        <v>0.1</v>
      </c>
      <c r="H93" s="263">
        <v>0.1</v>
      </c>
      <c r="I93" s="263">
        <v>0.1</v>
      </c>
      <c r="J93" s="263">
        <v>0.14</v>
      </c>
      <c r="K93" s="263">
        <v>0.14</v>
      </c>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row>
    <row r="94" s="203" customFormat="1" spans="1:48">
      <c r="A94" s="140"/>
      <c r="B94" s="96" t="s">
        <v>263</v>
      </c>
      <c r="D94" s="263">
        <v>0.12</v>
      </c>
      <c r="E94" s="263">
        <v>0.11</v>
      </c>
      <c r="F94" s="263">
        <v>0.12</v>
      </c>
      <c r="G94" s="263">
        <v>0.12</v>
      </c>
      <c r="H94" s="263">
        <v>0.12</v>
      </c>
      <c r="I94" s="263">
        <v>0.12</v>
      </c>
      <c r="J94" s="263">
        <v>0.12</v>
      </c>
      <c r="K94" s="263">
        <v>0.12</v>
      </c>
      <c r="L94" s="140"/>
      <c r="M94" s="140"/>
      <c r="N94" s="140"/>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row>
    <row r="95" s="203" customFormat="1" spans="1:48">
      <c r="A95" s="140"/>
      <c r="B95" s="96" t="s">
        <v>264</v>
      </c>
      <c r="D95" s="263">
        <v>0.12</v>
      </c>
      <c r="E95" s="263">
        <v>0.11</v>
      </c>
      <c r="F95" s="263">
        <v>0.12</v>
      </c>
      <c r="G95" s="263">
        <v>0.12</v>
      </c>
      <c r="H95" s="263">
        <v>0.12</v>
      </c>
      <c r="I95" s="263">
        <v>0.12</v>
      </c>
      <c r="J95" s="263">
        <v>0.12</v>
      </c>
      <c r="K95" s="263">
        <v>0.12</v>
      </c>
      <c r="L95" s="140"/>
      <c r="M95" s="140"/>
      <c r="N95" s="140"/>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row>
    <row r="96" s="203" customFormat="1" spans="1:48">
      <c r="A96" s="140"/>
      <c r="B96" s="96" t="s">
        <v>265</v>
      </c>
      <c r="D96" s="263">
        <v>0.1</v>
      </c>
      <c r="E96" s="263">
        <v>0.11</v>
      </c>
      <c r="F96" s="263">
        <v>0.11</v>
      </c>
      <c r="G96" s="263">
        <v>0.11</v>
      </c>
      <c r="H96" s="263">
        <v>0.11</v>
      </c>
      <c r="I96" s="263">
        <v>0.11</v>
      </c>
      <c r="J96" s="263">
        <v>0.11</v>
      </c>
      <c r="K96" s="263">
        <v>0.11</v>
      </c>
      <c r="L96" s="140"/>
      <c r="M96" s="140"/>
      <c r="N96" s="140"/>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row>
    <row r="97" s="203" customFormat="1" spans="1:48">
      <c r="A97" s="140"/>
      <c r="B97" s="96" t="s">
        <v>266</v>
      </c>
      <c r="D97" s="263">
        <v>0.07</v>
      </c>
      <c r="E97" s="263">
        <v>0.06</v>
      </c>
      <c r="F97" s="263">
        <v>0.15</v>
      </c>
      <c r="G97" s="263">
        <v>0.07</v>
      </c>
      <c r="H97" s="263">
        <v>0.07</v>
      </c>
      <c r="I97" s="263">
        <v>0.07</v>
      </c>
      <c r="J97" s="263">
        <v>0.03</v>
      </c>
      <c r="K97" s="263">
        <v>0.03</v>
      </c>
      <c r="L97" s="140"/>
      <c r="M97" s="140"/>
      <c r="N97" s="140"/>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row>
    <row r="98" s="203" customFormat="1" spans="1:48">
      <c r="A98" s="140"/>
      <c r="B98" s="96" t="s">
        <v>267</v>
      </c>
      <c r="D98" s="263">
        <v>0.07</v>
      </c>
      <c r="E98" s="263">
        <v>0.05</v>
      </c>
      <c r="F98" s="263">
        <v>0.03</v>
      </c>
      <c r="G98" s="263">
        <v>0.07</v>
      </c>
      <c r="H98" s="263">
        <v>0.07</v>
      </c>
      <c r="I98" s="263">
        <v>0.07</v>
      </c>
      <c r="J98" s="263">
        <v>0.03</v>
      </c>
      <c r="K98" s="263">
        <v>0.03</v>
      </c>
      <c r="L98" s="140"/>
      <c r="M98" s="140"/>
      <c r="N98" s="140"/>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row>
    <row r="99" s="203" customFormat="1" spans="1:48">
      <c r="A99" s="140"/>
      <c r="B99" s="96" t="s">
        <v>268</v>
      </c>
      <c r="D99" s="265">
        <f t="shared" ref="D99:L99" si="26">SUM(D87:D98)</f>
        <v>1</v>
      </c>
      <c r="E99" s="265">
        <f t="shared" si="26"/>
        <v>1</v>
      </c>
      <c r="F99" s="265">
        <f t="shared" si="26"/>
        <v>1</v>
      </c>
      <c r="G99" s="265">
        <f t="shared" si="26"/>
        <v>1</v>
      </c>
      <c r="H99" s="265">
        <f t="shared" si="26"/>
        <v>1</v>
      </c>
      <c r="I99" s="265">
        <f t="shared" si="26"/>
        <v>1</v>
      </c>
      <c r="J99" s="265">
        <f t="shared" si="26"/>
        <v>1</v>
      </c>
      <c r="K99" s="265">
        <f t="shared" si="26"/>
        <v>1</v>
      </c>
      <c r="L99" s="265">
        <f t="shared" si="26"/>
        <v>0</v>
      </c>
      <c r="M99" s="140"/>
      <c r="N99" s="140"/>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row>
    <row r="100" s="203" customFormat="1" spans="1:48">
      <c r="A100" s="140"/>
      <c r="B100" s="96"/>
      <c r="D100" s="266" t="s">
        <v>269</v>
      </c>
      <c r="E100" s="266"/>
      <c r="F100" s="266"/>
      <c r="G100" s="266"/>
      <c r="H100" s="266"/>
      <c r="I100" s="266"/>
      <c r="J100" s="266"/>
      <c r="K100" s="266"/>
      <c r="L100" s="266"/>
      <c r="M100" s="140"/>
      <c r="N100" s="140"/>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row>
    <row r="101" s="140" customFormat="1" spans="1:12">
      <c r="A101" s="258"/>
      <c r="B101" s="262" t="s">
        <v>256</v>
      </c>
      <c r="D101" s="268">
        <f t="shared" ref="D101:L101" si="27">D87*D113</f>
        <v>470.79802167552</v>
      </c>
      <c r="E101" s="268">
        <f t="shared" si="27"/>
        <v>706.19703251328</v>
      </c>
      <c r="F101" s="268">
        <f t="shared" si="27"/>
        <v>192.59919068544</v>
      </c>
      <c r="G101" s="268">
        <f t="shared" si="27"/>
        <v>1230.4948293792</v>
      </c>
      <c r="H101" s="268">
        <f t="shared" si="27"/>
        <v>1230.4948293792</v>
      </c>
      <c r="I101" s="268">
        <f t="shared" si="27"/>
        <v>1230.4948293792</v>
      </c>
      <c r="J101" s="268">
        <f t="shared" si="27"/>
        <v>2513.92627842048</v>
      </c>
      <c r="K101" s="268">
        <f t="shared" si="27"/>
        <v>2723.42013495552</v>
      </c>
      <c r="L101" s="268">
        <f t="shared" si="27"/>
        <v>0</v>
      </c>
    </row>
    <row r="102" s="140" customFormat="1" spans="1:12">
      <c r="A102" s="258"/>
      <c r="B102" s="262" t="s">
        <v>257</v>
      </c>
      <c r="D102" s="268">
        <f t="shared" ref="D102:L102" si="28">D88*D113</f>
        <v>470.79802167552</v>
      </c>
      <c r="E102" s="268">
        <f t="shared" si="28"/>
        <v>588.4975270944</v>
      </c>
      <c r="F102" s="268">
        <f t="shared" si="28"/>
        <v>288.89878602816</v>
      </c>
      <c r="G102" s="268">
        <f t="shared" si="28"/>
        <v>1230.4948293792</v>
      </c>
      <c r="H102" s="268">
        <f t="shared" si="28"/>
        <v>1230.4948293792</v>
      </c>
      <c r="I102" s="268">
        <f t="shared" si="28"/>
        <v>1230.4948293792</v>
      </c>
      <c r="J102" s="268">
        <f t="shared" si="28"/>
        <v>2513.92627842048</v>
      </c>
      <c r="K102" s="268">
        <f t="shared" si="28"/>
        <v>2723.42013495552</v>
      </c>
      <c r="L102" s="268">
        <f t="shared" si="28"/>
        <v>0</v>
      </c>
    </row>
    <row r="103" s="140" customFormat="1" spans="1:12">
      <c r="A103" s="258"/>
      <c r="B103" s="96" t="s">
        <v>258</v>
      </c>
      <c r="D103" s="268">
        <f t="shared" ref="D103:L103" si="29">D89*D113</f>
        <v>470.79802167552</v>
      </c>
      <c r="E103" s="268">
        <f t="shared" si="29"/>
        <v>706.19703251328</v>
      </c>
      <c r="F103" s="268">
        <f t="shared" si="29"/>
        <v>288.89878602816</v>
      </c>
      <c r="G103" s="268">
        <f t="shared" si="29"/>
        <v>1476.59379525504</v>
      </c>
      <c r="H103" s="268">
        <f t="shared" si="29"/>
        <v>1476.59379525504</v>
      </c>
      <c r="I103" s="268">
        <f t="shared" si="29"/>
        <v>1476.59379525504</v>
      </c>
      <c r="J103" s="268">
        <f t="shared" si="29"/>
        <v>2513.92627842048</v>
      </c>
      <c r="K103" s="268">
        <f t="shared" si="29"/>
        <v>2723.42013495552</v>
      </c>
      <c r="L103" s="268">
        <f t="shared" si="29"/>
        <v>0</v>
      </c>
    </row>
    <row r="104" s="140" customFormat="1" spans="1:12">
      <c r="A104" s="258"/>
      <c r="B104" s="96" t="s">
        <v>259</v>
      </c>
      <c r="D104" s="268">
        <f t="shared" ref="D104:L104" si="30">D90*D113</f>
        <v>470.79802167552</v>
      </c>
      <c r="E104" s="268">
        <f t="shared" si="30"/>
        <v>706.19703251328</v>
      </c>
      <c r="F104" s="268">
        <f t="shared" si="30"/>
        <v>385.19838137088</v>
      </c>
      <c r="G104" s="268">
        <f t="shared" si="30"/>
        <v>1722.69276113088</v>
      </c>
      <c r="H104" s="268">
        <f t="shared" si="30"/>
        <v>1722.69276113088</v>
      </c>
      <c r="I104" s="268">
        <f t="shared" si="30"/>
        <v>1722.69276113088</v>
      </c>
      <c r="J104" s="268">
        <f t="shared" si="30"/>
        <v>9217.72968754176</v>
      </c>
      <c r="K104" s="268">
        <f t="shared" si="30"/>
        <v>9985.87382817024</v>
      </c>
      <c r="L104" s="268">
        <f t="shared" si="30"/>
        <v>0</v>
      </c>
    </row>
    <row r="105" s="140" customFormat="1" spans="1:12">
      <c r="A105" s="222"/>
      <c r="B105" s="96" t="s">
        <v>260</v>
      </c>
      <c r="D105" s="268">
        <f t="shared" ref="D105:L105" si="31">D91*D113</f>
        <v>1412.39406502656</v>
      </c>
      <c r="E105" s="268">
        <f t="shared" si="31"/>
        <v>1294.69455960768</v>
      </c>
      <c r="F105" s="268">
        <f t="shared" si="31"/>
        <v>1059.29554876992</v>
      </c>
      <c r="G105" s="268">
        <f t="shared" si="31"/>
        <v>1968.79172700672</v>
      </c>
      <c r="H105" s="268">
        <f t="shared" si="31"/>
        <v>1968.79172700672</v>
      </c>
      <c r="I105" s="268">
        <f t="shared" si="31"/>
        <v>1968.79172700672</v>
      </c>
      <c r="J105" s="268">
        <f t="shared" si="31"/>
        <v>9217.72968754176</v>
      </c>
      <c r="K105" s="268">
        <f t="shared" si="31"/>
        <v>9985.87382817024</v>
      </c>
      <c r="L105" s="268">
        <f t="shared" si="31"/>
        <v>0</v>
      </c>
    </row>
    <row r="106" s="140" customFormat="1" spans="1:12">
      <c r="A106" s="302"/>
      <c r="B106" s="96" t="s">
        <v>261</v>
      </c>
      <c r="D106" s="268">
        <f t="shared" ref="D106:L106" si="32">D92*D113</f>
        <v>1412.39406502656</v>
      </c>
      <c r="E106" s="268">
        <f t="shared" si="32"/>
        <v>1294.69455960768</v>
      </c>
      <c r="F106" s="268">
        <f t="shared" si="32"/>
        <v>1155.59514411264</v>
      </c>
      <c r="G106" s="268">
        <f t="shared" si="32"/>
        <v>2460.9896587584</v>
      </c>
      <c r="H106" s="268">
        <f t="shared" si="32"/>
        <v>2460.9896587584</v>
      </c>
      <c r="I106" s="268">
        <f t="shared" si="32"/>
        <v>2460.9896587584</v>
      </c>
      <c r="J106" s="268">
        <f t="shared" si="32"/>
        <v>11731.6559659622</v>
      </c>
      <c r="K106" s="268">
        <f t="shared" si="32"/>
        <v>12709.2939631258</v>
      </c>
      <c r="L106" s="268">
        <f t="shared" si="32"/>
        <v>0</v>
      </c>
    </row>
    <row r="107" s="140" customFormat="1" spans="1:12">
      <c r="A107" s="302"/>
      <c r="B107" s="96" t="s">
        <v>262</v>
      </c>
      <c r="D107" s="268">
        <f t="shared" ref="D107:L107" si="33">D93*D113</f>
        <v>1412.39406502656</v>
      </c>
      <c r="E107" s="268">
        <f t="shared" si="33"/>
        <v>1294.69455960768</v>
      </c>
      <c r="F107" s="268">
        <f t="shared" si="33"/>
        <v>1155.59514411264</v>
      </c>
      <c r="G107" s="268">
        <f t="shared" si="33"/>
        <v>2460.9896587584</v>
      </c>
      <c r="H107" s="268">
        <f t="shared" si="33"/>
        <v>2460.9896587584</v>
      </c>
      <c r="I107" s="268">
        <f t="shared" si="33"/>
        <v>2460.9896587584</v>
      </c>
      <c r="J107" s="268">
        <f t="shared" si="33"/>
        <v>11731.6559659622</v>
      </c>
      <c r="K107" s="268">
        <f t="shared" si="33"/>
        <v>12709.2939631258</v>
      </c>
      <c r="L107" s="268">
        <f t="shared" si="33"/>
        <v>0</v>
      </c>
    </row>
    <row r="108" s="140" customFormat="1" spans="1:12">
      <c r="A108" s="302"/>
      <c r="B108" s="96" t="s">
        <v>263</v>
      </c>
      <c r="D108" s="268">
        <f t="shared" ref="D108:L108" si="34">D94*D113</f>
        <v>1412.39406502656</v>
      </c>
      <c r="E108" s="268">
        <f t="shared" si="34"/>
        <v>1294.69455960768</v>
      </c>
      <c r="F108" s="268">
        <f t="shared" si="34"/>
        <v>1155.59514411264</v>
      </c>
      <c r="G108" s="268">
        <f t="shared" si="34"/>
        <v>2953.18759051008</v>
      </c>
      <c r="H108" s="268">
        <f t="shared" si="34"/>
        <v>2953.18759051008</v>
      </c>
      <c r="I108" s="268">
        <f t="shared" si="34"/>
        <v>2953.18759051008</v>
      </c>
      <c r="J108" s="268">
        <f t="shared" si="34"/>
        <v>10055.7051136819</v>
      </c>
      <c r="K108" s="268">
        <f t="shared" si="34"/>
        <v>10893.6805398221</v>
      </c>
      <c r="L108" s="268">
        <f t="shared" si="34"/>
        <v>0</v>
      </c>
    </row>
    <row r="109" s="140" customFormat="1" spans="1:12">
      <c r="A109" s="303"/>
      <c r="B109" s="96" t="s">
        <v>264</v>
      </c>
      <c r="D109" s="268">
        <f t="shared" ref="D109:L109" si="35">D95*D113</f>
        <v>1412.39406502656</v>
      </c>
      <c r="E109" s="268">
        <f t="shared" si="35"/>
        <v>1294.69455960768</v>
      </c>
      <c r="F109" s="268">
        <f t="shared" si="35"/>
        <v>1155.59514411264</v>
      </c>
      <c r="G109" s="268">
        <f t="shared" si="35"/>
        <v>2953.18759051008</v>
      </c>
      <c r="H109" s="268">
        <f t="shared" si="35"/>
        <v>2953.18759051008</v>
      </c>
      <c r="I109" s="268">
        <f t="shared" si="35"/>
        <v>2953.18759051008</v>
      </c>
      <c r="J109" s="268">
        <f t="shared" si="35"/>
        <v>10055.7051136819</v>
      </c>
      <c r="K109" s="268">
        <f t="shared" si="35"/>
        <v>10893.6805398221</v>
      </c>
      <c r="L109" s="268">
        <f t="shared" si="35"/>
        <v>0</v>
      </c>
    </row>
    <row r="110" s="140" customFormat="1" spans="1:12">
      <c r="A110" s="303"/>
      <c r="B110" s="96" t="s">
        <v>265</v>
      </c>
      <c r="D110" s="268">
        <f t="shared" ref="D110:L110" si="36">D96*D113</f>
        <v>1176.9950541888</v>
      </c>
      <c r="E110" s="268">
        <f t="shared" si="36"/>
        <v>1294.69455960768</v>
      </c>
      <c r="F110" s="268">
        <f t="shared" si="36"/>
        <v>1059.29554876992</v>
      </c>
      <c r="G110" s="268">
        <f t="shared" si="36"/>
        <v>2707.08862463424</v>
      </c>
      <c r="H110" s="268">
        <f t="shared" si="36"/>
        <v>2707.08862463424</v>
      </c>
      <c r="I110" s="268">
        <f t="shared" si="36"/>
        <v>2707.08862463424</v>
      </c>
      <c r="J110" s="268">
        <f t="shared" si="36"/>
        <v>9217.72968754176</v>
      </c>
      <c r="K110" s="268">
        <f t="shared" si="36"/>
        <v>9985.87382817024</v>
      </c>
      <c r="L110" s="268">
        <f t="shared" si="36"/>
        <v>0</v>
      </c>
    </row>
    <row r="111" s="140" customFormat="1" spans="1:12">
      <c r="A111" s="303"/>
      <c r="B111" s="96" t="s">
        <v>266</v>
      </c>
      <c r="D111" s="268">
        <f t="shared" ref="D111:L111" si="37">D97*D113</f>
        <v>823.89653793216</v>
      </c>
      <c r="E111" s="268">
        <f t="shared" si="37"/>
        <v>706.19703251328</v>
      </c>
      <c r="F111" s="268">
        <f t="shared" si="37"/>
        <v>1444.4939301408</v>
      </c>
      <c r="G111" s="268">
        <f t="shared" si="37"/>
        <v>1722.69276113088</v>
      </c>
      <c r="H111" s="268">
        <f t="shared" si="37"/>
        <v>1722.69276113088</v>
      </c>
      <c r="I111" s="268">
        <f t="shared" si="37"/>
        <v>1722.69276113088</v>
      </c>
      <c r="J111" s="268">
        <f t="shared" si="37"/>
        <v>2513.92627842048</v>
      </c>
      <c r="K111" s="268">
        <f t="shared" si="37"/>
        <v>2723.42013495552</v>
      </c>
      <c r="L111" s="268">
        <f t="shared" si="37"/>
        <v>0</v>
      </c>
    </row>
    <row r="112" s="203" customFormat="1" spans="1:21">
      <c r="A112" s="303"/>
      <c r="B112" s="96" t="s">
        <v>267</v>
      </c>
      <c r="D112" s="268">
        <f t="shared" ref="D112:L112" si="38">D98*D113</f>
        <v>823.89653793216</v>
      </c>
      <c r="E112" s="268">
        <f t="shared" si="38"/>
        <v>588.4975270944</v>
      </c>
      <c r="F112" s="268">
        <f t="shared" si="38"/>
        <v>288.89878602816</v>
      </c>
      <c r="G112" s="268">
        <f t="shared" si="38"/>
        <v>1722.69276113088</v>
      </c>
      <c r="H112" s="268">
        <f t="shared" si="38"/>
        <v>1722.69276113088</v>
      </c>
      <c r="I112" s="268">
        <f t="shared" si="38"/>
        <v>1722.69276113088</v>
      </c>
      <c r="J112" s="268">
        <f t="shared" si="38"/>
        <v>2513.92627842048</v>
      </c>
      <c r="K112" s="268">
        <f t="shared" si="38"/>
        <v>2723.42013495552</v>
      </c>
      <c r="L112" s="268">
        <f t="shared" si="38"/>
        <v>0</v>
      </c>
      <c r="M112" s="140"/>
      <c r="N112" s="140"/>
      <c r="O112" s="140"/>
      <c r="P112" s="140"/>
      <c r="Q112" s="140"/>
      <c r="R112" s="140"/>
      <c r="S112" s="140"/>
      <c r="T112" s="140"/>
      <c r="U112" s="140"/>
    </row>
    <row r="113" s="203" customFormat="1" spans="1:21">
      <c r="A113" s="303"/>
      <c r="B113" s="96" t="s">
        <v>268</v>
      </c>
      <c r="D113" s="268">
        <f t="shared" ref="D113:L113" si="39">VLOOKUP(D39,TargetedMSo,IF(D40="[retail]",8,10),FALSE)</f>
        <v>11769.950541888</v>
      </c>
      <c r="E113" s="268">
        <f t="shared" si="39"/>
        <v>11769.950541888</v>
      </c>
      <c r="F113" s="268">
        <f t="shared" si="39"/>
        <v>9629.959534272</v>
      </c>
      <c r="G113" s="268">
        <f t="shared" si="39"/>
        <v>24609.896587584</v>
      </c>
      <c r="H113" s="268">
        <f t="shared" si="39"/>
        <v>24609.896587584</v>
      </c>
      <c r="I113" s="268">
        <f t="shared" si="39"/>
        <v>24609.896587584</v>
      </c>
      <c r="J113" s="268">
        <f t="shared" si="39"/>
        <v>83797.542614016</v>
      </c>
      <c r="K113" s="268">
        <f t="shared" si="39"/>
        <v>90780.671165184</v>
      </c>
      <c r="L113" s="268">
        <f t="shared" si="39"/>
        <v>0</v>
      </c>
      <c r="M113" s="140"/>
      <c r="N113" s="140"/>
      <c r="O113" s="140"/>
      <c r="P113" s="140"/>
      <c r="Q113" s="140"/>
      <c r="R113" s="140"/>
      <c r="S113" s="140"/>
      <c r="T113" s="140"/>
      <c r="U113" s="140"/>
    </row>
    <row r="114" s="203" customFormat="1" spans="1:21">
      <c r="A114" s="258"/>
      <c r="B114" s="262" t="s">
        <v>270</v>
      </c>
      <c r="D114" s="293" t="str">
        <f t="shared" ref="D114:L114" si="40">IF(D40="[wholesale]",D113/capacity,"")</f>
        <v/>
      </c>
      <c r="E114" s="293" t="str">
        <f t="shared" si="40"/>
        <v/>
      </c>
      <c r="F114" s="293" t="str">
        <f t="shared" si="40"/>
        <v/>
      </c>
      <c r="G114" s="293" t="str">
        <f t="shared" si="40"/>
        <v/>
      </c>
      <c r="H114" s="293" t="str">
        <f t="shared" si="40"/>
        <v/>
      </c>
      <c r="I114" s="293" t="str">
        <f t="shared" si="40"/>
        <v/>
      </c>
      <c r="J114" s="293">
        <f t="shared" si="40"/>
        <v>67.5786633984</v>
      </c>
      <c r="K114" s="293">
        <f t="shared" si="40"/>
        <v>73.2102186816</v>
      </c>
      <c r="L114" s="293" t="str">
        <f t="shared" si="40"/>
        <v/>
      </c>
      <c r="M114" s="140"/>
      <c r="N114" s="140"/>
      <c r="O114" s="140"/>
      <c r="P114" s="140"/>
      <c r="Q114" s="140"/>
      <c r="R114" s="140"/>
      <c r="S114" s="140"/>
      <c r="T114" s="140"/>
      <c r="U114" s="140"/>
    </row>
    <row r="115" s="140" customFormat="1" spans="1:19">
      <c r="A115" s="258"/>
      <c r="B115" s="262"/>
      <c r="C115" s="304" t="s">
        <v>142</v>
      </c>
      <c r="D115" s="266" t="s">
        <v>271</v>
      </c>
      <c r="E115" s="266"/>
      <c r="F115" s="266"/>
      <c r="G115" s="266"/>
      <c r="H115" s="266"/>
      <c r="I115" s="266"/>
      <c r="J115" s="266"/>
      <c r="K115" s="266"/>
      <c r="L115" s="266"/>
      <c r="O115" s="308"/>
      <c r="P115" s="308"/>
      <c r="R115" s="308"/>
      <c r="S115" s="308"/>
    </row>
    <row r="116" s="140" customFormat="1" spans="1:19">
      <c r="A116" s="261"/>
      <c r="B116" s="262" t="s">
        <v>256</v>
      </c>
      <c r="C116" s="297">
        <f t="shared" ref="C116:C127" si="41">SUM(D116:Z116)</f>
        <v>7</v>
      </c>
      <c r="D116" s="305">
        <f>ProductionFY2o(1,D39,VLOOKUP(D39,ProductsRangeOper,3,FALSE),D101)</f>
        <v>0.315471698113208</v>
      </c>
      <c r="E116" s="305">
        <f>ProductionFY2o(1,E39,VLOOKUP(E39,ProductsRangeOper,3,FALSE),E101)</f>
        <v>0.411822660098522</v>
      </c>
      <c r="F116" s="305">
        <f>ProductionFY2o(1,F39,VLOOKUP(F39,ProductsRangeOper,3,FALSE),F101)</f>
        <v>0</v>
      </c>
      <c r="G116" s="305">
        <f>ProductionFY2o(1,G39,VLOOKUP(G39,ProductsRangeOper,3,FALSE),G101)</f>
        <v>1</v>
      </c>
      <c r="H116" s="305">
        <f>ProductionFY2o(1,H39,VLOOKUP(H39,ProductsRangeOper,3,FALSE),H101)</f>
        <v>1</v>
      </c>
      <c r="I116" s="305">
        <f>ProductionFY2o(1,I39,VLOOKUP(I39,ProductsRangeOper,3,FALSE),I101)</f>
        <v>1</v>
      </c>
      <c r="J116" s="305">
        <f>ProductionFY2o(1,J39,VLOOKUP(J39,ProductsRangeOper,3,FALSE),J101)</f>
        <v>1.68452830188679</v>
      </c>
      <c r="K116" s="305">
        <f>ProductionFY2o(1,K39,VLOOKUP(K39,ProductsRangeOper,3,FALSE),K101)</f>
        <v>1.58817733990148</v>
      </c>
      <c r="L116" s="305">
        <f>ProductionFY2o(1,L39,VLOOKUP(L39,ProductsRangeOper,3,FALSE),L101)</f>
        <v>0</v>
      </c>
      <c r="M116" s="261"/>
      <c r="O116" s="308"/>
      <c r="P116" s="308"/>
      <c r="R116" s="308"/>
      <c r="S116" s="308"/>
    </row>
    <row r="117" s="140" customFormat="1" spans="1:19">
      <c r="A117" s="264"/>
      <c r="B117" s="262" t="s">
        <v>257</v>
      </c>
      <c r="C117" s="297">
        <f t="shared" si="41"/>
        <v>7</v>
      </c>
      <c r="D117" s="305">
        <f>ProductionFY2o(2,D39,VLOOKUP(D39,ProductsRangeOper,3,FALSE),D102)</f>
        <v>0.315471698113208</v>
      </c>
      <c r="E117" s="305">
        <f>ProductionFY2o(2,E39,VLOOKUP(E39,ProductsRangeOper,3,FALSE),E102)</f>
        <v>0.355381737799694</v>
      </c>
      <c r="F117" s="305">
        <f>ProductionFY2o(2,F39,VLOOKUP(F39,ProductsRangeOper,3,FALSE),F102)</f>
        <v>0</v>
      </c>
      <c r="G117" s="305">
        <f>ProductionFY2o(2,G39,VLOOKUP(G39,ProductsRangeOper,3,FALSE),G102)</f>
        <v>1</v>
      </c>
      <c r="H117" s="305">
        <f>ProductionFY2o(2,H39,VLOOKUP(H39,ProductsRangeOper,3,FALSE),H102)</f>
        <v>1</v>
      </c>
      <c r="I117" s="305">
        <f>ProductionFY2o(2,I39,VLOOKUP(I39,ProductsRangeOper,3,FALSE),I102)</f>
        <v>1</v>
      </c>
      <c r="J117" s="305">
        <f>ProductionFY2o(2,J39,VLOOKUP(J39,ProductsRangeOper,3,FALSE),J102)</f>
        <v>1.68452830188679</v>
      </c>
      <c r="K117" s="305">
        <f>ProductionFY2o(2,K39,VLOOKUP(K39,ProductsRangeOper,3,FALSE),K102)</f>
        <v>1.64461826220031</v>
      </c>
      <c r="L117" s="305">
        <f>ProductionFY2o(2,L39,VLOOKUP(L39,ProductsRangeOper,3,FALSE),L102)</f>
        <v>0</v>
      </c>
      <c r="M117" s="261"/>
      <c r="O117" s="308"/>
      <c r="P117" s="308"/>
      <c r="R117" s="308"/>
      <c r="S117" s="308"/>
    </row>
    <row r="118" s="140" customFormat="1" spans="1:19">
      <c r="A118" s="203"/>
      <c r="B118" s="96" t="s">
        <v>258</v>
      </c>
      <c r="C118" s="297">
        <f t="shared" si="41"/>
        <v>7</v>
      </c>
      <c r="D118" s="305">
        <f>ProductionFY2o(3,D39,VLOOKUP(D39,ProductsRangeOper,3,FALSE),D103)</f>
        <v>0.315471698113208</v>
      </c>
      <c r="E118" s="305">
        <f>ProductionFY2o(3,E39,VLOOKUP(E39,ProductsRangeOper,3,FALSE),E103)</f>
        <v>0.411822660098522</v>
      </c>
      <c r="F118" s="305">
        <f>ProductionFY2o(3,F39,VLOOKUP(F39,ProductsRangeOper,3,FALSE),F103)</f>
        <v>0</v>
      </c>
      <c r="G118" s="305">
        <f>ProductionFY2o(3,G39,VLOOKUP(G39,ProductsRangeOper,3,FALSE),G103)</f>
        <v>1</v>
      </c>
      <c r="H118" s="305">
        <f>ProductionFY2o(3,H39,VLOOKUP(H39,ProductsRangeOper,3,FALSE),H103)</f>
        <v>1</v>
      </c>
      <c r="I118" s="305">
        <f>ProductionFY2o(3,I39,VLOOKUP(I39,ProductsRangeOper,3,FALSE),I103)</f>
        <v>1</v>
      </c>
      <c r="J118" s="305">
        <f>ProductionFY2o(3,J39,VLOOKUP(J39,ProductsRangeOper,3,FALSE),J103)</f>
        <v>1.68452830188679</v>
      </c>
      <c r="K118" s="305">
        <f>ProductionFY2o(3,K39,VLOOKUP(K39,ProductsRangeOper,3,FALSE),K103)</f>
        <v>1.58817733990148</v>
      </c>
      <c r="L118" s="305">
        <f>ProductionFY2o(3,L39,VLOOKUP(L39,ProductsRangeOper,3,FALSE),L103)</f>
        <v>0</v>
      </c>
      <c r="M118" s="261"/>
      <c r="O118" s="308"/>
      <c r="P118" s="308"/>
      <c r="R118" s="308"/>
      <c r="S118" s="308"/>
    </row>
    <row r="119" s="140" customFormat="1" spans="1:19">
      <c r="A119" s="203"/>
      <c r="B119" s="96" t="s">
        <v>259</v>
      </c>
      <c r="C119" s="297">
        <f t="shared" si="41"/>
        <v>19</v>
      </c>
      <c r="D119" s="305">
        <f>ProductionFY2o(4,D39,VLOOKUP(D39,ProductsRangeOper,3,FALSE),D104)</f>
        <v>0.388746803069054</v>
      </c>
      <c r="E119" s="305">
        <f>ProductionFY2o(4,E39,VLOOKUP(E39,ProductsRangeOper,3,FALSE),E104)</f>
        <v>0.528389339513326</v>
      </c>
      <c r="F119" s="305">
        <f>ProductionFY2o(4,F39,VLOOKUP(F39,ProductsRangeOper,3,FALSE),F104)</f>
        <v>0</v>
      </c>
      <c r="G119" s="305">
        <f>ProductionFY2o(4,G39,VLOOKUP(G39,ProductsRangeOper,3,FALSE),G104)</f>
        <v>1</v>
      </c>
      <c r="H119" s="305">
        <f>ProductionFY2o(4,H39,VLOOKUP(H39,ProductsRangeOper,3,FALSE),H104)</f>
        <v>1</v>
      </c>
      <c r="I119" s="305">
        <f>ProductionFY2o(4,I39,VLOOKUP(I39,ProductsRangeOper,3,FALSE),I104)</f>
        <v>1</v>
      </c>
      <c r="J119" s="305">
        <f>ProductionFY2o(4,J39,VLOOKUP(J39,ProductsRangeOper,3,FALSE),J104)</f>
        <v>7.61125319693095</v>
      </c>
      <c r="K119" s="305">
        <f>ProductionFY2o(4,K39,VLOOKUP(K39,ProductsRangeOper,3,FALSE),K104)</f>
        <v>7.47161066048667</v>
      </c>
      <c r="L119" s="305">
        <f>ProductionFY2o(4,L39,VLOOKUP(L39,ProductsRangeOper,3,FALSE),L104)</f>
        <v>0</v>
      </c>
      <c r="M119" s="261"/>
      <c r="O119" s="308"/>
      <c r="P119" s="308"/>
      <c r="R119" s="308"/>
      <c r="S119" s="308"/>
    </row>
    <row r="120" s="140" customFormat="1" spans="1:19">
      <c r="A120" s="203"/>
      <c r="B120" s="96" t="s">
        <v>260</v>
      </c>
      <c r="C120" s="297">
        <f t="shared" si="41"/>
        <v>24</v>
      </c>
      <c r="D120" s="305">
        <f>ProductionFY2o(5,D39,VLOOKUP(D39,ProductsRangeOper,3,FALSE),D105)</f>
        <v>1.06293706293706</v>
      </c>
      <c r="E120" s="305">
        <f>ProductionFY2o(5,E39,VLOOKUP(E39,ProductsRangeOper,3,FALSE),E105)</f>
        <v>1.0329489291598</v>
      </c>
      <c r="F120" s="305">
        <f>ProductionFY2o(5,F39,VLOOKUP(F39,ProductsRangeOper,3,FALSE),F105)</f>
        <v>1</v>
      </c>
      <c r="G120" s="305">
        <f>ProductionFY2o(5,G39,VLOOKUP(G39,ProductsRangeOper,3,FALSE),G105)</f>
        <v>2</v>
      </c>
      <c r="H120" s="305">
        <f>ProductionFY2o(5,H39,VLOOKUP(H39,ProductsRangeOper,3,FALSE),H105)</f>
        <v>2</v>
      </c>
      <c r="I120" s="305">
        <f>ProductionFY2o(5,I39,VLOOKUP(I39,ProductsRangeOper,3,FALSE),I105)</f>
        <v>2</v>
      </c>
      <c r="J120" s="305">
        <f>ProductionFY2o(5,J39,VLOOKUP(J39,ProductsRangeOper,3,FALSE),J105)</f>
        <v>6.93706293706294</v>
      </c>
      <c r="K120" s="305">
        <f>ProductionFY2o(5,K39,VLOOKUP(K39,ProductsRangeOper,3,FALSE),K105)</f>
        <v>7.9670510708402</v>
      </c>
      <c r="L120" s="305">
        <f>ProductionFY2o(5,L39,VLOOKUP(L39,ProductsRangeOper,3,FALSE),L105)</f>
        <v>0</v>
      </c>
      <c r="M120" s="261"/>
      <c r="O120" s="308"/>
      <c r="P120" s="308"/>
      <c r="R120" s="308"/>
      <c r="S120" s="308"/>
    </row>
    <row r="121" s="140" customFormat="1" spans="2:19">
      <c r="B121" s="96" t="s">
        <v>261</v>
      </c>
      <c r="C121" s="297">
        <f t="shared" si="41"/>
        <v>28</v>
      </c>
      <c r="D121" s="305">
        <f>ProductionFY2o(6,D39,VLOOKUP(D39,ProductsRangeOper,3,FALSE),D106)</f>
        <v>1.0745501285347</v>
      </c>
      <c r="E121" s="305">
        <f>ProductionFY2o(6,E39,VLOOKUP(E39,ProductsRangeOper,3,FALSE),E106)</f>
        <v>1.01697028189971</v>
      </c>
      <c r="F121" s="305">
        <f>ProductionFY2o(6,F39,VLOOKUP(F39,ProductsRangeOper,3,FALSE),F106)</f>
        <v>1</v>
      </c>
      <c r="G121" s="305">
        <f>ProductionFY2o(6,G39,VLOOKUP(G39,ProductsRangeOper,3,FALSE),G106)</f>
        <v>2</v>
      </c>
      <c r="H121" s="305">
        <f>ProductionFY2o(6,H39,VLOOKUP(H39,ProductsRangeOper,3,FALSE),H106)</f>
        <v>2</v>
      </c>
      <c r="I121" s="305">
        <f>ProductionFY2o(6,I39,VLOOKUP(I39,ProductsRangeOper,3,FALSE),I106)</f>
        <v>2</v>
      </c>
      <c r="J121" s="305">
        <f>ProductionFY2o(6,J39,VLOOKUP(J39,ProductsRangeOper,3,FALSE),J106)</f>
        <v>8.92544987146529</v>
      </c>
      <c r="K121" s="305">
        <f>ProductionFY2o(6,K39,VLOOKUP(K39,ProductsRangeOper,3,FALSE),K106)</f>
        <v>9.98302971810029</v>
      </c>
      <c r="L121" s="305">
        <f>ProductionFY2o(6,L39,VLOOKUP(L39,ProductsRangeOper,3,FALSE),L106)</f>
        <v>0</v>
      </c>
      <c r="M121" s="261"/>
      <c r="O121" s="308"/>
      <c r="P121" s="308"/>
      <c r="R121" s="308"/>
      <c r="S121" s="308"/>
    </row>
    <row r="122" s="140" customFormat="1" spans="2:19">
      <c r="B122" s="96" t="s">
        <v>262</v>
      </c>
      <c r="C122" s="297">
        <f t="shared" si="41"/>
        <v>28</v>
      </c>
      <c r="D122" s="305">
        <f>ProductionFY2o(7,D39,VLOOKUP(D39,ProductsRangeOper,3,FALSE),D107)</f>
        <v>1.0745501285347</v>
      </c>
      <c r="E122" s="305">
        <f>ProductionFY2o(7,E39,VLOOKUP(E39,ProductsRangeOper,3,FALSE),E107)</f>
        <v>1.01697028189971</v>
      </c>
      <c r="F122" s="305">
        <f>ProductionFY2o(7,F39,VLOOKUP(F39,ProductsRangeOper,3,FALSE),F107)</f>
        <v>1</v>
      </c>
      <c r="G122" s="305">
        <f>ProductionFY2o(7,G39,VLOOKUP(G39,ProductsRangeOper,3,FALSE),G107)</f>
        <v>2</v>
      </c>
      <c r="H122" s="305">
        <f>ProductionFY2o(7,H39,VLOOKUP(H39,ProductsRangeOper,3,FALSE),H107)</f>
        <v>2</v>
      </c>
      <c r="I122" s="305">
        <f>ProductionFY2o(7,I39,VLOOKUP(I39,ProductsRangeOper,3,FALSE),I107)</f>
        <v>2</v>
      </c>
      <c r="J122" s="305">
        <f>ProductionFY2o(7,J39,VLOOKUP(J39,ProductsRangeOper,3,FALSE),J107)</f>
        <v>8.92544987146529</v>
      </c>
      <c r="K122" s="305">
        <f>ProductionFY2o(7,K39,VLOOKUP(K39,ProductsRangeOper,3,FALSE),K107)</f>
        <v>9.98302971810029</v>
      </c>
      <c r="L122" s="305">
        <f>ProductionFY2o(7,L39,VLOOKUP(L39,ProductsRangeOper,3,FALSE),L107)</f>
        <v>0</v>
      </c>
      <c r="M122" s="261"/>
      <c r="O122" s="308"/>
      <c r="P122" s="308"/>
      <c r="R122" s="308"/>
      <c r="S122" s="308"/>
    </row>
    <row r="123" s="140" customFormat="1" spans="2:19">
      <c r="B123" s="96" t="s">
        <v>263</v>
      </c>
      <c r="C123" s="297">
        <f t="shared" si="41"/>
        <v>26</v>
      </c>
      <c r="D123" s="305">
        <f>ProductionFY2o(8,D39,VLOOKUP(D39,ProductsRangeOper,3,FALSE),D108)</f>
        <v>1.10842663523866</v>
      </c>
      <c r="E123" s="305">
        <f>ProductionFY2o(8,E39,VLOOKUP(E39,ProductsRangeOper,3,FALSE),E108)</f>
        <v>1.06223721295569</v>
      </c>
      <c r="F123" s="305">
        <f>ProductionFY2o(8,F39,VLOOKUP(F39,ProductsRangeOper,3,FALSE),F108)</f>
        <v>1</v>
      </c>
      <c r="G123" s="305">
        <f>ProductionFY2o(8,G39,VLOOKUP(G39,ProductsRangeOper,3,FALSE),G108)</f>
        <v>2</v>
      </c>
      <c r="H123" s="305">
        <f>ProductionFY2o(8,H39,VLOOKUP(H39,ProductsRangeOper,3,FALSE),H108)</f>
        <v>2</v>
      </c>
      <c r="I123" s="305">
        <f>ProductionFY2o(8,I39,VLOOKUP(I39,ProductsRangeOper,3,FALSE),I108)</f>
        <v>2</v>
      </c>
      <c r="J123" s="305">
        <f>ProductionFY2o(8,J39,VLOOKUP(J39,ProductsRangeOper,3,FALSE),J108)</f>
        <v>7.89157336476134</v>
      </c>
      <c r="K123" s="305">
        <f>ProductionFY2o(8,K39,VLOOKUP(K39,ProductsRangeOper,3,FALSE),K108)</f>
        <v>8.93776278704431</v>
      </c>
      <c r="L123" s="305">
        <f>ProductionFY2o(8,L39,VLOOKUP(L39,ProductsRangeOper,3,FALSE),L108)</f>
        <v>0</v>
      </c>
      <c r="M123" s="261"/>
      <c r="O123" s="308"/>
      <c r="P123" s="308"/>
      <c r="R123" s="308"/>
      <c r="S123" s="308"/>
    </row>
    <row r="124" s="140" customFormat="1" spans="2:19">
      <c r="B124" s="96" t="s">
        <v>264</v>
      </c>
      <c r="C124" s="297">
        <f t="shared" si="41"/>
        <v>26</v>
      </c>
      <c r="D124" s="305">
        <f>ProductionFY2o(9,D39,VLOOKUP(D39,ProductsRangeOper,3,FALSE),D109)</f>
        <v>1.10842663523866</v>
      </c>
      <c r="E124" s="305">
        <f>ProductionFY2o(9,E39,VLOOKUP(E39,ProductsRangeOper,3,FALSE),E109)</f>
        <v>1.06223721295569</v>
      </c>
      <c r="F124" s="305">
        <f>ProductionFY2o(9,F39,VLOOKUP(F39,ProductsRangeOper,3,FALSE),F109)</f>
        <v>1</v>
      </c>
      <c r="G124" s="305">
        <f>ProductionFY2o(9,G39,VLOOKUP(G39,ProductsRangeOper,3,FALSE),G109)</f>
        <v>2</v>
      </c>
      <c r="H124" s="305">
        <f>ProductionFY2o(9,H39,VLOOKUP(H39,ProductsRangeOper,3,FALSE),H109)</f>
        <v>2</v>
      </c>
      <c r="I124" s="305">
        <f>ProductionFY2o(9,I39,VLOOKUP(I39,ProductsRangeOper,3,FALSE),I109)</f>
        <v>2</v>
      </c>
      <c r="J124" s="305">
        <f>ProductionFY2o(9,J39,VLOOKUP(J39,ProductsRangeOper,3,FALSE),J109)</f>
        <v>7.89157336476134</v>
      </c>
      <c r="K124" s="305">
        <f>ProductionFY2o(9,K39,VLOOKUP(K39,ProductsRangeOper,3,FALSE),K109)</f>
        <v>8.93776278704431</v>
      </c>
      <c r="L124" s="305">
        <f>ProductionFY2o(9,L39,VLOOKUP(L39,ProductsRangeOper,3,FALSE),L109)</f>
        <v>0</v>
      </c>
      <c r="M124" s="261"/>
      <c r="O124" s="308"/>
      <c r="P124" s="308"/>
      <c r="R124" s="308"/>
      <c r="S124" s="308"/>
    </row>
    <row r="125" s="140" customFormat="1" spans="2:19">
      <c r="B125" s="96" t="s">
        <v>265</v>
      </c>
      <c r="C125" s="297">
        <f t="shared" si="41"/>
        <v>24</v>
      </c>
      <c r="D125" s="305">
        <f>ProductionFY2o(10,D39,VLOOKUP(D39,ProductsRangeOper,3,FALSE),D110)</f>
        <v>0.905840286054827</v>
      </c>
      <c r="E125" s="305">
        <f>ProductionFY2o(10,E39,VLOOKUP(E39,ProductsRangeOper,3,FALSE),E110)</f>
        <v>1.0329489291598</v>
      </c>
      <c r="F125" s="305">
        <f>ProductionFY2o(10,F39,VLOOKUP(F39,ProductsRangeOper,3,FALSE),F110)</f>
        <v>1</v>
      </c>
      <c r="G125" s="305">
        <f>ProductionFY2o(10,G39,VLOOKUP(G39,ProductsRangeOper,3,FALSE),G110)</f>
        <v>2</v>
      </c>
      <c r="H125" s="305">
        <f>ProductionFY2o(10,H39,VLOOKUP(H39,ProductsRangeOper,3,FALSE),H110)</f>
        <v>2</v>
      </c>
      <c r="I125" s="305">
        <f>ProductionFY2o(10,I39,VLOOKUP(I39,ProductsRangeOper,3,FALSE),I110)</f>
        <v>2</v>
      </c>
      <c r="J125" s="305">
        <f>ProductionFY2o(10,J39,VLOOKUP(J39,ProductsRangeOper,3,FALSE),J110)</f>
        <v>7.09415971394517</v>
      </c>
      <c r="K125" s="305">
        <f>ProductionFY2o(10,K39,VLOOKUP(K39,ProductsRangeOper,3,FALSE),K110)</f>
        <v>7.9670510708402</v>
      </c>
      <c r="L125" s="305">
        <f>ProductionFY2o(10,L39,VLOOKUP(L39,ProductsRangeOper,3,FALSE),L110)</f>
        <v>0</v>
      </c>
      <c r="M125" s="261"/>
      <c r="O125" s="308"/>
      <c r="P125" s="308"/>
      <c r="R125" s="308"/>
      <c r="S125" s="308"/>
    </row>
    <row r="126" s="140" customFormat="1" spans="2:19">
      <c r="B126" s="96" t="s">
        <v>266</v>
      </c>
      <c r="C126" s="297">
        <f t="shared" si="41"/>
        <v>8</v>
      </c>
      <c r="D126" s="305">
        <f>ProductionFY2o(11,D39,VLOOKUP(D39,ProductsRangeOper,3,FALSE),D111)</f>
        <v>0.493673021764805</v>
      </c>
      <c r="E126" s="305">
        <f>ProductionFY2o(11,E39,VLOOKUP(E39,ProductsRangeOper,3,FALSE),E111)</f>
        <v>0.411822660098522</v>
      </c>
      <c r="F126" s="305">
        <f>ProductionFY2o(11,F39,VLOOKUP(F39,ProductsRangeOper,3,FALSE),F111)</f>
        <v>1</v>
      </c>
      <c r="G126" s="305">
        <f>ProductionFY2o(11,G39,VLOOKUP(G39,ProductsRangeOper,3,FALSE),G111)</f>
        <v>1</v>
      </c>
      <c r="H126" s="305">
        <f>ProductionFY2o(11,H39,VLOOKUP(H39,ProductsRangeOper,3,FALSE),H111)</f>
        <v>1</v>
      </c>
      <c r="I126" s="305">
        <f>ProductionFY2o(11,I39,VLOOKUP(I39,ProductsRangeOper,3,FALSE),I111)</f>
        <v>1</v>
      </c>
      <c r="J126" s="305">
        <f>ProductionFY2o(11,J39,VLOOKUP(J39,ProductsRangeOper,3,FALSE),J111)</f>
        <v>1.50632697823519</v>
      </c>
      <c r="K126" s="305">
        <f>ProductionFY2o(11,K39,VLOOKUP(K39,ProductsRangeOper,3,FALSE),K111)</f>
        <v>1.58817733990148</v>
      </c>
      <c r="L126" s="305">
        <f>ProductionFY2o(11,L39,VLOOKUP(L39,ProductsRangeOper,3,FALSE),L111)</f>
        <v>0</v>
      </c>
      <c r="M126" s="261"/>
      <c r="O126" s="308"/>
      <c r="P126" s="308"/>
      <c r="R126" s="308"/>
      <c r="S126" s="308"/>
    </row>
    <row r="127" s="140" customFormat="1" spans="2:19">
      <c r="B127" s="96" t="s">
        <v>267</v>
      </c>
      <c r="C127" s="297">
        <f t="shared" si="41"/>
        <v>7</v>
      </c>
      <c r="D127" s="305">
        <f>ProductionFY2o(12,D39,VLOOKUP(D39,ProductsRangeOper,3,FALSE),D112)</f>
        <v>0.493673021764805</v>
      </c>
      <c r="E127" s="305">
        <f>ProductionFY2o(12,E39,VLOOKUP(E39,ProductsRangeOper,3,FALSE),E112)</f>
        <v>0.355381737799694</v>
      </c>
      <c r="F127" s="305">
        <f>ProductionFY2o(12,F39,VLOOKUP(F39,ProductsRangeOper,3,FALSE),F112)</f>
        <v>0</v>
      </c>
      <c r="G127" s="305">
        <f>ProductionFY2o(12,G39,VLOOKUP(G39,ProductsRangeOper,3,FALSE),G112)</f>
        <v>1</v>
      </c>
      <c r="H127" s="305">
        <f>ProductionFY2o(12,H39,VLOOKUP(H39,ProductsRangeOper,3,FALSE),H112)</f>
        <v>1</v>
      </c>
      <c r="I127" s="305">
        <f>ProductionFY2o(12,I39,VLOOKUP(I39,ProductsRangeOper,3,FALSE),I112)</f>
        <v>1</v>
      </c>
      <c r="J127" s="305">
        <f>ProductionFY2o(12,J39,VLOOKUP(J39,ProductsRangeOper,3,FALSE),J112)</f>
        <v>1.50632697823519</v>
      </c>
      <c r="K127" s="305">
        <f>ProductionFY2o(12,K39,VLOOKUP(K39,ProductsRangeOper,3,FALSE),K112)</f>
        <v>1.64461826220031</v>
      </c>
      <c r="L127" s="305">
        <f>ProductionFY2o(12,L39,VLOOKUP(L39,ProductsRangeOper,3,FALSE),L112)</f>
        <v>0</v>
      </c>
      <c r="M127" s="261"/>
      <c r="O127" s="308"/>
      <c r="P127" s="308"/>
      <c r="R127" s="308"/>
      <c r="S127" s="308"/>
    </row>
    <row r="128" s="203" customFormat="1" spans="1:19">
      <c r="A128" s="298" t="s">
        <v>272</v>
      </c>
      <c r="C128" s="262" t="s">
        <v>117</v>
      </c>
      <c r="D128" s="299">
        <f t="shared" ref="D128:I128" si="42">SUM(D101:D112)</f>
        <v>11769.950541888</v>
      </c>
      <c r="E128" s="300">
        <f t="shared" si="42"/>
        <v>11769.950541888</v>
      </c>
      <c r="F128" s="300">
        <f t="shared" si="42"/>
        <v>9629.959534272</v>
      </c>
      <c r="G128" s="300">
        <f t="shared" si="42"/>
        <v>24609.896587584</v>
      </c>
      <c r="H128" s="300">
        <f t="shared" si="42"/>
        <v>24609.896587584</v>
      </c>
      <c r="I128" s="300">
        <f t="shared" si="42"/>
        <v>24609.896587584</v>
      </c>
      <c r="J128" s="309">
        <f>J113</f>
        <v>83797.542614016</v>
      </c>
      <c r="K128" s="309">
        <f>K113</f>
        <v>90780.671165184</v>
      </c>
      <c r="L128" s="309">
        <f>L113</f>
        <v>0</v>
      </c>
      <c r="M128" s="140"/>
      <c r="N128" s="140"/>
      <c r="O128" s="308"/>
      <c r="P128" s="308"/>
      <c r="Q128" s="140"/>
      <c r="R128" s="308"/>
      <c r="S128" s="308"/>
    </row>
    <row r="129" s="203" customFormat="1" spans="1:19">
      <c r="A129" s="298" t="s">
        <v>273</v>
      </c>
      <c r="C129" s="262" t="s">
        <v>117</v>
      </c>
      <c r="D129" s="299">
        <f t="shared" ref="D129:L129" si="43">SUM(D116:D127)*capacity</f>
        <v>10734.9761336714</v>
      </c>
      <c r="E129" s="299">
        <f t="shared" si="43"/>
        <v>10786.677717864</v>
      </c>
      <c r="F129" s="299">
        <f t="shared" si="43"/>
        <v>8680</v>
      </c>
      <c r="G129" s="299">
        <f t="shared" si="43"/>
        <v>22320</v>
      </c>
      <c r="H129" s="299">
        <f t="shared" si="43"/>
        <v>22320</v>
      </c>
      <c r="I129" s="299">
        <f t="shared" si="43"/>
        <v>22320</v>
      </c>
      <c r="J129" s="299">
        <f t="shared" si="43"/>
        <v>78545.0238663286</v>
      </c>
      <c r="K129" s="299">
        <f t="shared" si="43"/>
        <v>85933.322282136</v>
      </c>
      <c r="L129" s="299">
        <f t="shared" si="43"/>
        <v>0</v>
      </c>
      <c r="M129" s="140"/>
      <c r="N129" s="140"/>
      <c r="O129" s="308"/>
      <c r="P129" s="308"/>
      <c r="Q129" s="140"/>
      <c r="R129" s="308"/>
      <c r="S129" s="308"/>
    </row>
    <row r="130" s="203" customFormat="1" spans="1:19">
      <c r="A130" s="298" t="s">
        <v>274</v>
      </c>
      <c r="C130" s="262" t="s">
        <v>117</v>
      </c>
      <c r="D130" s="299">
        <f t="shared" ref="D130:L130" si="44">D128-D129</f>
        <v>1034.97440821665</v>
      </c>
      <c r="E130" s="300">
        <f t="shared" si="44"/>
        <v>983.272824024041</v>
      </c>
      <c r="F130" s="300">
        <f t="shared" si="44"/>
        <v>949.959534272</v>
      </c>
      <c r="G130" s="300">
        <f t="shared" si="44"/>
        <v>2289.89658758401</v>
      </c>
      <c r="H130" s="300">
        <f t="shared" si="44"/>
        <v>2289.89658758401</v>
      </c>
      <c r="I130" s="300">
        <f t="shared" si="44"/>
        <v>2289.89658758401</v>
      </c>
      <c r="J130" s="300">
        <f t="shared" si="44"/>
        <v>5252.51874768737</v>
      </c>
      <c r="K130" s="300">
        <f t="shared" si="44"/>
        <v>4847.34888304799</v>
      </c>
      <c r="L130" s="300">
        <f t="shared" si="44"/>
        <v>0</v>
      </c>
      <c r="M130" s="140"/>
      <c r="N130" s="140"/>
      <c r="O130" s="308"/>
      <c r="P130" s="308"/>
      <c r="Q130" s="140"/>
      <c r="R130" s="308"/>
      <c r="S130" s="308"/>
    </row>
    <row r="131" s="202" customFormat="1" spans="1:48">
      <c r="A131" s="258"/>
      <c r="B131" s="259" t="s">
        <v>105</v>
      </c>
      <c r="C131" s="259"/>
      <c r="D131" s="260" t="s">
        <v>255</v>
      </c>
      <c r="E131" s="260"/>
      <c r="F131" s="260"/>
      <c r="G131" s="260"/>
      <c r="H131" s="260"/>
      <c r="I131" s="260"/>
      <c r="J131" s="260"/>
      <c r="K131" s="260"/>
      <c r="L131" s="260"/>
      <c r="M131" s="140"/>
      <c r="N131" s="140"/>
      <c r="O131" s="140"/>
      <c r="P131" s="140"/>
      <c r="Q131" s="140"/>
      <c r="R131" s="140"/>
      <c r="S131" s="140"/>
      <c r="T131" s="140"/>
      <c r="U131" s="140"/>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row>
    <row r="132" s="202" customFormat="1" spans="1:48">
      <c r="A132" s="261"/>
      <c r="B132" s="262" t="s">
        <v>256</v>
      </c>
      <c r="C132" s="203"/>
      <c r="D132" s="263">
        <v>0.04</v>
      </c>
      <c r="E132" s="263">
        <v>0.06</v>
      </c>
      <c r="F132" s="263">
        <v>0.06</v>
      </c>
      <c r="G132" s="263">
        <v>0.05</v>
      </c>
      <c r="H132" s="263">
        <v>0.05</v>
      </c>
      <c r="I132" s="263">
        <v>0.05</v>
      </c>
      <c r="J132" s="263">
        <v>0.03</v>
      </c>
      <c r="K132" s="263">
        <v>0.03</v>
      </c>
      <c r="L132" s="140"/>
      <c r="M132" s="140"/>
      <c r="N132" s="140"/>
      <c r="O132" s="140"/>
      <c r="P132" s="140"/>
      <c r="Q132" s="140"/>
      <c r="R132" s="140"/>
      <c r="S132" s="140"/>
      <c r="T132" s="140"/>
      <c r="U132" s="140"/>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c r="AR132" s="140"/>
      <c r="AS132" s="140"/>
      <c r="AT132" s="140"/>
      <c r="AU132" s="140"/>
      <c r="AV132" s="140"/>
    </row>
    <row r="133" s="202" customFormat="1" spans="1:48">
      <c r="A133" s="264"/>
      <c r="B133" s="262" t="s">
        <v>257</v>
      </c>
      <c r="C133" s="203"/>
      <c r="D133" s="263">
        <v>0.04</v>
      </c>
      <c r="E133" s="263">
        <v>0.05</v>
      </c>
      <c r="F133" s="263">
        <v>0.06</v>
      </c>
      <c r="G133" s="263">
        <v>0.05</v>
      </c>
      <c r="H133" s="263">
        <v>0.05</v>
      </c>
      <c r="I133" s="263">
        <v>0.05</v>
      </c>
      <c r="J133" s="263">
        <v>0.03</v>
      </c>
      <c r="K133" s="263">
        <v>0.03</v>
      </c>
      <c r="L133" s="140"/>
      <c r="M133" s="140"/>
      <c r="N133" s="140"/>
      <c r="O133" s="140"/>
      <c r="P133" s="140"/>
      <c r="Q133" s="140"/>
      <c r="R133" s="140"/>
      <c r="S133" s="140"/>
      <c r="T133" s="140"/>
      <c r="U133" s="140"/>
      <c r="V133" s="140"/>
      <c r="W133" s="140"/>
      <c r="X133" s="140"/>
      <c r="Y133" s="140"/>
      <c r="Z133" s="140"/>
      <c r="AA133" s="140"/>
      <c r="AB133" s="140"/>
      <c r="AC133" s="140"/>
      <c r="AD133" s="140"/>
      <c r="AE133" s="140"/>
      <c r="AF133" s="140"/>
      <c r="AG133" s="140"/>
      <c r="AH133" s="140"/>
      <c r="AI133" s="140"/>
      <c r="AJ133" s="140"/>
      <c r="AK133" s="140"/>
      <c r="AL133" s="140"/>
      <c r="AM133" s="140"/>
      <c r="AN133" s="140"/>
      <c r="AO133" s="140"/>
      <c r="AP133" s="140"/>
      <c r="AQ133" s="140"/>
      <c r="AR133" s="140"/>
      <c r="AS133" s="140"/>
      <c r="AT133" s="140"/>
      <c r="AU133" s="140"/>
      <c r="AV133" s="140"/>
    </row>
    <row r="134" s="202" customFormat="1" spans="1:48">
      <c r="A134" s="203"/>
      <c r="B134" s="96" t="s">
        <v>258</v>
      </c>
      <c r="C134" s="203"/>
      <c r="D134" s="263">
        <v>0.04</v>
      </c>
      <c r="E134" s="263">
        <v>0.06</v>
      </c>
      <c r="F134" s="263">
        <v>0.06</v>
      </c>
      <c r="G134" s="263">
        <v>0.06</v>
      </c>
      <c r="H134" s="263">
        <v>0.06</v>
      </c>
      <c r="I134" s="263">
        <v>0.06</v>
      </c>
      <c r="J134" s="263">
        <v>0.03</v>
      </c>
      <c r="K134" s="263">
        <v>0.03</v>
      </c>
      <c r="L134" s="140"/>
      <c r="M134" s="140"/>
      <c r="N134" s="140"/>
      <c r="O134" s="140"/>
      <c r="P134" s="140"/>
      <c r="Q134" s="140"/>
      <c r="R134" s="140"/>
      <c r="S134" s="140"/>
      <c r="T134" s="140"/>
      <c r="U134" s="140"/>
      <c r="V134" s="140"/>
      <c r="W134" s="140"/>
      <c r="X134" s="140"/>
      <c r="Y134" s="140"/>
      <c r="Z134" s="140"/>
      <c r="AA134" s="140"/>
      <c r="AB134" s="140"/>
      <c r="AC134" s="140"/>
      <c r="AD134" s="140"/>
      <c r="AE134" s="140"/>
      <c r="AF134" s="140"/>
      <c r="AG134" s="140"/>
      <c r="AH134" s="140"/>
      <c r="AI134" s="140"/>
      <c r="AJ134" s="140"/>
      <c r="AK134" s="140"/>
      <c r="AL134" s="140"/>
      <c r="AM134" s="140"/>
      <c r="AN134" s="140"/>
      <c r="AO134" s="140"/>
      <c r="AP134" s="140"/>
      <c r="AQ134" s="140"/>
      <c r="AR134" s="140"/>
      <c r="AS134" s="140"/>
      <c r="AT134" s="140"/>
      <c r="AU134" s="140"/>
      <c r="AV134" s="140"/>
    </row>
    <row r="135" s="203" customFormat="1" spans="2:48">
      <c r="B135" s="96" t="s">
        <v>259</v>
      </c>
      <c r="D135" s="263">
        <v>0.04</v>
      </c>
      <c r="E135" s="263">
        <v>0.06</v>
      </c>
      <c r="F135" s="263">
        <v>0.06</v>
      </c>
      <c r="G135" s="263">
        <v>0.07</v>
      </c>
      <c r="H135" s="263">
        <v>0.07</v>
      </c>
      <c r="I135" s="263">
        <v>0.07</v>
      </c>
      <c r="J135" s="263">
        <v>0.11</v>
      </c>
      <c r="K135" s="263">
        <v>0.11</v>
      </c>
      <c r="L135" s="140"/>
      <c r="M135" s="140"/>
      <c r="N135" s="140"/>
      <c r="O135" s="140"/>
      <c r="P135" s="140"/>
      <c r="Q135" s="140"/>
      <c r="R135" s="140"/>
      <c r="S135" s="140"/>
      <c r="T135" s="140"/>
      <c r="U135" s="140"/>
      <c r="V135" s="140"/>
      <c r="W135" s="140"/>
      <c r="X135" s="140"/>
      <c r="Y135" s="140"/>
      <c r="Z135" s="140"/>
      <c r="AA135" s="140"/>
      <c r="AB135" s="140"/>
      <c r="AC135" s="140"/>
      <c r="AD135" s="140"/>
      <c r="AE135" s="140"/>
      <c r="AF135" s="140"/>
      <c r="AG135" s="140"/>
      <c r="AH135" s="140"/>
      <c r="AI135" s="140"/>
      <c r="AJ135" s="140"/>
      <c r="AK135" s="140"/>
      <c r="AL135" s="140"/>
      <c r="AM135" s="140"/>
      <c r="AN135" s="140"/>
      <c r="AO135" s="140"/>
      <c r="AP135" s="140"/>
      <c r="AQ135" s="140"/>
      <c r="AR135" s="140"/>
      <c r="AS135" s="140"/>
      <c r="AT135" s="140"/>
      <c r="AU135" s="140"/>
      <c r="AV135" s="140"/>
    </row>
    <row r="136" s="203" customFormat="1" spans="2:48">
      <c r="B136" s="96" t="s">
        <v>260</v>
      </c>
      <c r="D136" s="263">
        <v>0.12</v>
      </c>
      <c r="E136" s="263">
        <v>0.11</v>
      </c>
      <c r="F136" s="263">
        <v>0.11</v>
      </c>
      <c r="G136" s="263">
        <v>0.08</v>
      </c>
      <c r="H136" s="263">
        <v>0.08</v>
      </c>
      <c r="I136" s="263">
        <v>0.08</v>
      </c>
      <c r="J136" s="263">
        <v>0.11</v>
      </c>
      <c r="K136" s="263">
        <v>0.11</v>
      </c>
      <c r="L136" s="140"/>
      <c r="M136" s="140"/>
      <c r="N136" s="140"/>
      <c r="O136" s="140"/>
      <c r="P136" s="140"/>
      <c r="Q136" s="140"/>
      <c r="R136" s="140"/>
      <c r="S136" s="140"/>
      <c r="T136" s="140"/>
      <c r="U136" s="140"/>
      <c r="V136" s="140"/>
      <c r="W136" s="140"/>
      <c r="X136" s="140"/>
      <c r="Y136" s="140"/>
      <c r="Z136" s="140"/>
      <c r="AA136" s="140"/>
      <c r="AB136" s="140"/>
      <c r="AC136" s="140"/>
      <c r="AD136" s="140"/>
      <c r="AE136" s="140"/>
      <c r="AF136" s="140"/>
      <c r="AG136" s="140"/>
      <c r="AH136" s="140"/>
      <c r="AI136" s="140"/>
      <c r="AJ136" s="140"/>
      <c r="AK136" s="140"/>
      <c r="AL136" s="140"/>
      <c r="AM136" s="140"/>
      <c r="AN136" s="140"/>
      <c r="AO136" s="140"/>
      <c r="AP136" s="140"/>
      <c r="AQ136" s="140"/>
      <c r="AR136" s="140"/>
      <c r="AS136" s="140"/>
      <c r="AT136" s="140"/>
      <c r="AU136" s="140"/>
      <c r="AV136" s="140"/>
    </row>
    <row r="137" s="203" customFormat="1" spans="1:48">
      <c r="A137" s="140"/>
      <c r="B137" s="96" t="s">
        <v>261</v>
      </c>
      <c r="D137" s="263">
        <v>0.12</v>
      </c>
      <c r="E137" s="263">
        <v>0.11</v>
      </c>
      <c r="F137" s="263">
        <v>0.1</v>
      </c>
      <c r="G137" s="263">
        <v>0.1</v>
      </c>
      <c r="H137" s="263">
        <v>0.1</v>
      </c>
      <c r="I137" s="263">
        <v>0.1</v>
      </c>
      <c r="J137" s="263">
        <v>0.14</v>
      </c>
      <c r="K137" s="263">
        <v>0.14</v>
      </c>
      <c r="L137" s="140"/>
      <c r="M137" s="140"/>
      <c r="N137" s="140"/>
      <c r="O137" s="140"/>
      <c r="P137" s="140"/>
      <c r="Q137" s="140"/>
      <c r="R137" s="140"/>
      <c r="S137" s="140"/>
      <c r="T137" s="140"/>
      <c r="U137" s="140"/>
      <c r="V137" s="140"/>
      <c r="W137" s="140"/>
      <c r="X137" s="140"/>
      <c r="Y137" s="140"/>
      <c r="Z137" s="140"/>
      <c r="AA137" s="140"/>
      <c r="AB137" s="140"/>
      <c r="AC137" s="140"/>
      <c r="AD137" s="140"/>
      <c r="AE137" s="140"/>
      <c r="AF137" s="140"/>
      <c r="AG137" s="140"/>
      <c r="AH137" s="140"/>
      <c r="AI137" s="140"/>
      <c r="AJ137" s="140"/>
      <c r="AK137" s="140"/>
      <c r="AL137" s="140"/>
      <c r="AM137" s="140"/>
      <c r="AN137" s="140"/>
      <c r="AO137" s="140"/>
      <c r="AP137" s="140"/>
      <c r="AQ137" s="140"/>
      <c r="AR137" s="140"/>
      <c r="AS137" s="140"/>
      <c r="AT137" s="140"/>
      <c r="AU137" s="140"/>
      <c r="AV137" s="140"/>
    </row>
    <row r="138" s="203" customFormat="1" spans="1:48">
      <c r="A138" s="140"/>
      <c r="B138" s="96" t="s">
        <v>262</v>
      </c>
      <c r="D138" s="263">
        <v>0.12</v>
      </c>
      <c r="E138" s="263">
        <v>0.11</v>
      </c>
      <c r="F138" s="263">
        <v>0.1</v>
      </c>
      <c r="G138" s="263">
        <v>0.1</v>
      </c>
      <c r="H138" s="263">
        <v>0.1</v>
      </c>
      <c r="I138" s="263">
        <v>0.1</v>
      </c>
      <c r="J138" s="263">
        <v>0.14</v>
      </c>
      <c r="K138" s="263">
        <v>0.14</v>
      </c>
      <c r="L138" s="140"/>
      <c r="M138" s="140"/>
      <c r="N138" s="140"/>
      <c r="O138" s="140"/>
      <c r="P138" s="140"/>
      <c r="Q138" s="140"/>
      <c r="R138" s="140"/>
      <c r="S138" s="140"/>
      <c r="T138" s="140"/>
      <c r="U138" s="140"/>
      <c r="V138" s="140"/>
      <c r="W138" s="140"/>
      <c r="X138" s="140"/>
      <c r="Y138" s="140"/>
      <c r="Z138" s="140"/>
      <c r="AA138" s="140"/>
      <c r="AB138" s="140"/>
      <c r="AC138" s="140"/>
      <c r="AD138" s="140"/>
      <c r="AE138" s="140"/>
      <c r="AF138" s="140"/>
      <c r="AG138" s="140"/>
      <c r="AH138" s="140"/>
      <c r="AI138" s="140"/>
      <c r="AJ138" s="140"/>
      <c r="AK138" s="140"/>
      <c r="AL138" s="140"/>
      <c r="AM138" s="140"/>
      <c r="AN138" s="140"/>
      <c r="AO138" s="140"/>
      <c r="AP138" s="140"/>
      <c r="AQ138" s="140"/>
      <c r="AR138" s="140"/>
      <c r="AS138" s="140"/>
      <c r="AT138" s="140"/>
      <c r="AU138" s="140"/>
      <c r="AV138" s="140"/>
    </row>
    <row r="139" s="203" customFormat="1" spans="1:48">
      <c r="A139" s="140"/>
      <c r="B139" s="96" t="s">
        <v>263</v>
      </c>
      <c r="D139" s="263">
        <v>0.12</v>
      </c>
      <c r="E139" s="263">
        <v>0.11</v>
      </c>
      <c r="F139" s="263">
        <v>0.1</v>
      </c>
      <c r="G139" s="263">
        <v>0.12</v>
      </c>
      <c r="H139" s="263">
        <v>0.12</v>
      </c>
      <c r="I139" s="263">
        <v>0.12</v>
      </c>
      <c r="J139" s="263">
        <v>0.12</v>
      </c>
      <c r="K139" s="263">
        <v>0.12</v>
      </c>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row>
    <row r="140" s="203" customFormat="1" spans="1:48">
      <c r="A140" s="140"/>
      <c r="B140" s="96" t="s">
        <v>264</v>
      </c>
      <c r="D140" s="263">
        <v>0.12</v>
      </c>
      <c r="E140" s="263">
        <v>0.11</v>
      </c>
      <c r="F140" s="263">
        <v>0.1</v>
      </c>
      <c r="G140" s="263">
        <v>0.12</v>
      </c>
      <c r="H140" s="263">
        <v>0.12</v>
      </c>
      <c r="I140" s="263">
        <v>0.12</v>
      </c>
      <c r="J140" s="263">
        <v>0.12</v>
      </c>
      <c r="K140" s="263">
        <v>0.12</v>
      </c>
      <c r="L140" s="140"/>
      <c r="M140" s="140"/>
      <c r="N140" s="140"/>
      <c r="O140" s="140"/>
      <c r="P140" s="140"/>
      <c r="Q140" s="140"/>
      <c r="R140" s="140"/>
      <c r="S140" s="140"/>
      <c r="T140" s="140"/>
      <c r="U140" s="140"/>
      <c r="V140" s="140"/>
      <c r="W140" s="140"/>
      <c r="X140" s="140"/>
      <c r="Y140" s="140"/>
      <c r="Z140" s="140"/>
      <c r="AA140" s="140"/>
      <c r="AB140" s="140"/>
      <c r="AC140" s="140"/>
      <c r="AD140" s="140"/>
      <c r="AE140" s="140"/>
      <c r="AF140" s="140"/>
      <c r="AG140" s="140"/>
      <c r="AH140" s="140"/>
      <c r="AI140" s="140"/>
      <c r="AJ140" s="140"/>
      <c r="AK140" s="140"/>
      <c r="AL140" s="140"/>
      <c r="AM140" s="140"/>
      <c r="AN140" s="140"/>
      <c r="AO140" s="140"/>
      <c r="AP140" s="140"/>
      <c r="AQ140" s="140"/>
      <c r="AR140" s="140"/>
      <c r="AS140" s="140"/>
      <c r="AT140" s="140"/>
      <c r="AU140" s="140"/>
      <c r="AV140" s="140"/>
    </row>
    <row r="141" s="203" customFormat="1" spans="1:48">
      <c r="A141" s="140"/>
      <c r="B141" s="96" t="s">
        <v>265</v>
      </c>
      <c r="D141" s="263">
        <v>0.1</v>
      </c>
      <c r="E141" s="263">
        <v>0.11</v>
      </c>
      <c r="F141" s="263">
        <v>0.1</v>
      </c>
      <c r="G141" s="263">
        <v>0.11</v>
      </c>
      <c r="H141" s="263">
        <v>0.11</v>
      </c>
      <c r="I141" s="263">
        <v>0.11</v>
      </c>
      <c r="J141" s="263">
        <v>0.11</v>
      </c>
      <c r="K141" s="263">
        <v>0.11</v>
      </c>
      <c r="L141" s="140"/>
      <c r="M141" s="140"/>
      <c r="N141" s="140"/>
      <c r="O141" s="140"/>
      <c r="P141" s="140"/>
      <c r="Q141" s="140"/>
      <c r="R141" s="140"/>
      <c r="S141" s="140"/>
      <c r="T141" s="140"/>
      <c r="U141" s="140"/>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row>
    <row r="142" s="203" customFormat="1" spans="1:48">
      <c r="A142" s="140"/>
      <c r="B142" s="96" t="s">
        <v>266</v>
      </c>
      <c r="D142" s="263">
        <v>0.07</v>
      </c>
      <c r="E142" s="263">
        <v>0.06</v>
      </c>
      <c r="F142" s="263">
        <v>0.12</v>
      </c>
      <c r="G142" s="263">
        <v>0.07</v>
      </c>
      <c r="H142" s="263">
        <v>0.07</v>
      </c>
      <c r="I142" s="263">
        <v>0.07</v>
      </c>
      <c r="J142" s="263">
        <v>0.03</v>
      </c>
      <c r="K142" s="263">
        <v>0.03</v>
      </c>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row>
    <row r="143" s="203" customFormat="1" spans="1:48">
      <c r="A143" s="140"/>
      <c r="B143" s="96" t="s">
        <v>267</v>
      </c>
      <c r="D143" s="263">
        <v>0.07</v>
      </c>
      <c r="E143" s="263">
        <v>0.05</v>
      </c>
      <c r="F143" s="263">
        <v>0.03</v>
      </c>
      <c r="G143" s="263">
        <v>0.07</v>
      </c>
      <c r="H143" s="263">
        <v>0.07</v>
      </c>
      <c r="I143" s="263">
        <v>0.07</v>
      </c>
      <c r="J143" s="263">
        <v>0.03</v>
      </c>
      <c r="K143" s="263">
        <v>0.03</v>
      </c>
      <c r="L143" s="140"/>
      <c r="M143" s="140"/>
      <c r="N143" s="140"/>
      <c r="O143" s="140"/>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row>
    <row r="144" s="203" customFormat="1" spans="1:48">
      <c r="A144" s="140"/>
      <c r="B144" s="96" t="s">
        <v>268</v>
      </c>
      <c r="D144" s="265">
        <f t="shared" ref="D144:L144" si="45">SUM(D132:D143)</f>
        <v>1</v>
      </c>
      <c r="E144" s="265">
        <f t="shared" si="45"/>
        <v>1</v>
      </c>
      <c r="F144" s="265">
        <f t="shared" si="45"/>
        <v>1</v>
      </c>
      <c r="G144" s="265">
        <f t="shared" si="45"/>
        <v>1</v>
      </c>
      <c r="H144" s="265">
        <f t="shared" si="45"/>
        <v>1</v>
      </c>
      <c r="I144" s="265">
        <f t="shared" si="45"/>
        <v>1</v>
      </c>
      <c r="J144" s="265">
        <f t="shared" si="45"/>
        <v>1</v>
      </c>
      <c r="K144" s="265">
        <f t="shared" si="45"/>
        <v>1</v>
      </c>
      <c r="L144" s="265">
        <f t="shared" si="45"/>
        <v>0</v>
      </c>
      <c r="M144" s="140"/>
      <c r="N144" s="140"/>
      <c r="O144" s="140"/>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row>
    <row r="145" s="203" customFormat="1" spans="1:48">
      <c r="A145" s="140"/>
      <c r="B145" s="96"/>
      <c r="D145" s="266" t="s">
        <v>269</v>
      </c>
      <c r="E145" s="266"/>
      <c r="F145" s="266"/>
      <c r="G145" s="266"/>
      <c r="H145" s="266"/>
      <c r="I145" s="266"/>
      <c r="J145" s="266"/>
      <c r="K145" s="266"/>
      <c r="L145" s="266"/>
      <c r="M145" s="140"/>
      <c r="N145" s="140"/>
      <c r="O145" s="140"/>
      <c r="P145" s="140"/>
      <c r="Q145" s="140"/>
      <c r="R145" s="140"/>
      <c r="S145" s="140"/>
      <c r="T145" s="140"/>
      <c r="U145" s="140"/>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row>
    <row r="146" s="203" customFormat="1" spans="1:21">
      <c r="A146" s="303"/>
      <c r="B146" s="262" t="s">
        <v>256</v>
      </c>
      <c r="D146" s="268">
        <f t="shared" ref="D146:L146" si="46">D158*D132</f>
        <v>486.56637646848</v>
      </c>
      <c r="E146" s="268">
        <f t="shared" si="46"/>
        <v>729.84956470272</v>
      </c>
      <c r="F146" s="268">
        <f t="shared" si="46"/>
        <v>597.14964384768</v>
      </c>
      <c r="G146" s="268">
        <f t="shared" si="46"/>
        <v>1271.7075748608</v>
      </c>
      <c r="H146" s="268">
        <f t="shared" si="46"/>
        <v>1271.7075748608</v>
      </c>
      <c r="I146" s="268">
        <f t="shared" si="46"/>
        <v>1271.7075748608</v>
      </c>
      <c r="J146" s="268">
        <f t="shared" si="46"/>
        <v>2948.887130112</v>
      </c>
      <c r="K146" s="268">
        <f t="shared" si="46"/>
        <v>2948.887130112</v>
      </c>
      <c r="L146" s="268">
        <f t="shared" si="46"/>
        <v>0</v>
      </c>
      <c r="M146" s="140"/>
      <c r="N146" s="140"/>
      <c r="O146" s="140"/>
      <c r="P146" s="140"/>
      <c r="Q146" s="140"/>
      <c r="R146" s="140"/>
      <c r="S146" s="140"/>
      <c r="T146" s="140"/>
      <c r="U146" s="140"/>
    </row>
    <row r="147" s="203" customFormat="1" spans="1:21">
      <c r="A147" s="303"/>
      <c r="B147" s="262" t="s">
        <v>257</v>
      </c>
      <c r="D147" s="268">
        <f t="shared" ref="D147:L147" si="47">D158*D133</f>
        <v>486.56637646848</v>
      </c>
      <c r="E147" s="268">
        <f t="shared" si="47"/>
        <v>608.2079705856</v>
      </c>
      <c r="F147" s="268">
        <f t="shared" si="47"/>
        <v>597.14964384768</v>
      </c>
      <c r="G147" s="268">
        <f t="shared" si="47"/>
        <v>1271.7075748608</v>
      </c>
      <c r="H147" s="268">
        <f t="shared" si="47"/>
        <v>1271.7075748608</v>
      </c>
      <c r="I147" s="268">
        <f t="shared" si="47"/>
        <v>1271.7075748608</v>
      </c>
      <c r="J147" s="268">
        <f t="shared" si="47"/>
        <v>2948.887130112</v>
      </c>
      <c r="K147" s="268">
        <f t="shared" si="47"/>
        <v>2948.887130112</v>
      </c>
      <c r="L147" s="268">
        <f t="shared" si="47"/>
        <v>0</v>
      </c>
      <c r="M147" s="140"/>
      <c r="N147" s="140"/>
      <c r="O147" s="140"/>
      <c r="P147" s="140"/>
      <c r="Q147" s="140"/>
      <c r="R147" s="140"/>
      <c r="S147" s="140"/>
      <c r="T147" s="140"/>
      <c r="U147" s="140"/>
    </row>
    <row r="148" s="203" customFormat="1" spans="1:21">
      <c r="A148" s="303"/>
      <c r="B148" s="96" t="s">
        <v>258</v>
      </c>
      <c r="D148" s="268">
        <f t="shared" ref="D148:L148" si="48">D158*D134</f>
        <v>486.56637646848</v>
      </c>
      <c r="E148" s="268">
        <f t="shared" si="48"/>
        <v>729.84956470272</v>
      </c>
      <c r="F148" s="268">
        <f t="shared" si="48"/>
        <v>597.14964384768</v>
      </c>
      <c r="G148" s="268">
        <f t="shared" si="48"/>
        <v>1526.04908983296</v>
      </c>
      <c r="H148" s="268">
        <f t="shared" si="48"/>
        <v>1526.04908983296</v>
      </c>
      <c r="I148" s="268">
        <f t="shared" si="48"/>
        <v>1526.04908983296</v>
      </c>
      <c r="J148" s="268">
        <f t="shared" si="48"/>
        <v>2948.887130112</v>
      </c>
      <c r="K148" s="268">
        <f t="shared" si="48"/>
        <v>2948.887130112</v>
      </c>
      <c r="L148" s="268">
        <f t="shared" si="48"/>
        <v>0</v>
      </c>
      <c r="M148" s="140"/>
      <c r="N148" s="140"/>
      <c r="O148" s="140"/>
      <c r="P148" s="140"/>
      <c r="Q148" s="140"/>
      <c r="R148" s="140"/>
      <c r="S148" s="140"/>
      <c r="T148" s="140"/>
      <c r="U148" s="140"/>
    </row>
    <row r="149" s="203" customFormat="1" spans="1:21">
      <c r="A149" s="303"/>
      <c r="B149" s="96" t="s">
        <v>259</v>
      </c>
      <c r="D149" s="268">
        <f t="shared" ref="D149:L149" si="49">D158*D135</f>
        <v>486.56637646848</v>
      </c>
      <c r="E149" s="268">
        <f t="shared" si="49"/>
        <v>729.84956470272</v>
      </c>
      <c r="F149" s="268">
        <f t="shared" si="49"/>
        <v>597.14964384768</v>
      </c>
      <c r="G149" s="268">
        <f t="shared" si="49"/>
        <v>1780.39060480512</v>
      </c>
      <c r="H149" s="268">
        <f t="shared" si="49"/>
        <v>1780.39060480512</v>
      </c>
      <c r="I149" s="268">
        <f t="shared" si="49"/>
        <v>1780.39060480512</v>
      </c>
      <c r="J149" s="268">
        <f t="shared" si="49"/>
        <v>10812.586143744</v>
      </c>
      <c r="K149" s="268">
        <f t="shared" si="49"/>
        <v>10812.586143744</v>
      </c>
      <c r="L149" s="268">
        <f t="shared" si="49"/>
        <v>0</v>
      </c>
      <c r="M149" s="140"/>
      <c r="N149" s="140"/>
      <c r="O149" s="140"/>
      <c r="P149" s="140"/>
      <c r="Q149" s="140"/>
      <c r="R149" s="140"/>
      <c r="S149" s="140"/>
      <c r="T149" s="140"/>
      <c r="U149" s="140"/>
    </row>
    <row r="150" s="203" customFormat="1" spans="1:21">
      <c r="A150" s="303"/>
      <c r="B150" s="96" t="s">
        <v>260</v>
      </c>
      <c r="D150" s="268">
        <f t="shared" ref="D150:L150" si="50">D158*D136</f>
        <v>1459.69912940544</v>
      </c>
      <c r="E150" s="268">
        <f t="shared" si="50"/>
        <v>1338.05753528832</v>
      </c>
      <c r="F150" s="268">
        <f t="shared" si="50"/>
        <v>1094.77434705408</v>
      </c>
      <c r="G150" s="268">
        <f t="shared" si="50"/>
        <v>2034.73211977728</v>
      </c>
      <c r="H150" s="268">
        <f t="shared" si="50"/>
        <v>2034.73211977728</v>
      </c>
      <c r="I150" s="268">
        <f t="shared" si="50"/>
        <v>2034.73211977728</v>
      </c>
      <c r="J150" s="268">
        <f t="shared" si="50"/>
        <v>10812.586143744</v>
      </c>
      <c r="K150" s="268">
        <f t="shared" si="50"/>
        <v>10812.586143744</v>
      </c>
      <c r="L150" s="268">
        <f t="shared" si="50"/>
        <v>0</v>
      </c>
      <c r="M150" s="140"/>
      <c r="N150" s="140"/>
      <c r="O150" s="140"/>
      <c r="P150" s="140"/>
      <c r="Q150" s="140"/>
      <c r="R150" s="140"/>
      <c r="S150" s="140"/>
      <c r="T150" s="140"/>
      <c r="U150" s="140"/>
    </row>
    <row r="151" s="203" customFormat="1" spans="1:21">
      <c r="A151" s="303"/>
      <c r="B151" s="96" t="s">
        <v>261</v>
      </c>
      <c r="D151" s="268">
        <f t="shared" ref="D151:L151" si="51">D158*D137</f>
        <v>1459.69912940544</v>
      </c>
      <c r="E151" s="268">
        <f t="shared" si="51"/>
        <v>1338.05753528832</v>
      </c>
      <c r="F151" s="268">
        <f t="shared" si="51"/>
        <v>995.2494064128</v>
      </c>
      <c r="G151" s="268">
        <f t="shared" si="51"/>
        <v>2543.4151497216</v>
      </c>
      <c r="H151" s="268">
        <f t="shared" si="51"/>
        <v>2543.4151497216</v>
      </c>
      <c r="I151" s="268">
        <f t="shared" si="51"/>
        <v>2543.4151497216</v>
      </c>
      <c r="J151" s="268">
        <f t="shared" si="51"/>
        <v>13761.473273856</v>
      </c>
      <c r="K151" s="268">
        <f t="shared" si="51"/>
        <v>13761.473273856</v>
      </c>
      <c r="L151" s="268">
        <f t="shared" si="51"/>
        <v>0</v>
      </c>
      <c r="M151" s="140"/>
      <c r="N151" s="140"/>
      <c r="O151" s="140"/>
      <c r="P151" s="140"/>
      <c r="Q151" s="140"/>
      <c r="R151" s="140"/>
      <c r="S151" s="140"/>
      <c r="T151" s="140"/>
      <c r="U151" s="140"/>
    </row>
    <row r="152" s="203" customFormat="1" spans="1:21">
      <c r="A152" s="303"/>
      <c r="B152" s="96" t="s">
        <v>262</v>
      </c>
      <c r="D152" s="268">
        <f t="shared" ref="D152:L152" si="52">D158*D138</f>
        <v>1459.69912940544</v>
      </c>
      <c r="E152" s="268">
        <f t="shared" si="52"/>
        <v>1338.05753528832</v>
      </c>
      <c r="F152" s="268">
        <f t="shared" si="52"/>
        <v>995.2494064128</v>
      </c>
      <c r="G152" s="268">
        <f t="shared" si="52"/>
        <v>2543.4151497216</v>
      </c>
      <c r="H152" s="268">
        <f t="shared" si="52"/>
        <v>2543.4151497216</v>
      </c>
      <c r="I152" s="268">
        <f t="shared" si="52"/>
        <v>2543.4151497216</v>
      </c>
      <c r="J152" s="268">
        <f t="shared" si="52"/>
        <v>13761.473273856</v>
      </c>
      <c r="K152" s="268">
        <f t="shared" si="52"/>
        <v>13761.473273856</v>
      </c>
      <c r="L152" s="268">
        <f t="shared" si="52"/>
        <v>0</v>
      </c>
      <c r="M152" s="140"/>
      <c r="N152" s="140"/>
      <c r="O152" s="140"/>
      <c r="P152" s="140"/>
      <c r="Q152" s="140"/>
      <c r="R152" s="140"/>
      <c r="S152" s="140"/>
      <c r="T152" s="140"/>
      <c r="U152" s="140"/>
    </row>
    <row r="153" s="203" customFormat="1" spans="1:21">
      <c r="A153" s="303"/>
      <c r="B153" s="96" t="s">
        <v>263</v>
      </c>
      <c r="D153" s="268">
        <f t="shared" ref="D153:L153" si="53">D158*D139</f>
        <v>1459.69912940544</v>
      </c>
      <c r="E153" s="268">
        <f t="shared" si="53"/>
        <v>1338.05753528832</v>
      </c>
      <c r="F153" s="268">
        <f t="shared" si="53"/>
        <v>995.2494064128</v>
      </c>
      <c r="G153" s="268">
        <f t="shared" si="53"/>
        <v>3052.09817966592</v>
      </c>
      <c r="H153" s="268">
        <f t="shared" si="53"/>
        <v>3052.09817966592</v>
      </c>
      <c r="I153" s="268">
        <f t="shared" si="53"/>
        <v>3052.09817966592</v>
      </c>
      <c r="J153" s="268">
        <f t="shared" si="53"/>
        <v>11795.548520448</v>
      </c>
      <c r="K153" s="268">
        <f t="shared" si="53"/>
        <v>11795.548520448</v>
      </c>
      <c r="L153" s="268">
        <f t="shared" si="53"/>
        <v>0</v>
      </c>
      <c r="M153" s="140"/>
      <c r="N153" s="293"/>
      <c r="O153" s="293"/>
      <c r="P153" s="293"/>
      <c r="Q153" s="293"/>
      <c r="R153" s="293"/>
      <c r="S153" s="293"/>
      <c r="T153" s="293"/>
      <c r="U153" s="293"/>
    </row>
    <row r="154" s="203" customFormat="1" spans="1:21">
      <c r="A154" s="303"/>
      <c r="B154" s="96" t="s">
        <v>264</v>
      </c>
      <c r="D154" s="268">
        <f t="shared" ref="D154:L154" si="54">D158*D140</f>
        <v>1459.69912940544</v>
      </c>
      <c r="E154" s="268">
        <f t="shared" si="54"/>
        <v>1338.05753528832</v>
      </c>
      <c r="F154" s="268">
        <f t="shared" si="54"/>
        <v>995.2494064128</v>
      </c>
      <c r="G154" s="268">
        <f t="shared" si="54"/>
        <v>3052.09817966592</v>
      </c>
      <c r="H154" s="268">
        <f t="shared" si="54"/>
        <v>3052.09817966592</v>
      </c>
      <c r="I154" s="268">
        <f t="shared" si="54"/>
        <v>3052.09817966592</v>
      </c>
      <c r="J154" s="268">
        <f t="shared" si="54"/>
        <v>11795.548520448</v>
      </c>
      <c r="K154" s="268">
        <f t="shared" si="54"/>
        <v>11795.548520448</v>
      </c>
      <c r="L154" s="268">
        <f t="shared" si="54"/>
        <v>0</v>
      </c>
      <c r="M154" s="140"/>
      <c r="N154" s="293"/>
      <c r="O154" s="293"/>
      <c r="P154" s="293"/>
      <c r="Q154" s="293"/>
      <c r="R154" s="293"/>
      <c r="S154" s="293"/>
      <c r="T154" s="293"/>
      <c r="U154" s="293"/>
    </row>
    <row r="155" s="203" customFormat="1" spans="1:21">
      <c r="A155" s="303"/>
      <c r="B155" s="96" t="s">
        <v>265</v>
      </c>
      <c r="D155" s="268">
        <f t="shared" ref="D155:L155" si="55">D158*D141</f>
        <v>1216.4159411712</v>
      </c>
      <c r="E155" s="268">
        <f t="shared" si="55"/>
        <v>1338.05753528832</v>
      </c>
      <c r="F155" s="268">
        <f t="shared" si="55"/>
        <v>995.2494064128</v>
      </c>
      <c r="G155" s="268">
        <f t="shared" si="55"/>
        <v>2797.75666469376</v>
      </c>
      <c r="H155" s="268">
        <f t="shared" si="55"/>
        <v>2797.75666469376</v>
      </c>
      <c r="I155" s="268">
        <f t="shared" si="55"/>
        <v>2797.75666469376</v>
      </c>
      <c r="J155" s="268">
        <f t="shared" si="55"/>
        <v>10812.586143744</v>
      </c>
      <c r="K155" s="268">
        <f t="shared" si="55"/>
        <v>10812.586143744</v>
      </c>
      <c r="L155" s="268">
        <f t="shared" si="55"/>
        <v>0</v>
      </c>
      <c r="N155" s="293"/>
      <c r="O155" s="293"/>
      <c r="P155" s="293"/>
      <c r="Q155" s="293"/>
      <c r="R155" s="293"/>
      <c r="S155" s="293"/>
      <c r="T155" s="293"/>
      <c r="U155" s="293"/>
    </row>
    <row r="156" s="205" customFormat="1" spans="1:21">
      <c r="A156" s="303"/>
      <c r="B156" s="96" t="s">
        <v>266</v>
      </c>
      <c r="D156" s="268">
        <f t="shared" ref="D156:L156" si="56">D158*D142</f>
        <v>851.49115881984</v>
      </c>
      <c r="E156" s="268">
        <f t="shared" si="56"/>
        <v>729.84956470272</v>
      </c>
      <c r="F156" s="268">
        <f t="shared" si="56"/>
        <v>1194.29928769536</v>
      </c>
      <c r="G156" s="268">
        <f t="shared" si="56"/>
        <v>1780.39060480512</v>
      </c>
      <c r="H156" s="268">
        <f t="shared" si="56"/>
        <v>1780.39060480512</v>
      </c>
      <c r="I156" s="268">
        <f t="shared" si="56"/>
        <v>1780.39060480512</v>
      </c>
      <c r="J156" s="268">
        <f t="shared" si="56"/>
        <v>2948.887130112</v>
      </c>
      <c r="K156" s="268">
        <f t="shared" si="56"/>
        <v>2948.887130112</v>
      </c>
      <c r="L156" s="268">
        <f t="shared" si="56"/>
        <v>0</v>
      </c>
      <c r="M156" s="203"/>
      <c r="N156" s="293"/>
      <c r="O156" s="293"/>
      <c r="P156" s="293"/>
      <c r="Q156" s="293"/>
      <c r="R156" s="293"/>
      <c r="S156" s="293"/>
      <c r="T156" s="293"/>
      <c r="U156" s="293"/>
    </row>
    <row r="157" s="205" customFormat="1" spans="1:21">
      <c r="A157" s="303"/>
      <c r="B157" s="96" t="s">
        <v>267</v>
      </c>
      <c r="D157" s="268">
        <f t="shared" ref="D157:L157" si="57">D158*D143</f>
        <v>851.49115881984</v>
      </c>
      <c r="E157" s="268">
        <f t="shared" si="57"/>
        <v>608.2079705856</v>
      </c>
      <c r="F157" s="268">
        <f t="shared" si="57"/>
        <v>298.57482192384</v>
      </c>
      <c r="G157" s="268">
        <f t="shared" si="57"/>
        <v>1780.39060480512</v>
      </c>
      <c r="H157" s="268">
        <f t="shared" si="57"/>
        <v>1780.39060480512</v>
      </c>
      <c r="I157" s="268">
        <f t="shared" si="57"/>
        <v>1780.39060480512</v>
      </c>
      <c r="J157" s="268">
        <f t="shared" si="57"/>
        <v>2948.887130112</v>
      </c>
      <c r="K157" s="268">
        <f t="shared" si="57"/>
        <v>2948.887130112</v>
      </c>
      <c r="L157" s="268">
        <f t="shared" si="57"/>
        <v>0</v>
      </c>
      <c r="M157" s="140"/>
      <c r="N157" s="293"/>
      <c r="O157" s="293"/>
      <c r="P157" s="293"/>
      <c r="Q157" s="293"/>
      <c r="R157" s="293"/>
      <c r="S157" s="293"/>
      <c r="T157" s="293"/>
      <c r="U157" s="293"/>
    </row>
    <row r="158" s="203" customFormat="1" spans="1:21">
      <c r="A158" s="303"/>
      <c r="B158" s="96" t="s">
        <v>268</v>
      </c>
      <c r="D158" s="268">
        <f t="shared" ref="D158:L158" si="58">VLOOKUP(D39,TargetedMSo,IF(D40="[retail]",12,14),FALSE)</f>
        <v>12164.159411712</v>
      </c>
      <c r="E158" s="268">
        <f t="shared" si="58"/>
        <v>12164.159411712</v>
      </c>
      <c r="F158" s="268">
        <f t="shared" si="58"/>
        <v>9952.494064128</v>
      </c>
      <c r="G158" s="268">
        <f t="shared" si="58"/>
        <v>25434.151497216</v>
      </c>
      <c r="H158" s="268">
        <f t="shared" si="58"/>
        <v>25434.151497216</v>
      </c>
      <c r="I158" s="268">
        <f t="shared" si="58"/>
        <v>25434.151497216</v>
      </c>
      <c r="J158" s="268">
        <f t="shared" si="58"/>
        <v>98296.2376704</v>
      </c>
      <c r="K158" s="268">
        <f t="shared" si="58"/>
        <v>98296.2376704</v>
      </c>
      <c r="L158" s="268">
        <f t="shared" si="58"/>
        <v>0</v>
      </c>
      <c r="N158" s="293"/>
      <c r="O158" s="293"/>
      <c r="P158" s="293"/>
      <c r="Q158" s="293"/>
      <c r="R158" s="293"/>
      <c r="S158" s="293"/>
      <c r="T158" s="293"/>
      <c r="U158" s="293"/>
    </row>
    <row r="159" s="205" customFormat="1" spans="1:21">
      <c r="A159" s="258"/>
      <c r="B159" s="262" t="s">
        <v>270</v>
      </c>
      <c r="D159" s="293" t="str">
        <f t="shared" ref="D159:L159" si="59">IF(D40="[wholesale]",D158/capacity,"")</f>
        <v/>
      </c>
      <c r="E159" s="293" t="str">
        <f t="shared" si="59"/>
        <v/>
      </c>
      <c r="F159" s="293" t="str">
        <f t="shared" si="59"/>
        <v/>
      </c>
      <c r="G159" s="293" t="str">
        <f t="shared" si="59"/>
        <v/>
      </c>
      <c r="H159" s="293" t="str">
        <f t="shared" si="59"/>
        <v/>
      </c>
      <c r="I159" s="293" t="str">
        <f t="shared" si="59"/>
        <v/>
      </c>
      <c r="J159" s="293">
        <f t="shared" si="59"/>
        <v>79.2711594116129</v>
      </c>
      <c r="K159" s="293">
        <f t="shared" si="59"/>
        <v>79.2711594116129</v>
      </c>
      <c r="L159" s="293" t="str">
        <f t="shared" si="59"/>
        <v/>
      </c>
      <c r="M159" s="140"/>
      <c r="N159" s="140"/>
      <c r="O159" s="308"/>
      <c r="P159" s="308"/>
      <c r="Q159" s="140"/>
      <c r="R159" s="308"/>
      <c r="S159" s="308"/>
      <c r="T159" s="203"/>
      <c r="U159" s="203"/>
    </row>
    <row r="160" s="140" customFormat="1" spans="1:19">
      <c r="A160" s="258"/>
      <c r="B160" s="262"/>
      <c r="C160" s="304" t="s">
        <v>142</v>
      </c>
      <c r="D160" s="266" t="s">
        <v>271</v>
      </c>
      <c r="E160" s="266"/>
      <c r="F160" s="266"/>
      <c r="G160" s="266"/>
      <c r="H160" s="266"/>
      <c r="I160" s="266"/>
      <c r="J160" s="266"/>
      <c r="K160" s="266"/>
      <c r="L160" s="266"/>
      <c r="O160" s="308"/>
      <c r="P160" s="308"/>
      <c r="R160" s="308"/>
      <c r="S160" s="308"/>
    </row>
    <row r="161" s="140" customFormat="1" spans="1:19">
      <c r="A161" s="261"/>
      <c r="B161" s="262" t="s">
        <v>256</v>
      </c>
      <c r="C161" s="297">
        <f t="shared" ref="C161:C172" si="60">SUM(D161:Z161)</f>
        <v>8</v>
      </c>
      <c r="D161" s="281">
        <f>ProductionFY3o(1,D39,VLOOKUP(D39,ProductsRangeOper,3,FALSE),D146)</f>
        <v>0.283261802575107</v>
      </c>
      <c r="E161" s="281">
        <f>ProductionFY3o(1,E39,VLOOKUP(E39,ProductsRangeOper,3,FALSE),E146)</f>
        <v>0.595190380761523</v>
      </c>
      <c r="F161" s="281">
        <f>ProductionFY3o(1,F39,VLOOKUP(F39,ProductsRangeOper,3,FALSE),F146)</f>
        <v>0</v>
      </c>
      <c r="G161" s="281">
        <f>ProductionFY3o(1,G39,VLOOKUP(G39,ProductsRangeOper,3,FALSE),G146)</f>
        <v>1</v>
      </c>
      <c r="H161" s="281">
        <f>ProductionFY3o(1,H39,VLOOKUP(H39,ProductsRangeOper,3,FALSE),H146)</f>
        <v>1</v>
      </c>
      <c r="I161" s="281">
        <f>ProductionFY3o(1,I39,VLOOKUP(I39,ProductsRangeOper,3,FALSE),I146)</f>
        <v>1</v>
      </c>
      <c r="J161" s="281">
        <f>ProductionFY3o(1,J39,VLOOKUP(J39,ProductsRangeOper,3,FALSE),J146)</f>
        <v>1.71673819742489</v>
      </c>
      <c r="K161" s="281">
        <f>ProductionFY3o(1,K39,VLOOKUP(K39,ProductsRangeOper,3,FALSE),K146)</f>
        <v>2.40480961923848</v>
      </c>
      <c r="L161" s="281">
        <f>ProductionFY3o(1,L39,VLOOKUP(L39,ProductsRangeOper,3,FALSE),L146)</f>
        <v>0</v>
      </c>
      <c r="M161" s="261"/>
      <c r="O161" s="308"/>
      <c r="P161" s="308"/>
      <c r="R161" s="308"/>
      <c r="S161" s="308"/>
    </row>
    <row r="162" s="140" customFormat="1" spans="1:19">
      <c r="A162" s="264"/>
      <c r="B162" s="262" t="s">
        <v>257</v>
      </c>
      <c r="C162" s="297">
        <f t="shared" si="60"/>
        <v>8</v>
      </c>
      <c r="D162" s="281">
        <f>ProductionFY3o(2,D39,VLOOKUP(D39,ProductsRangeOper,3,FALSE),D147)</f>
        <v>0.283261802575107</v>
      </c>
      <c r="E162" s="281">
        <f>ProductionFY3o(2,E39,VLOOKUP(E39,ProductsRangeOper,3,FALSE),E147)</f>
        <v>0.512953367875648</v>
      </c>
      <c r="F162" s="281">
        <f>ProductionFY3o(2,F39,VLOOKUP(F39,ProductsRangeOper,3,FALSE),F147)</f>
        <v>0</v>
      </c>
      <c r="G162" s="281">
        <f>ProductionFY3o(2,G39,VLOOKUP(G39,ProductsRangeOper,3,FALSE),G147)</f>
        <v>1</v>
      </c>
      <c r="H162" s="281">
        <f>ProductionFY3o(2,H39,VLOOKUP(H39,ProductsRangeOper,3,FALSE),H147)</f>
        <v>1</v>
      </c>
      <c r="I162" s="281">
        <f>ProductionFY3o(2,I39,VLOOKUP(I39,ProductsRangeOper,3,FALSE),I147)</f>
        <v>1</v>
      </c>
      <c r="J162" s="281">
        <f>ProductionFY3o(2,J39,VLOOKUP(J39,ProductsRangeOper,3,FALSE),J147)</f>
        <v>1.71673819742489</v>
      </c>
      <c r="K162" s="281">
        <f>ProductionFY3o(2,K39,VLOOKUP(K39,ProductsRangeOper,3,FALSE),K147)</f>
        <v>2.48704663212435</v>
      </c>
      <c r="L162" s="281">
        <f>ProductionFY3o(2,L39,VLOOKUP(L39,ProductsRangeOper,3,FALSE),L147)</f>
        <v>0</v>
      </c>
      <c r="M162" s="261"/>
      <c r="O162" s="308"/>
      <c r="P162" s="308"/>
      <c r="R162" s="308"/>
      <c r="S162" s="308"/>
    </row>
    <row r="163" s="140" customFormat="1" spans="1:19">
      <c r="A163" s="203"/>
      <c r="B163" s="96" t="s">
        <v>258</v>
      </c>
      <c r="C163" s="297">
        <f t="shared" si="60"/>
        <v>8</v>
      </c>
      <c r="D163" s="281">
        <f>ProductionFY3o(3,D39,VLOOKUP(D39,ProductsRangeOper,3,FALSE),D148)</f>
        <v>0.283261802575107</v>
      </c>
      <c r="E163" s="281">
        <f>ProductionFY3o(3,E39,VLOOKUP(E39,ProductsRangeOper,3,FALSE),E148)</f>
        <v>0.595190380761523</v>
      </c>
      <c r="F163" s="281">
        <f>ProductionFY3o(3,F39,VLOOKUP(F39,ProductsRangeOper,3,FALSE),F148)</f>
        <v>0</v>
      </c>
      <c r="G163" s="281">
        <f>ProductionFY3o(3,G39,VLOOKUP(G39,ProductsRangeOper,3,FALSE),G148)</f>
        <v>1</v>
      </c>
      <c r="H163" s="281">
        <f>ProductionFY3o(3,H39,VLOOKUP(H39,ProductsRangeOper,3,FALSE),H148)</f>
        <v>1</v>
      </c>
      <c r="I163" s="281">
        <f>ProductionFY3o(3,I39,VLOOKUP(I39,ProductsRangeOper,3,FALSE),I148)</f>
        <v>1</v>
      </c>
      <c r="J163" s="281">
        <f>ProductionFY3o(3,J39,VLOOKUP(J39,ProductsRangeOper,3,FALSE),J148)</f>
        <v>1.71673819742489</v>
      </c>
      <c r="K163" s="281">
        <f>ProductionFY3o(3,K39,VLOOKUP(K39,ProductsRangeOper,3,FALSE),K148)</f>
        <v>2.40480961923848</v>
      </c>
      <c r="L163" s="281">
        <f>ProductionFY3o(3,L39,VLOOKUP(L39,ProductsRangeOper,3,FALSE),L148)</f>
        <v>0</v>
      </c>
      <c r="M163" s="261"/>
      <c r="O163" s="308"/>
      <c r="P163" s="308"/>
      <c r="R163" s="308"/>
      <c r="S163" s="308"/>
    </row>
    <row r="164" s="140" customFormat="1" spans="1:19">
      <c r="A164" s="203"/>
      <c r="B164" s="96" t="s">
        <v>259</v>
      </c>
      <c r="C164" s="297">
        <f t="shared" si="60"/>
        <v>21</v>
      </c>
      <c r="D164" s="281">
        <f>ProductionFY3o(4,D39,VLOOKUP(D39,ProductsRangeOper,3,FALSE),D149)</f>
        <v>0.38755980861244</v>
      </c>
      <c r="E164" s="281">
        <f>ProductionFY3o(4,E39,VLOOKUP(E39,ProductsRangeOper,3,FALSE),E149)</f>
        <v>0.569086651053864</v>
      </c>
      <c r="F164" s="281">
        <f>ProductionFY3o(4,F39,VLOOKUP(F39,ProductsRangeOper,3,FALSE),F149)</f>
        <v>0</v>
      </c>
      <c r="G164" s="281">
        <f>ProductionFY3o(4,G39,VLOOKUP(G39,ProductsRangeOper,3,FALSE),G149)</f>
        <v>1</v>
      </c>
      <c r="H164" s="281">
        <f>ProductionFY3o(4,H39,VLOOKUP(H39,ProductsRangeOper,3,FALSE),H149)</f>
        <v>1</v>
      </c>
      <c r="I164" s="281">
        <f>ProductionFY3o(4,I39,VLOOKUP(I39,ProductsRangeOper,3,FALSE),I149)</f>
        <v>1</v>
      </c>
      <c r="J164" s="281">
        <f>ProductionFY3o(4,J39,VLOOKUP(J39,ProductsRangeOper,3,FALSE),J149)</f>
        <v>8.61244019138756</v>
      </c>
      <c r="K164" s="281">
        <f>ProductionFY3o(4,K39,VLOOKUP(K39,ProductsRangeOper,3,FALSE),K149)</f>
        <v>8.43091334894614</v>
      </c>
      <c r="L164" s="281">
        <f>ProductionFY3o(4,L39,VLOOKUP(L39,ProductsRangeOper,3,FALSE),L149)</f>
        <v>0</v>
      </c>
      <c r="M164" s="261"/>
      <c r="O164" s="308"/>
      <c r="P164" s="308"/>
      <c r="R164" s="308"/>
      <c r="S164" s="308"/>
    </row>
    <row r="165" s="140" customFormat="1" spans="1:19">
      <c r="A165" s="203"/>
      <c r="B165" s="96" t="s">
        <v>260</v>
      </c>
      <c r="C165" s="297">
        <f t="shared" si="60"/>
        <v>26</v>
      </c>
      <c r="D165" s="281">
        <f>ProductionFY3o(5,D39,VLOOKUP(D39,ProductsRangeOper,3,FALSE),D150)</f>
        <v>1.18942731277533</v>
      </c>
      <c r="E165" s="281">
        <f>ProductionFY3o(5,E39,VLOOKUP(E39,ProductsRangeOper,3,FALSE),E150)</f>
        <v>0.991101223581757</v>
      </c>
      <c r="F165" s="281">
        <f>ProductionFY3o(5,F39,VLOOKUP(F39,ProductsRangeOper,3,FALSE),F150)</f>
        <v>1</v>
      </c>
      <c r="G165" s="281">
        <f>ProductionFY3o(5,G39,VLOOKUP(G39,ProductsRangeOper,3,FALSE),G150)</f>
        <v>2</v>
      </c>
      <c r="H165" s="281">
        <f>ProductionFY3o(5,H39,VLOOKUP(H39,ProductsRangeOper,3,FALSE),H150)</f>
        <v>2</v>
      </c>
      <c r="I165" s="281">
        <f>ProductionFY3o(5,I39,VLOOKUP(I39,ProductsRangeOper,3,FALSE),I150)</f>
        <v>2</v>
      </c>
      <c r="J165" s="281">
        <f>ProductionFY3o(5,J39,VLOOKUP(J39,ProductsRangeOper,3,FALSE),J150)</f>
        <v>8.81057268722467</v>
      </c>
      <c r="K165" s="281">
        <f>ProductionFY3o(5,K39,VLOOKUP(K39,ProductsRangeOper,3,FALSE),K150)</f>
        <v>8.00889877641824</v>
      </c>
      <c r="L165" s="281">
        <f>ProductionFY3o(5,L39,VLOOKUP(L39,ProductsRangeOper,3,FALSE),L150)</f>
        <v>0</v>
      </c>
      <c r="M165" s="261"/>
      <c r="O165" s="308"/>
      <c r="P165" s="308"/>
      <c r="R165" s="308"/>
      <c r="S165" s="308"/>
    </row>
    <row r="166" s="140" customFormat="1" spans="2:19">
      <c r="B166" s="96" t="s">
        <v>261</v>
      </c>
      <c r="C166" s="297">
        <f t="shared" si="60"/>
        <v>31</v>
      </c>
      <c r="D166" s="281">
        <f>ProductionFY3o(6,D39,VLOOKUP(D39,ProductsRangeOper,3,FALSE),D151)</f>
        <v>1.15079108814982</v>
      </c>
      <c r="E166" s="281">
        <f>ProductionFY3o(6,E39,VLOOKUP(E39,ProductsRangeOper,3,FALSE),E151)</f>
        <v>1.06339002359834</v>
      </c>
      <c r="F166" s="281">
        <f>ProductionFY3o(6,F39,VLOOKUP(F39,ProductsRangeOper,3,FALSE),F151)</f>
        <v>1</v>
      </c>
      <c r="G166" s="281">
        <f>ProductionFY3o(6,G39,VLOOKUP(G39,ProductsRangeOper,3,FALSE),G151)</f>
        <v>2</v>
      </c>
      <c r="H166" s="281">
        <f>ProductionFY3o(6,H39,VLOOKUP(H39,ProductsRangeOper,3,FALSE),H151)</f>
        <v>2</v>
      </c>
      <c r="I166" s="281">
        <f>ProductionFY3o(6,I39,VLOOKUP(I39,ProductsRangeOper,3,FALSE),I151)</f>
        <v>2</v>
      </c>
      <c r="J166" s="281">
        <f>ProductionFY3o(6,J39,VLOOKUP(J39,ProductsRangeOper,3,FALSE),J151)</f>
        <v>10.8492089118502</v>
      </c>
      <c r="K166" s="281">
        <f>ProductionFY3o(6,K39,VLOOKUP(K39,ProductsRangeOper,3,FALSE),K151)</f>
        <v>10.9366099764017</v>
      </c>
      <c r="L166" s="281">
        <f>ProductionFY3o(6,L39,VLOOKUP(L39,ProductsRangeOper,3,FALSE),L151)</f>
        <v>0</v>
      </c>
      <c r="M166" s="261"/>
      <c r="O166" s="308"/>
      <c r="P166" s="308"/>
      <c r="R166" s="308"/>
      <c r="S166" s="308"/>
    </row>
    <row r="167" s="140" customFormat="1" spans="2:19">
      <c r="B167" s="96" t="s">
        <v>262</v>
      </c>
      <c r="C167" s="297">
        <f t="shared" si="60"/>
        <v>31</v>
      </c>
      <c r="D167" s="281">
        <f>ProductionFY3o(7,D39,VLOOKUP(D39,ProductsRangeOper,3,FALSE),D152)</f>
        <v>1.15079108814982</v>
      </c>
      <c r="E167" s="281">
        <f>ProductionFY3o(7,E39,VLOOKUP(E39,ProductsRangeOper,3,FALSE),E152)</f>
        <v>1.06339002359834</v>
      </c>
      <c r="F167" s="281">
        <f>ProductionFY3o(7,F39,VLOOKUP(F39,ProductsRangeOper,3,FALSE),F152)</f>
        <v>1</v>
      </c>
      <c r="G167" s="281">
        <f>ProductionFY3o(7,G39,VLOOKUP(G39,ProductsRangeOper,3,FALSE),G152)</f>
        <v>2</v>
      </c>
      <c r="H167" s="281">
        <f>ProductionFY3o(7,H39,VLOOKUP(H39,ProductsRangeOper,3,FALSE),H152)</f>
        <v>2</v>
      </c>
      <c r="I167" s="281">
        <f>ProductionFY3o(7,I39,VLOOKUP(I39,ProductsRangeOper,3,FALSE),I152)</f>
        <v>2</v>
      </c>
      <c r="J167" s="281">
        <f>ProductionFY3o(7,J39,VLOOKUP(J39,ProductsRangeOper,3,FALSE),J152)</f>
        <v>10.8492089118502</v>
      </c>
      <c r="K167" s="281">
        <f>ProductionFY3o(7,K39,VLOOKUP(K39,ProductsRangeOper,3,FALSE),K152)</f>
        <v>10.9366099764017</v>
      </c>
      <c r="L167" s="281">
        <f>ProductionFY3o(7,L39,VLOOKUP(L39,ProductsRangeOper,3,FALSE),L152)</f>
        <v>0</v>
      </c>
      <c r="M167" s="261"/>
      <c r="O167" s="308"/>
      <c r="P167" s="308"/>
      <c r="R167" s="308"/>
      <c r="S167" s="308"/>
    </row>
    <row r="168" s="140" customFormat="1" spans="2:19">
      <c r="B168" s="96" t="s">
        <v>263</v>
      </c>
      <c r="C168" s="297">
        <f t="shared" si="60"/>
        <v>27</v>
      </c>
      <c r="D168" s="281">
        <f>ProductionFY3o(8,D39,VLOOKUP(D39,ProductsRangeOper,3,FALSE),D153)</f>
        <v>1.10122358175751</v>
      </c>
      <c r="E168" s="281">
        <f>ProductionFY3o(8,E39,VLOOKUP(E39,ProductsRangeOper,3,FALSE),E153)</f>
        <v>1.01880437833287</v>
      </c>
      <c r="F168" s="281">
        <f>ProductionFY3o(8,F39,VLOOKUP(F39,ProductsRangeOper,3,FALSE),F153)</f>
        <v>1</v>
      </c>
      <c r="G168" s="281">
        <f>ProductionFY3o(8,G39,VLOOKUP(G39,ProductsRangeOper,3,FALSE),G153)</f>
        <v>2</v>
      </c>
      <c r="H168" s="281">
        <f>ProductionFY3o(8,H39,VLOOKUP(H39,ProductsRangeOper,3,FALSE),H153)</f>
        <v>2</v>
      </c>
      <c r="I168" s="281">
        <f>ProductionFY3o(8,I39,VLOOKUP(I39,ProductsRangeOper,3,FALSE),I153)</f>
        <v>2</v>
      </c>
      <c r="J168" s="281">
        <f>ProductionFY3o(8,J39,VLOOKUP(J39,ProductsRangeOper,3,FALSE),J153)</f>
        <v>8.89877641824249</v>
      </c>
      <c r="K168" s="281">
        <f>ProductionFY3o(8,K39,VLOOKUP(K39,ProductsRangeOper,3,FALSE),K153)</f>
        <v>8.98119562166714</v>
      </c>
      <c r="L168" s="281">
        <f>ProductionFY3o(8,L39,VLOOKUP(L39,ProductsRangeOper,3,FALSE),L153)</f>
        <v>0</v>
      </c>
      <c r="M168" s="261"/>
      <c r="O168" s="308"/>
      <c r="P168" s="308"/>
      <c r="R168" s="308"/>
      <c r="S168" s="308"/>
    </row>
    <row r="169" s="140" customFormat="1" spans="2:19">
      <c r="B169" s="96" t="s">
        <v>264</v>
      </c>
      <c r="C169" s="297">
        <f t="shared" si="60"/>
        <v>27</v>
      </c>
      <c r="D169" s="281">
        <f>ProductionFY3o(9,D39,VLOOKUP(D39,ProductsRangeOper,3,FALSE),D154)</f>
        <v>1.10122358175751</v>
      </c>
      <c r="E169" s="281">
        <f>ProductionFY3o(9,E39,VLOOKUP(E39,ProductsRangeOper,3,FALSE),E154)</f>
        <v>1.01880437833287</v>
      </c>
      <c r="F169" s="281">
        <f>ProductionFY3o(9,F39,VLOOKUP(F39,ProductsRangeOper,3,FALSE),F154)</f>
        <v>1</v>
      </c>
      <c r="G169" s="281">
        <f>ProductionFY3o(9,G39,VLOOKUP(G39,ProductsRangeOper,3,FALSE),G154)</f>
        <v>2</v>
      </c>
      <c r="H169" s="281">
        <f>ProductionFY3o(9,H39,VLOOKUP(H39,ProductsRangeOper,3,FALSE),H154)</f>
        <v>2</v>
      </c>
      <c r="I169" s="281">
        <f>ProductionFY3o(9,I39,VLOOKUP(I39,ProductsRangeOper,3,FALSE),I154)</f>
        <v>2</v>
      </c>
      <c r="J169" s="281">
        <f>ProductionFY3o(9,J39,VLOOKUP(J39,ProductsRangeOper,3,FALSE),J154)</f>
        <v>8.89877641824249</v>
      </c>
      <c r="K169" s="281">
        <f>ProductionFY3o(9,K39,VLOOKUP(K39,ProductsRangeOper,3,FALSE),K154)</f>
        <v>8.98119562166714</v>
      </c>
      <c r="L169" s="281">
        <f>ProductionFY3o(9,L39,VLOOKUP(L39,ProductsRangeOper,3,FALSE),L154)</f>
        <v>0</v>
      </c>
      <c r="M169" s="261"/>
      <c r="O169" s="308"/>
      <c r="P169" s="308"/>
      <c r="R169" s="308"/>
      <c r="S169" s="308"/>
    </row>
    <row r="170" s="140" customFormat="1" spans="2:19">
      <c r="B170" s="96" t="s">
        <v>265</v>
      </c>
      <c r="C170" s="297">
        <f t="shared" si="60"/>
        <v>25</v>
      </c>
      <c r="D170" s="281">
        <f>ProductionFY3o(10,D39,VLOOKUP(D39,ProductsRangeOper,3,FALSE),D155)</f>
        <v>0.910112359550562</v>
      </c>
      <c r="E170" s="281">
        <f>ProductionFY3o(10,E39,VLOOKUP(E39,ProductsRangeOper,3,FALSE),E155)</f>
        <v>0.991101223581757</v>
      </c>
      <c r="F170" s="281">
        <f>ProductionFY3o(10,F39,VLOOKUP(F39,ProductsRangeOper,3,FALSE),F155)</f>
        <v>1</v>
      </c>
      <c r="G170" s="281">
        <f>ProductionFY3o(10,G39,VLOOKUP(G39,ProductsRangeOper,3,FALSE),G155)</f>
        <v>2</v>
      </c>
      <c r="H170" s="281">
        <f>ProductionFY3o(10,H39,VLOOKUP(H39,ProductsRangeOper,3,FALSE),H155)</f>
        <v>2</v>
      </c>
      <c r="I170" s="281">
        <f>ProductionFY3o(10,I39,VLOOKUP(I39,ProductsRangeOper,3,FALSE),I155)</f>
        <v>2</v>
      </c>
      <c r="J170" s="281">
        <f>ProductionFY3o(10,J39,VLOOKUP(J39,ProductsRangeOper,3,FALSE),J155)</f>
        <v>8.08988764044944</v>
      </c>
      <c r="K170" s="281">
        <f>ProductionFY3o(10,K39,VLOOKUP(K39,ProductsRangeOper,3,FALSE),K155)</f>
        <v>8.00889877641824</v>
      </c>
      <c r="L170" s="281">
        <f>ProductionFY3o(10,L39,VLOOKUP(L39,ProductsRangeOper,3,FALSE),L155)</f>
        <v>0</v>
      </c>
      <c r="M170" s="261"/>
      <c r="O170" s="308"/>
      <c r="P170" s="308"/>
      <c r="R170" s="308"/>
      <c r="S170" s="308"/>
    </row>
    <row r="171" s="140" customFormat="1" spans="2:19">
      <c r="B171" s="96" t="s">
        <v>266</v>
      </c>
      <c r="C171" s="297">
        <f t="shared" si="60"/>
        <v>10</v>
      </c>
      <c r="D171" s="281">
        <f>ProductionFY3o(11,D39,VLOOKUP(D39,ProductsRangeOper,3,FALSE),D156)</f>
        <v>0.672162948593599</v>
      </c>
      <c r="E171" s="281">
        <f>ProductionFY3o(11,E39,VLOOKUP(E39,ProductsRangeOper,3,FALSE),E156)</f>
        <v>0.595190380761523</v>
      </c>
      <c r="F171" s="281">
        <f>ProductionFY3o(11,F39,VLOOKUP(F39,ProductsRangeOper,3,FALSE),F156)</f>
        <v>1</v>
      </c>
      <c r="G171" s="281">
        <f>ProductionFY3o(11,G39,VLOOKUP(G39,ProductsRangeOper,3,FALSE),G156)</f>
        <v>1</v>
      </c>
      <c r="H171" s="281">
        <f>ProductionFY3o(11,H39,VLOOKUP(H39,ProductsRangeOper,3,FALSE),H156)</f>
        <v>1</v>
      </c>
      <c r="I171" s="281">
        <f>ProductionFY3o(11,I39,VLOOKUP(I39,ProductsRangeOper,3,FALSE),I156)</f>
        <v>1</v>
      </c>
      <c r="J171" s="281">
        <f>ProductionFY3o(11,J39,VLOOKUP(J39,ProductsRangeOper,3,FALSE),J156)</f>
        <v>2.3278370514064</v>
      </c>
      <c r="K171" s="281">
        <f>ProductionFY3o(11,K39,VLOOKUP(K39,ProductsRangeOper,3,FALSE),K156)</f>
        <v>2.40480961923848</v>
      </c>
      <c r="L171" s="281">
        <f>ProductionFY3o(11,L39,VLOOKUP(L39,ProductsRangeOper,3,FALSE),L156)</f>
        <v>0</v>
      </c>
      <c r="M171" s="261"/>
      <c r="O171" s="308"/>
      <c r="P171" s="308"/>
      <c r="R171" s="308"/>
      <c r="S171" s="308"/>
    </row>
    <row r="172" s="140" customFormat="1" spans="2:19">
      <c r="B172" s="96" t="s">
        <v>267</v>
      </c>
      <c r="C172" s="297">
        <f t="shared" si="60"/>
        <v>9</v>
      </c>
      <c r="D172" s="281">
        <f>ProductionFY3o(12,D39,VLOOKUP(D39,ProductsRangeOper,3,FALSE),D157)</f>
        <v>0.672162948593599</v>
      </c>
      <c r="E172" s="281">
        <f>ProductionFY3o(12,E39,VLOOKUP(E39,ProductsRangeOper,3,FALSE),E157)</f>
        <v>0.512953367875648</v>
      </c>
      <c r="F172" s="281">
        <f>ProductionFY3o(12,F39,VLOOKUP(F39,ProductsRangeOper,3,FALSE),F157)</f>
        <v>0</v>
      </c>
      <c r="G172" s="281">
        <f>ProductionFY3o(12,G39,VLOOKUP(G39,ProductsRangeOper,3,FALSE),G157)</f>
        <v>1</v>
      </c>
      <c r="H172" s="281">
        <f>ProductionFY3o(12,H39,VLOOKUP(H39,ProductsRangeOper,3,FALSE),H157)</f>
        <v>1</v>
      </c>
      <c r="I172" s="281">
        <f>ProductionFY3o(12,I39,VLOOKUP(I39,ProductsRangeOper,3,FALSE),I157)</f>
        <v>1</v>
      </c>
      <c r="J172" s="281">
        <f>ProductionFY3o(12,J39,VLOOKUP(J39,ProductsRangeOper,3,FALSE),J157)</f>
        <v>2.3278370514064</v>
      </c>
      <c r="K172" s="281">
        <f>ProductionFY3o(12,K39,VLOOKUP(K39,ProductsRangeOper,3,FALSE),K157)</f>
        <v>2.48704663212435</v>
      </c>
      <c r="L172" s="281">
        <f>ProductionFY3o(12,L39,VLOOKUP(L39,ProductsRangeOper,3,FALSE),L157)</f>
        <v>0</v>
      </c>
      <c r="M172" s="261"/>
      <c r="O172" s="308"/>
      <c r="P172" s="308"/>
      <c r="R172" s="308"/>
      <c r="S172" s="308"/>
    </row>
    <row r="173" s="205" customFormat="1" spans="1:21">
      <c r="A173" s="298" t="s">
        <v>272</v>
      </c>
      <c r="B173" s="203"/>
      <c r="C173" s="262" t="s">
        <v>117</v>
      </c>
      <c r="D173" s="310">
        <f t="shared" ref="D173:I173" si="61">SUM(D146:D157)</f>
        <v>12164.159411712</v>
      </c>
      <c r="E173" s="311">
        <f t="shared" si="61"/>
        <v>12164.159411712</v>
      </c>
      <c r="F173" s="311">
        <f t="shared" si="61"/>
        <v>9952.494064128</v>
      </c>
      <c r="G173" s="311">
        <f t="shared" si="61"/>
        <v>25434.151497216</v>
      </c>
      <c r="H173" s="311">
        <f t="shared" si="61"/>
        <v>25434.151497216</v>
      </c>
      <c r="I173" s="311">
        <f t="shared" si="61"/>
        <v>25434.151497216</v>
      </c>
      <c r="J173" s="313">
        <f>J158</f>
        <v>98296.2376704</v>
      </c>
      <c r="K173" s="313">
        <f>K158</f>
        <v>98296.2376704</v>
      </c>
      <c r="L173" s="313">
        <f>L158</f>
        <v>0</v>
      </c>
      <c r="M173" s="140"/>
      <c r="N173" s="140"/>
      <c r="O173" s="308"/>
      <c r="P173" s="308"/>
      <c r="Q173" s="140"/>
      <c r="R173" s="308"/>
      <c r="S173" s="308"/>
      <c r="T173" s="203"/>
      <c r="U173" s="203"/>
    </row>
    <row r="174" s="140" customFormat="1" spans="1:21">
      <c r="A174" s="298" t="s">
        <v>273</v>
      </c>
      <c r="B174" s="203"/>
      <c r="C174" s="262" t="s">
        <v>117</v>
      </c>
      <c r="D174" s="310">
        <f t="shared" ref="D174:L174" si="62">SUM(D161:D172)*capacity</f>
        <v>11389.6977558252</v>
      </c>
      <c r="E174" s="310">
        <f t="shared" si="62"/>
        <v>11813.6731673434</v>
      </c>
      <c r="F174" s="310">
        <f t="shared" si="62"/>
        <v>8680</v>
      </c>
      <c r="G174" s="310">
        <f t="shared" si="62"/>
        <v>22320</v>
      </c>
      <c r="H174" s="310">
        <f t="shared" si="62"/>
        <v>22320</v>
      </c>
      <c r="I174" s="310">
        <f t="shared" si="62"/>
        <v>22320</v>
      </c>
      <c r="J174" s="310">
        <f t="shared" si="62"/>
        <v>92770.3022441748</v>
      </c>
      <c r="K174" s="310">
        <f t="shared" si="62"/>
        <v>94826.3268326566</v>
      </c>
      <c r="L174" s="314">
        <f t="shared" si="62"/>
        <v>0</v>
      </c>
      <c r="M174" s="203"/>
      <c r="N174" s="203"/>
      <c r="O174" s="315"/>
      <c r="P174" s="315"/>
      <c r="Q174" s="203"/>
      <c r="R174" s="315"/>
      <c r="S174" s="315"/>
      <c r="T174" s="203"/>
      <c r="U174" s="203"/>
    </row>
    <row r="175" s="140" customFormat="1" spans="1:21">
      <c r="A175" s="298" t="s">
        <v>274</v>
      </c>
      <c r="B175" s="203"/>
      <c r="C175" s="262" t="s">
        <v>117</v>
      </c>
      <c r="D175" s="310">
        <f t="shared" ref="D175:L175" si="63">D173-D174</f>
        <v>774.461655886771</v>
      </c>
      <c r="E175" s="311">
        <f t="shared" si="63"/>
        <v>350.486244368591</v>
      </c>
      <c r="F175" s="311">
        <f t="shared" si="63"/>
        <v>1272.494064128</v>
      </c>
      <c r="G175" s="311">
        <f t="shared" si="63"/>
        <v>3114.151497216</v>
      </c>
      <c r="H175" s="311">
        <f t="shared" si="63"/>
        <v>3114.151497216</v>
      </c>
      <c r="I175" s="311">
        <f t="shared" si="63"/>
        <v>3114.151497216</v>
      </c>
      <c r="J175" s="311">
        <f t="shared" si="63"/>
        <v>5525.93542622526</v>
      </c>
      <c r="K175" s="311">
        <f t="shared" si="63"/>
        <v>3469.91083774346</v>
      </c>
      <c r="L175" s="316">
        <f t="shared" si="63"/>
        <v>0</v>
      </c>
      <c r="M175" s="203"/>
      <c r="N175" s="203"/>
      <c r="O175" s="315"/>
      <c r="P175" s="315"/>
      <c r="Q175" s="203"/>
      <c r="R175" s="315"/>
      <c r="S175" s="315"/>
      <c r="T175" s="203"/>
      <c r="U175" s="203"/>
    </row>
    <row r="176" s="140" customFormat="1" spans="1:21">
      <c r="A176" s="303"/>
      <c r="D176" s="303"/>
      <c r="O176" s="308"/>
      <c r="P176" s="308"/>
      <c r="R176" s="308"/>
      <c r="S176" s="308"/>
      <c r="T176" s="203"/>
      <c r="U176" s="203"/>
    </row>
    <row r="177" s="140" customFormat="1" spans="1:19">
      <c r="A177" s="303"/>
      <c r="D177" s="160" t="str">
        <f>IF(B11="","",B11)</f>
        <v>BR01-01</v>
      </c>
      <c r="E177" s="160" t="str">
        <f>IF(B12="","",B12)</f>
        <v>BR01-02</v>
      </c>
      <c r="F177" s="160" t="str">
        <f>IF(B13="","",B13)</f>
        <v>BR01-03</v>
      </c>
      <c r="G177" s="160" t="str">
        <f>IF(B14="","",B14)</f>
        <v>BR01-04</v>
      </c>
      <c r="H177" s="160" t="str">
        <f>IF(B15="","",B15)</f>
        <v>BR01-05</v>
      </c>
      <c r="I177" s="160" t="str">
        <f>IF(B16="","",B16)</f>
        <v>BR01-06</v>
      </c>
      <c r="J177" s="160" t="str">
        <f>IF(B17="","",B17)</f>
        <v>BR01-07</v>
      </c>
      <c r="K177" s="160" t="str">
        <f>IF(B18="","",B18)</f>
        <v>BR01-08</v>
      </c>
      <c r="L177" s="160" t="str">
        <f>IF(B19="","",B19)</f>
        <v>BR01-09</v>
      </c>
      <c r="M177" s="293"/>
      <c r="N177" s="307"/>
      <c r="O177" s="317"/>
      <c r="P177" s="317"/>
      <c r="R177" s="318"/>
      <c r="S177" s="318"/>
    </row>
    <row r="178" s="140" customFormat="1" spans="1:19">
      <c r="A178" s="303"/>
      <c r="D178" s="160" t="str">
        <f>C11</f>
        <v>[retail]</v>
      </c>
      <c r="E178" s="160" t="str">
        <f>C12</f>
        <v>[retail]</v>
      </c>
      <c r="F178" s="160" t="str">
        <f>C13</f>
        <v>[retail]</v>
      </c>
      <c r="G178" s="160" t="str">
        <f>C14</f>
        <v>[retail]</v>
      </c>
      <c r="H178" s="160" t="str">
        <f>C15</f>
        <v>[retail]</v>
      </c>
      <c r="I178" s="160" t="str">
        <f>C16</f>
        <v>[retail]</v>
      </c>
      <c r="J178" s="160" t="str">
        <f>C17</f>
        <v>[wholesale]</v>
      </c>
      <c r="K178" s="160" t="str">
        <f>C18</f>
        <v>[wholesale]</v>
      </c>
      <c r="L178" s="160" t="str">
        <f>C19</f>
        <v>[retail]</v>
      </c>
      <c r="M178" s="293"/>
      <c r="N178" s="307"/>
      <c r="O178" s="317"/>
      <c r="P178" s="317"/>
      <c r="R178" s="318"/>
      <c r="S178" s="318"/>
    </row>
    <row r="179" s="140" customFormat="1" spans="1:19">
      <c r="A179" s="303"/>
      <c r="B179" s="312" t="s">
        <v>103</v>
      </c>
      <c r="C179" s="262" t="s">
        <v>256</v>
      </c>
      <c r="D179" s="268">
        <f>IF(VLOOKUP(D177,ProductsRangeOper,3,FALSE)="Special Offer",SpecialOffero(D177,1,"FY-1"),MIN(D56,D71*capacity))</f>
        <v>412.921728739295</v>
      </c>
      <c r="E179" s="268">
        <f>IF(VLOOKUP(E177,ProductsRangeOper,3,FALSE)="Special Offer",SpecialOffero(E177,1,"FY-1"),MIN(E56,E71*capacity))</f>
        <v>488.290155440415</v>
      </c>
      <c r="F179" s="268">
        <f>IF(VLOOKUP(F177,ProductsRangeOper,3,FALSE)="Special Offer",SpecialOffero(F177,1,"FY-1"),MIN(F56,F71*capacity))</f>
        <v>0</v>
      </c>
      <c r="G179" s="268">
        <f>IF(VLOOKUP(G177,ProductsRangeOper,3,FALSE)="Special Offer",SpecialOffero(G177,1,"FY-1"),MIN(G56,G71*capacity))</f>
        <v>1155.9193851744</v>
      </c>
      <c r="H179" s="268">
        <f>IF(VLOOKUP(H177,ProductsRangeOper,3,FALSE)="Special Offer",SpecialOffero(H177,1,"FY-1"),MIN(H56,H71*capacity))</f>
        <v>1155.9193851744</v>
      </c>
      <c r="I179" s="268">
        <f>IF(VLOOKUP(I177,ProductsRangeOper,3,FALSE)="Special Offer",SpecialOffero(I177,1,"FY-1"),MIN(I56,I71*capacity))</f>
        <v>1155.9193851744</v>
      </c>
      <c r="J179" s="268">
        <f>IF(VLOOKUP(J177,ProductsRangeOper,3,FALSE)="Special Offer",SpecialOffero(J177,1,"FY-1"),MIN(J56,J71*capacity))</f>
        <v>2067.0782712607</v>
      </c>
      <c r="K179" s="268">
        <f>IF(VLOOKUP(K177,ProductsRangeOper,3,FALSE)="Special Offer",SpecialOffero(K177,1,"FY-1"),MIN(K56,K71*capacity))</f>
        <v>1991.70984455959</v>
      </c>
      <c r="L179" s="268">
        <f>IF(VLOOKUP(L177,ProductsRangeOper,3,FALSE)="Special Offer",SpecialOffero(L177,1,"FY-1"),MIN(L56,L71*capacity))</f>
        <v>252.241844476799</v>
      </c>
      <c r="M179" s="293"/>
      <c r="N179" s="307"/>
      <c r="O179" s="317"/>
      <c r="P179" s="317"/>
      <c r="R179" s="318"/>
      <c r="S179" s="318"/>
    </row>
    <row r="180" s="140" customFormat="1" spans="1:19">
      <c r="A180" s="303"/>
      <c r="B180" s="312" t="s">
        <v>103</v>
      </c>
      <c r="C180" s="262" t="s">
        <v>257</v>
      </c>
      <c r="D180" s="268">
        <f>IF(VLOOKUP(D177,ProductsRangeOper,3,FALSE)="Special Offer",SpecialOffero(D177,7,"FY-1"),MIN(D57,D72*capacity))</f>
        <v>412.921728739295</v>
      </c>
      <c r="E180" s="268">
        <f>IF(VLOOKUP(E177,ProductsRangeOper,3,FALSE)="Special Offer",SpecialOffero(E177,7,"FY-1"),MIN(E57,E72*capacity))</f>
        <v>420.714285714286</v>
      </c>
      <c r="F180" s="268">
        <f>IF(VLOOKUP(F177,ProductsRangeOper,3,FALSE)="Special Offer",SpecialOffero(F177,7,"FY-1"),MIN(F57,F72*capacity))</f>
        <v>0</v>
      </c>
      <c r="G180" s="268">
        <f>IF(VLOOKUP(G177,ProductsRangeOper,3,FALSE)="Special Offer",SpecialOffero(G177,7,"FY-1"),MIN(G57,G72*capacity))</f>
        <v>1155.9193851744</v>
      </c>
      <c r="H180" s="268">
        <f>IF(VLOOKUP(H177,ProductsRangeOper,3,FALSE)="Special Offer",SpecialOffero(H177,7,"FY-1"),MIN(H57,H72*capacity))</f>
        <v>1155.9193851744</v>
      </c>
      <c r="I180" s="268">
        <f>IF(VLOOKUP(I177,ProductsRangeOper,3,FALSE)="Special Offer",SpecialOffero(I177,7,"FY-1"),MIN(I57,I72*capacity))</f>
        <v>1155.9193851744</v>
      </c>
      <c r="J180" s="268">
        <f>IF(VLOOKUP(J177,ProductsRangeOper,3,FALSE)="Special Offer",SpecialOffero(J177,7,"FY-1"),MIN(J57,J72*capacity))</f>
        <v>2067.0782712607</v>
      </c>
      <c r="K180" s="268">
        <f>IF(VLOOKUP(K177,ProductsRangeOper,3,FALSE)="Special Offer",SpecialOffero(K177,7,"FY-1"),MIN(K57,K72*capacity))</f>
        <v>2059.28571428571</v>
      </c>
      <c r="L180" s="268">
        <f>IF(VLOOKUP(L177,ProductsRangeOper,3,FALSE)="Special Offer",SpecialOffero(L177,7,"FY-1"),MIN(L57,L72*capacity))</f>
        <v>658.924614181116</v>
      </c>
      <c r="M180" s="293"/>
      <c r="N180" s="307"/>
      <c r="O180" s="317"/>
      <c r="P180" s="317"/>
      <c r="R180" s="318"/>
      <c r="S180" s="318"/>
    </row>
    <row r="181" s="140" customFormat="1" spans="1:19">
      <c r="A181" s="303"/>
      <c r="B181" s="312" t="s">
        <v>103</v>
      </c>
      <c r="C181" s="96" t="s">
        <v>258</v>
      </c>
      <c r="D181" s="268">
        <f>IF(VLOOKUP(D177,ProductsRangeOper,3,FALSE)="Special Offer",SpecialOffero(D177,3,"FY-1"),MIN(D58,D73*capacity))</f>
        <v>412.921728739295</v>
      </c>
      <c r="E181" s="268">
        <f>IF(VLOOKUP(E177,ProductsRangeOper,3,FALSE)="Special Offer",SpecialOffero(E177,3,"FY-1"),MIN(E58,E73*capacity))</f>
        <v>488.290155440415</v>
      </c>
      <c r="F181" s="268">
        <f>IF(VLOOKUP(F177,ProductsRangeOper,3,FALSE)="Special Offer",SpecialOffero(F177,3,"FY-1"),MIN(F58,F73*capacity))</f>
        <v>0</v>
      </c>
      <c r="G181" s="268">
        <f>IF(VLOOKUP(G177,ProductsRangeOper,3,FALSE)="Special Offer",SpecialOffero(G177,3,"FY-1"),MIN(G58,G73*capacity))</f>
        <v>1240</v>
      </c>
      <c r="H181" s="268">
        <f>IF(VLOOKUP(H177,ProductsRangeOper,3,FALSE)="Special Offer",SpecialOffero(H177,3,"FY-1"),MIN(H58,H73*capacity))</f>
        <v>1240</v>
      </c>
      <c r="I181" s="268">
        <f>IF(VLOOKUP(I177,ProductsRangeOper,3,FALSE)="Special Offer",SpecialOffero(I177,3,"FY-1"),MIN(I58,I73*capacity))</f>
        <v>1240</v>
      </c>
      <c r="J181" s="268">
        <f>IF(VLOOKUP(J177,ProductsRangeOper,3,FALSE)="Special Offer",SpecialOffero(J177,3,"FY-1"),MIN(J58,J73*capacity))</f>
        <v>2067.0782712607</v>
      </c>
      <c r="K181" s="268">
        <f>IF(VLOOKUP(K177,ProductsRangeOper,3,FALSE)="Special Offer",SpecialOffero(K177,3,"FY-1"),MIN(K58,K73*capacity))</f>
        <v>1991.70984455959</v>
      </c>
      <c r="L181" s="268">
        <f>IF(VLOOKUP(L177,ProductsRangeOper,3,FALSE)="Special Offer",SpecialOffero(L177,3,"FY-1"),MIN(L58,L73*capacity))</f>
        <v>0</v>
      </c>
      <c r="M181" s="293"/>
      <c r="N181" s="307"/>
      <c r="O181" s="317"/>
      <c r="P181" s="317"/>
      <c r="R181" s="318"/>
      <c r="S181" s="318"/>
    </row>
    <row r="182" s="140" customFormat="1" spans="1:19">
      <c r="A182" s="303"/>
      <c r="B182" s="312" t="s">
        <v>103</v>
      </c>
      <c r="C182" s="96" t="s">
        <v>259</v>
      </c>
      <c r="D182" s="268">
        <f>IF(VLOOKUP(D177,ProductsRangeOper,3,FALSE)="Special Offer",SpecialOffero(D177,4,"FY-1"),MIN(D59,D74*capacity))</f>
        <v>442.26480824064</v>
      </c>
      <c r="E182" s="268">
        <f>IF(VLOOKUP(E177,ProductsRangeOper,3,FALSE)="Special Offer",SpecialOffero(E177,4,"FY-1"),MIN(E59,E74*capacity))</f>
        <v>621.704233095107</v>
      </c>
      <c r="F182" s="268">
        <f>IF(VLOOKUP(F177,ProductsRangeOper,3,FALSE)="Special Offer",SpecialOffero(F177,4,"FY-1"),MIN(F59,F74*capacity))</f>
        <v>0</v>
      </c>
      <c r="G182" s="268">
        <f>IF(VLOOKUP(G177,ProductsRangeOper,3,FALSE)="Special Offer",SpecialOffero(G177,4,"FY-1"),MIN(G59,G74*capacity))</f>
        <v>1240</v>
      </c>
      <c r="H182" s="268">
        <f>IF(VLOOKUP(H177,ProductsRangeOper,3,FALSE)="Special Offer",SpecialOffero(H177,4,"FY-1"),MIN(H59,H74*capacity))</f>
        <v>1240</v>
      </c>
      <c r="I182" s="268">
        <f>IF(VLOOKUP(I177,ProductsRangeOper,3,FALSE)="Special Offer",SpecialOffero(I177,4,"FY-1"),MIN(I59,I74*capacity))</f>
        <v>1240</v>
      </c>
      <c r="J182" s="268">
        <f>IF(VLOOKUP(J177,ProductsRangeOper,3,FALSE)="Special Offer",SpecialOffero(J177,4,"FY-1"),MIN(J59,J74*capacity))</f>
        <v>8117.8869407328</v>
      </c>
      <c r="K182" s="268">
        <f>IF(VLOOKUP(K177,ProductsRangeOper,3,FALSE)="Special Offer",SpecialOffero(K177,4,"FY-1"),MIN(K59,K74*capacity))</f>
        <v>9298.29576690489</v>
      </c>
      <c r="L182" s="268">
        <f>IF(VLOOKUP(L177,ProductsRangeOper,3,FALSE)="Special Offer",SpecialOffero(L177,4,"FY-1"),MIN(L59,L74*capacity))</f>
        <v>119.84825102656</v>
      </c>
      <c r="M182" s="293"/>
      <c r="N182" s="307"/>
      <c r="O182" s="317"/>
      <c r="P182" s="317"/>
      <c r="R182" s="318"/>
      <c r="S182" s="318"/>
    </row>
    <row r="183" s="140" customFormat="1" spans="1:19">
      <c r="A183" s="303"/>
      <c r="B183" s="312" t="s">
        <v>103</v>
      </c>
      <c r="C183" s="96" t="s">
        <v>260</v>
      </c>
      <c r="D183" s="268">
        <f>IF(VLOOKUP(D177,ProductsRangeOper,3,FALSE)="Special Offer",SpecialOffero(D177,5,"FY-1"),MIN(D60,D75*capacity))</f>
        <v>1219.37153419593</v>
      </c>
      <c r="E183" s="268">
        <f>IF(VLOOKUP(E177,ProductsRangeOper,3,FALSE)="Special Offer",SpecialOffero(E177,5,"FY-1"),MIN(E60,E75*capacity))</f>
        <v>1216.22822266176</v>
      </c>
      <c r="F183" s="268">
        <f>IF(VLOOKUP(F177,ProductsRangeOper,3,FALSE)="Special Offer",SpecialOffero(F177,5,"FY-1"),MIN(F60,F75*capacity))</f>
        <v>995.09581854144</v>
      </c>
      <c r="G183" s="268">
        <f>IF(VLOOKUP(G177,ProductsRangeOper,3,FALSE)="Special Offer",SpecialOffero(G177,5,"FY-1"),MIN(G60,G75*capacity))</f>
        <v>1240</v>
      </c>
      <c r="H183" s="268">
        <f>IF(VLOOKUP(H177,ProductsRangeOper,3,FALSE)="Special Offer",SpecialOffero(H177,5,"FY-1"),MIN(H60,H75*capacity))</f>
        <v>1240</v>
      </c>
      <c r="I183" s="268">
        <f>IF(VLOOKUP(I177,ProductsRangeOper,3,FALSE)="Special Offer",SpecialOffero(I177,5,"FY-1"),MIN(I60,I75*capacity))</f>
        <v>1240</v>
      </c>
      <c r="J183" s="268">
        <f>IF(VLOOKUP(J177,ProductsRangeOper,3,FALSE)="Special Offer",SpecialOffero(J177,5,"FY-1"),MIN(J60,J75*capacity))</f>
        <v>7460.62846580407</v>
      </c>
      <c r="K183" s="268">
        <f>IF(VLOOKUP(K177,ProductsRangeOper,3,FALSE)="Special Offer",SpecialOffero(K177,5,"FY-1"),MIN(K60,K75*capacity))</f>
        <v>9921.8618164512</v>
      </c>
      <c r="L183" s="268">
        <f>IF(VLOOKUP(L177,ProductsRangeOper,3,FALSE)="Special Offer",SpecialOffero(L177,5,"FY-1"),MIN(L60,L75*capacity))</f>
        <v>266.8141423456</v>
      </c>
      <c r="M183" s="293"/>
      <c r="N183" s="307"/>
      <c r="O183" s="317"/>
      <c r="P183" s="317"/>
      <c r="R183" s="318"/>
      <c r="S183" s="318"/>
    </row>
    <row r="184" s="140" customFormat="1" spans="1:19">
      <c r="A184" s="303"/>
      <c r="B184" s="312" t="s">
        <v>103</v>
      </c>
      <c r="C184" s="96" t="s">
        <v>261</v>
      </c>
      <c r="D184" s="268">
        <f>IF(VLOOKUP(D177,ProductsRangeOper,3,FALSE)="Special Offer",SpecialOffero(D177,6,"FY-1"),MIN(D61,D76*capacity))</f>
        <v>1270.0462836918</v>
      </c>
      <c r="E184" s="268">
        <f>IF(VLOOKUP(E177,ProductsRangeOper,3,FALSE)="Special Offer",SpecialOffero(E177,6,"FY-1"),MIN(E61,E76*capacity))</f>
        <v>1198.30180748214</v>
      </c>
      <c r="F184" s="268">
        <f>IF(VLOOKUP(F177,ProductsRangeOper,3,FALSE)="Special Offer",SpecialOffero(F177,6,"FY-1"),MIN(F61,F76*capacity))</f>
        <v>1085.55907477248</v>
      </c>
      <c r="G184" s="268">
        <f>IF(VLOOKUP(G177,ProductsRangeOper,3,FALSE)="Special Offer",SpecialOffero(G177,6,"FY-1"),MIN(G61,G76*capacity))</f>
        <v>2311.8387703488</v>
      </c>
      <c r="H184" s="268">
        <f>IF(VLOOKUP(H177,ProductsRangeOper,3,FALSE)="Special Offer",SpecialOffero(H177,6,"FY-1"),MIN(H61,H76*capacity))</f>
        <v>2311.8387703488</v>
      </c>
      <c r="I184" s="268">
        <f>IF(VLOOKUP(I177,ProductsRangeOper,3,FALSE)="Special Offer",SpecialOffero(I177,6,"FY-1"),MIN(I61,I76*capacity))</f>
        <v>2311.8387703488</v>
      </c>
      <c r="J184" s="268">
        <f>IF(VLOOKUP(J177,ProductsRangeOper,3,FALSE)="Special Offer",SpecialOffero(J177,6,"FY-1"),MIN(J61,J76*capacity))</f>
        <v>9889.95371630819</v>
      </c>
      <c r="K184" s="268">
        <f>IF(VLOOKUP(K177,ProductsRangeOper,3,FALSE)="Special Offer",SpecialOffero(K177,6,"FY-1"),MIN(K61,K76*capacity))</f>
        <v>12441.6981925179</v>
      </c>
      <c r="L184" s="268">
        <f>IF(VLOOKUP(L177,ProductsRangeOper,3,FALSE)="Special Offer",SpecialOffero(L177,6,"FY-1"),MIN(L61,L76*capacity))</f>
        <v>658.924614181116</v>
      </c>
      <c r="M184" s="293"/>
      <c r="N184" s="307"/>
      <c r="O184" s="317"/>
      <c r="P184" s="317"/>
      <c r="R184" s="318"/>
      <c r="S184" s="318"/>
    </row>
    <row r="185" s="140" customFormat="1" spans="1:19">
      <c r="A185" s="303"/>
      <c r="B185" s="312" t="s">
        <v>103</v>
      </c>
      <c r="C185" s="96" t="s">
        <v>262</v>
      </c>
      <c r="D185" s="268">
        <f>IF(VLOOKUP(D177,ProductsRangeOper,3,FALSE)="Special Offer",SpecialOffero(D177,7,"FY-1"),MIN(D62,D77*capacity))</f>
        <v>1270.0462836918</v>
      </c>
      <c r="E185" s="268">
        <f>IF(VLOOKUP(E177,ProductsRangeOper,3,FALSE)="Special Offer",SpecialOffero(E177,7,"FY-1"),MIN(E62,E77*capacity))</f>
        <v>1198.30180748214</v>
      </c>
      <c r="F185" s="268">
        <f>IF(VLOOKUP(F177,ProductsRangeOper,3,FALSE)="Special Offer",SpecialOffero(F177,7,"FY-1"),MIN(F62,F77*capacity))</f>
        <v>1085.55907477248</v>
      </c>
      <c r="G185" s="268">
        <f>IF(VLOOKUP(G177,ProductsRangeOper,3,FALSE)="Special Offer",SpecialOffero(G177,7,"FY-1"),MIN(G62,G77*capacity))</f>
        <v>2311.8387703488</v>
      </c>
      <c r="H185" s="268">
        <f>IF(VLOOKUP(H177,ProductsRangeOper,3,FALSE)="Special Offer",SpecialOffero(H177,7,"FY-1"),MIN(H62,H77*capacity))</f>
        <v>2311.8387703488</v>
      </c>
      <c r="I185" s="268">
        <f>IF(VLOOKUP(I177,ProductsRangeOper,3,FALSE)="Special Offer",SpecialOffero(I177,7,"FY-1"),MIN(I62,I77*capacity))</f>
        <v>2311.8387703488</v>
      </c>
      <c r="J185" s="268">
        <f>IF(VLOOKUP(J177,ProductsRangeOper,3,FALSE)="Special Offer",SpecialOffero(J177,7,"FY-1"),MIN(J62,J77*capacity))</f>
        <v>9889.95371630819</v>
      </c>
      <c r="K185" s="268">
        <f>IF(VLOOKUP(K177,ProductsRangeOper,3,FALSE)="Special Offer",SpecialOffero(K177,7,"FY-1"),MIN(K62,K77*capacity))</f>
        <v>12441.6981925179</v>
      </c>
      <c r="L185" s="268">
        <f>IF(VLOOKUP(L177,ProductsRangeOper,3,FALSE)="Special Offer",SpecialOffero(L177,7,"FY-1"),MIN(L62,L77*capacity))</f>
        <v>658.924614181116</v>
      </c>
      <c r="M185" s="293"/>
      <c r="N185" s="307"/>
      <c r="O185" s="317"/>
      <c r="P185" s="317"/>
      <c r="R185" s="318"/>
      <c r="S185" s="318"/>
    </row>
    <row r="186" s="140" customFormat="1" spans="1:19">
      <c r="A186" s="303"/>
      <c r="B186" s="312" t="s">
        <v>103</v>
      </c>
      <c r="C186" s="96" t="s">
        <v>263</v>
      </c>
      <c r="D186" s="268">
        <f>IF(VLOOKUP(D177,ProductsRangeOper,3,FALSE)="Special Offer",SpecialOffero(D177,8,"FY-1"),MIN(D63,D78*capacity))</f>
        <v>1292.56857855362</v>
      </c>
      <c r="E186" s="268">
        <f>IF(VLOOKUP(E177,ProductsRangeOper,3,FALSE)="Special Offer",SpecialOffero(E177,8,"FY-1"),MIN(E63,E78*capacity))</f>
        <v>1127.32721121315</v>
      </c>
      <c r="F186" s="268">
        <f>IF(VLOOKUP(F177,ProductsRangeOper,3,FALSE)="Special Offer",SpecialOffero(F177,8,"FY-1"),MIN(F63,F78*capacity))</f>
        <v>1085.55907477248</v>
      </c>
      <c r="G186" s="268">
        <f>IF(VLOOKUP(G177,ProductsRangeOper,3,FALSE)="Special Offer",SpecialOffero(G177,8,"FY-1"),MIN(G63,G78*capacity))</f>
        <v>2480</v>
      </c>
      <c r="H186" s="268">
        <f>IF(VLOOKUP(H177,ProductsRangeOper,3,FALSE)="Special Offer",SpecialOffero(H177,8,"FY-1"),MIN(H63,H78*capacity))</f>
        <v>2480</v>
      </c>
      <c r="I186" s="268">
        <f>IF(VLOOKUP(I177,ProductsRangeOper,3,FALSE)="Special Offer",SpecialOffero(I177,8,"FY-1"),MIN(I63,I78*capacity))</f>
        <v>2480</v>
      </c>
      <c r="J186" s="268">
        <f>IF(VLOOKUP(J177,ProductsRangeOper,3,FALSE)="Special Offer",SpecialOffero(J177,8,"FY-1"),MIN(J63,J78*capacity))</f>
        <v>8627.43142144638</v>
      </c>
      <c r="K186" s="268">
        <f>IF(VLOOKUP(K177,ProductsRangeOper,3,FALSE)="Special Offer",SpecialOffero(K177,8,"FY-1"),MIN(K63,K78*capacity))</f>
        <v>10032.6727887869</v>
      </c>
      <c r="L186" s="268">
        <f>IF(VLOOKUP(L177,ProductsRangeOper,3,FALSE)="Special Offer",SpecialOffero(L177,8,"FY-1"),MIN(L63,L78*capacity))</f>
        <v>154.440925227522</v>
      </c>
      <c r="M186" s="293"/>
      <c r="N186" s="307"/>
      <c r="O186" s="317"/>
      <c r="P186" s="317"/>
      <c r="R186" s="318"/>
      <c r="S186" s="318"/>
    </row>
    <row r="187" s="140" customFormat="1" spans="1:19">
      <c r="A187" s="302"/>
      <c r="B187" s="312" t="s">
        <v>103</v>
      </c>
      <c r="C187" s="96" t="s">
        <v>264</v>
      </c>
      <c r="D187" s="268">
        <f>IF(VLOOKUP(D177,ProductsRangeOper,3,FALSE)="Special Offer",SpecialOffero(D177,9,"FY-1"),MIN(D64,D79*capacity))</f>
        <v>1292.56857855362</v>
      </c>
      <c r="E187" s="268">
        <f>IF(VLOOKUP(E177,ProductsRangeOper,3,FALSE)="Special Offer",SpecialOffero(E177,9,"FY-1"),MIN(E64,E79*capacity))</f>
        <v>1127.32721121315</v>
      </c>
      <c r="F187" s="268">
        <f>IF(VLOOKUP(F177,ProductsRangeOper,3,FALSE)="Special Offer",SpecialOffero(F177,9,"FY-1"),MIN(F64,F79*capacity))</f>
        <v>1085.55907477248</v>
      </c>
      <c r="G187" s="268">
        <f>IF(VLOOKUP(G177,ProductsRangeOper,3,FALSE)="Special Offer",SpecialOffero(G177,9,"FY-1"),MIN(G64,G79*capacity))</f>
        <v>2480</v>
      </c>
      <c r="H187" s="268">
        <f>IF(VLOOKUP(H177,ProductsRangeOper,3,FALSE)="Special Offer",SpecialOffero(H177,9,"FY-1"),MIN(H64,H79*capacity))</f>
        <v>2480</v>
      </c>
      <c r="I187" s="268">
        <f>IF(VLOOKUP(I177,ProductsRangeOper,3,FALSE)="Special Offer",SpecialOffero(I177,9,"FY-1"),MIN(I64,I79*capacity))</f>
        <v>2480</v>
      </c>
      <c r="J187" s="268">
        <f>IF(VLOOKUP(J177,ProductsRangeOper,3,FALSE)="Special Offer",SpecialOffero(J177,9,"FY-1"),MIN(J64,J79*capacity))</f>
        <v>8627.43142144638</v>
      </c>
      <c r="K187" s="268">
        <f>IF(VLOOKUP(K177,ProductsRangeOper,3,FALSE)="Special Offer",SpecialOffero(K177,9,"FY-1"),MIN(K64,K79*capacity))</f>
        <v>10032.6727887869</v>
      </c>
      <c r="L187" s="268">
        <f>IF(VLOOKUP(L177,ProductsRangeOper,3,FALSE)="Special Offer",SpecialOffero(L177,9,"FY-1"),MIN(L64,L79*capacity))</f>
        <v>154.440925227522</v>
      </c>
      <c r="M187" s="293"/>
      <c r="N187" s="307"/>
      <c r="O187" s="317"/>
      <c r="P187" s="317"/>
      <c r="R187" s="318"/>
      <c r="S187" s="318"/>
    </row>
    <row r="188" s="140" customFormat="1" spans="1:19">
      <c r="A188" s="302"/>
      <c r="B188" s="312" t="s">
        <v>103</v>
      </c>
      <c r="C188" s="96" t="s">
        <v>265</v>
      </c>
      <c r="D188" s="268">
        <f>IF(VLOOKUP(D177,ProductsRangeOper,3,FALSE)="Special Offer",SpecialOffero(D177,10,"FY-1"),MIN(D65,D80*capacity))</f>
        <v>1040.5047318612</v>
      </c>
      <c r="E188" s="268">
        <f>IF(VLOOKUP(E177,ProductsRangeOper,3,FALSE)="Special Offer",SpecialOffero(E177,10,"FY-1"),MIN(E65,E80*capacity))</f>
        <v>1216.22822266176</v>
      </c>
      <c r="F188" s="268">
        <f>IF(VLOOKUP(F177,ProductsRangeOper,3,FALSE)="Special Offer",SpecialOffero(F177,10,"FY-1"),MIN(F65,F80*capacity))</f>
        <v>995.09581854144</v>
      </c>
      <c r="G188" s="268">
        <f>IF(VLOOKUP(G177,ProductsRangeOper,3,FALSE)="Special Offer",SpecialOffero(G177,10,"FY-1"),MIN(G65,G80*capacity))</f>
        <v>2480</v>
      </c>
      <c r="H188" s="268">
        <f>IF(VLOOKUP(H177,ProductsRangeOper,3,FALSE)="Special Offer",SpecialOffero(H177,10,"FY-1"),MIN(H65,H80*capacity))</f>
        <v>2480</v>
      </c>
      <c r="I188" s="268">
        <f>IF(VLOOKUP(I177,ProductsRangeOper,3,FALSE)="Special Offer",SpecialOffero(I177,10,"FY-1"),MIN(I65,I80*capacity))</f>
        <v>2480</v>
      </c>
      <c r="J188" s="268">
        <f>IF(VLOOKUP(J177,ProductsRangeOper,3,FALSE)="Special Offer",SpecialOffero(J177,10,"FY-1"),MIN(J65,J80*capacity))</f>
        <v>7639.4952681388</v>
      </c>
      <c r="K188" s="268">
        <f>IF(VLOOKUP(K177,ProductsRangeOper,3,FALSE)="Special Offer",SpecialOffero(K177,10,"FY-1"),MIN(K65,K80*capacity))</f>
        <v>9921.8618164512</v>
      </c>
      <c r="L188" s="268">
        <f>IF(VLOOKUP(L177,ProductsRangeOper,3,FALSE)="Special Offer",SpecialOffero(L177,10,"FY-1"),MIN(L65,L80*capacity))</f>
        <v>266.8141423456</v>
      </c>
      <c r="M188" s="293"/>
      <c r="O188" s="308"/>
      <c r="P188" s="308"/>
      <c r="R188" s="308"/>
      <c r="S188" s="308"/>
    </row>
    <row r="189" s="140" customFormat="1" spans="1:19">
      <c r="A189" s="298"/>
      <c r="B189" s="312" t="s">
        <v>103</v>
      </c>
      <c r="C189" s="96" t="s">
        <v>266</v>
      </c>
      <c r="D189" s="268">
        <f>IF(VLOOKUP(D177,ProductsRangeOper,3,FALSE)="Special Offer",SpecialOffero(D177,11,"FY-1"),MIN(D66,D81*capacity))</f>
        <v>642.393767705383</v>
      </c>
      <c r="E189" s="268">
        <f>IF(VLOOKUP(E177,ProductsRangeOper,3,FALSE)="Special Offer",SpecialOffero(E177,11,"FY-1"),MIN(E66,E81*capacity))</f>
        <v>488.290155440415</v>
      </c>
      <c r="F189" s="268">
        <f>IF(VLOOKUP(F177,ProductsRangeOper,3,FALSE)="Special Offer",SpecialOffero(F177,11,"FY-1"),MIN(F66,F81*capacity))</f>
        <v>1240</v>
      </c>
      <c r="G189" s="268">
        <f>IF(VLOOKUP(G177,ProductsRangeOper,3,FALSE)="Special Offer",SpecialOffero(G177,11,"FY-1"),MIN(G66,G81*capacity))</f>
        <v>1240</v>
      </c>
      <c r="H189" s="268">
        <f>IF(VLOOKUP(H177,ProductsRangeOper,3,FALSE)="Special Offer",SpecialOffero(H177,11,"FY-1"),MIN(H66,H81*capacity))</f>
        <v>1240</v>
      </c>
      <c r="I189" s="268">
        <f>IF(VLOOKUP(I177,ProductsRangeOper,3,FALSE)="Special Offer",SpecialOffero(I177,11,"FY-1"),MIN(I66,I81*capacity))</f>
        <v>1240</v>
      </c>
      <c r="J189" s="268">
        <f>IF(VLOOKUP(J177,ProductsRangeOper,3,FALSE)="Special Offer",SpecialOffero(J177,11,"FY-1"),MIN(J66,J81*capacity))</f>
        <v>1837.60623229462</v>
      </c>
      <c r="K189" s="268">
        <f>IF(VLOOKUP(K177,ProductsRangeOper,3,FALSE)="Special Offer",SpecialOffero(K177,11,"FY-1"),MIN(K66,K81*capacity))</f>
        <v>1991.70984455959</v>
      </c>
      <c r="L189" s="268">
        <f>IF(VLOOKUP(L177,ProductsRangeOper,3,FALSE)="Special Offer",SpecialOffero(L177,11,"FY-1"),MIN(L66,L81*capacity))</f>
        <v>0</v>
      </c>
      <c r="M189" s="293"/>
      <c r="O189" s="308"/>
      <c r="P189" s="308"/>
      <c r="R189" s="308"/>
      <c r="S189" s="308"/>
    </row>
    <row r="190" s="140" customFormat="1" spans="1:19">
      <c r="A190" s="298"/>
      <c r="B190" s="312" t="s">
        <v>103</v>
      </c>
      <c r="C190" s="96" t="s">
        <v>267</v>
      </c>
      <c r="D190" s="268">
        <f>IF(VLOOKUP(D177,ProductsRangeOper,3,FALSE)="Special Offer",SpecialOffero(D177,12,"FY-1"),MIN(D67,D82*capacity))</f>
        <v>642.393767705383</v>
      </c>
      <c r="E190" s="268">
        <f>IF(VLOOKUP(E177,ProductsRangeOper,3,FALSE)="Special Offer",SpecialOffero(E177,12,"FY-1"),MIN(E67,E82*capacity))</f>
        <v>420.714285714286</v>
      </c>
      <c r="F190" s="268">
        <f>IF(VLOOKUP(F177,ProductsRangeOper,3,FALSE)="Special Offer",SpecialOffero(F177,12,"FY-1"),MIN(F67,F82*capacity))</f>
        <v>0</v>
      </c>
      <c r="G190" s="268">
        <f>IF(VLOOKUP(G177,ProductsRangeOper,3,FALSE)="Special Offer",SpecialOffero(G177,12,"FY-1"),MIN(G67,G82*capacity))</f>
        <v>1240</v>
      </c>
      <c r="H190" s="268">
        <f>IF(VLOOKUP(H177,ProductsRangeOper,3,FALSE)="Special Offer",SpecialOffero(H177,12,"FY-1"),MIN(H67,H82*capacity))</f>
        <v>1240</v>
      </c>
      <c r="I190" s="268">
        <f>IF(VLOOKUP(I177,ProductsRangeOper,3,FALSE)="Special Offer",SpecialOffero(I177,12,"FY-1"),MIN(I67,I82*capacity))</f>
        <v>1240</v>
      </c>
      <c r="J190" s="268">
        <f>IF(VLOOKUP(J177,ProductsRangeOper,3,FALSE)="Special Offer",SpecialOffero(J177,12,"FY-1"),MIN(J67,J82*capacity))</f>
        <v>1837.60623229462</v>
      </c>
      <c r="K190" s="268">
        <f>IF(VLOOKUP(K177,ProductsRangeOper,3,FALSE)="Special Offer",SpecialOffero(K177,12,"FY-1"),MIN(K67,K82*capacity))</f>
        <v>2059.28571428571</v>
      </c>
      <c r="L190" s="268">
        <f>IF(VLOOKUP(L177,ProductsRangeOper,3,FALSE)="Special Offer",SpecialOffero(L177,12,"FY-1"),MIN(L67,L82*capacity))</f>
        <v>0</v>
      </c>
      <c r="M190" s="268"/>
      <c r="O190" s="308"/>
      <c r="P190" s="308"/>
      <c r="R190" s="308"/>
      <c r="S190" s="308"/>
    </row>
    <row r="191" s="140" customFormat="1" spans="1:19">
      <c r="A191" s="298"/>
      <c r="B191" s="312" t="s">
        <v>104</v>
      </c>
      <c r="C191" s="262" t="s">
        <v>256</v>
      </c>
      <c r="D191" s="268">
        <f>IF(VLOOKUP(D177,ProductsRangeOper,3,FALSE)="Special Offer",SpecialOffero(D177,1,"FY-2"),MIN(D101,D116*capacity))</f>
        <v>391.184905660377</v>
      </c>
      <c r="E191" s="268">
        <f>IF(VLOOKUP(E177,ProductsRangeOper,3,FALSE)="Special Offer",SpecialOffero(E177,1,"FY-2"),MIN(E101,E116*capacity))</f>
        <v>510.660098522167</v>
      </c>
      <c r="F191" s="268">
        <f>IF(VLOOKUP(F177,ProductsRangeOper,3,FALSE)="Special Offer",SpecialOffero(F177,1,"FY-2"),MIN(F101,F116*capacity))</f>
        <v>0</v>
      </c>
      <c r="G191" s="268">
        <f>IF(VLOOKUP(G177,ProductsRangeOper,3,FALSE)="Special Offer",SpecialOffero(G177,1,"FY-2"),MIN(G101,G116*capacity))</f>
        <v>1230.4948293792</v>
      </c>
      <c r="H191" s="268">
        <f>IF(VLOOKUP(H177,ProductsRangeOper,3,FALSE)="Special Offer",SpecialOffero(H177,1,"FY-2"),MIN(H101,H116*capacity))</f>
        <v>1230.4948293792</v>
      </c>
      <c r="I191" s="268">
        <f>IF(VLOOKUP(I177,ProductsRangeOper,3,FALSE)="Special Offer",SpecialOffero(I177,1,"FY-2"),MIN(I101,I116*capacity))</f>
        <v>1230.4948293792</v>
      </c>
      <c r="J191" s="268">
        <f>IF(VLOOKUP(J177,ProductsRangeOper,3,FALSE)="Special Offer",SpecialOffero(J177,1,"FY-2"),MIN(J101,J116*capacity))</f>
        <v>2088.81509433962</v>
      </c>
      <c r="K191" s="268">
        <f>IF(VLOOKUP(K177,ProductsRangeOper,3,FALSE)="Special Offer",SpecialOffero(K177,1,"FY-2"),MIN(K101,K116*capacity))</f>
        <v>1969.33990147783</v>
      </c>
      <c r="L191" s="268">
        <f>IF(VLOOKUP(L177,ProductsRangeOper,3,FALSE)="Special Offer",SpecialOffero(L177,1,"FY-2"),MIN(L101,L116*capacity))</f>
        <v>28.5155118623989</v>
      </c>
      <c r="M191" s="268"/>
      <c r="O191" s="308"/>
      <c r="P191" s="308"/>
      <c r="R191" s="308"/>
      <c r="S191" s="308"/>
    </row>
    <row r="192" s="140" customFormat="1" spans="1:19">
      <c r="A192" s="303"/>
      <c r="B192" s="312" t="s">
        <v>104</v>
      </c>
      <c r="C192" s="262" t="s">
        <v>257</v>
      </c>
      <c r="D192" s="268">
        <f>IF(VLOOKUP(D177,ProductsRangeOper,3,FALSE)="Special Offer",SpecialOffero(D177,2,"FY-2"),MIN(D102,D117*capacity))</f>
        <v>391.184905660377</v>
      </c>
      <c r="E192" s="268">
        <f>IF(VLOOKUP(E177,ProductsRangeOper,3,FALSE)="Special Offer",SpecialOffero(E177,2,"FY-2"),MIN(E102,E117*capacity))</f>
        <v>440.673354871621</v>
      </c>
      <c r="F192" s="268">
        <f>IF(VLOOKUP(F177,ProductsRangeOper,3,FALSE)="Special Offer",SpecialOffero(F177,2,"FY-2"),MIN(F102,F117*capacity))</f>
        <v>0</v>
      </c>
      <c r="G192" s="268">
        <f>IF(VLOOKUP(G177,ProductsRangeOper,3,FALSE)="Special Offer",SpecialOffero(G177,2,"FY-2"),MIN(G102,G117*capacity))</f>
        <v>1230.4948293792</v>
      </c>
      <c r="H192" s="268">
        <f>IF(VLOOKUP(H177,ProductsRangeOper,3,FALSE)="Special Offer",SpecialOffero(H177,2,"FY-2"),MIN(H102,H117*capacity))</f>
        <v>1230.4948293792</v>
      </c>
      <c r="I192" s="268">
        <f>IF(VLOOKUP(I177,ProductsRangeOper,3,FALSE)="Special Offer",SpecialOffero(I177,2,"FY-2"),MIN(I102,I117*capacity))</f>
        <v>1230.4948293792</v>
      </c>
      <c r="J192" s="268">
        <f>IF(VLOOKUP(J177,ProductsRangeOper,3,FALSE)="Special Offer",SpecialOffero(J177,2,"FY-2"),MIN(J102,J117*capacity))</f>
        <v>2088.81509433962</v>
      </c>
      <c r="K192" s="268">
        <f>IF(VLOOKUP(K177,ProductsRangeOper,3,FALSE)="Special Offer",SpecialOffero(K177,2,"FY-2"),MIN(K102,K117*capacity))</f>
        <v>2039.32664512838</v>
      </c>
      <c r="L192" s="268">
        <f>IF(VLOOKUP(L177,ProductsRangeOper,3,FALSE)="Special Offer",SpecialOffero(L177,2,"FY-2"),MIN(L102,L117*capacity))</f>
        <v>28.5155118623989</v>
      </c>
      <c r="M192" s="293"/>
      <c r="N192" s="307"/>
      <c r="O192" s="317"/>
      <c r="P192" s="317"/>
      <c r="R192" s="318"/>
      <c r="S192" s="318"/>
    </row>
    <row r="193" s="140" customFormat="1" spans="1:19">
      <c r="A193" s="303"/>
      <c r="B193" s="312" t="s">
        <v>104</v>
      </c>
      <c r="C193" s="96" t="s">
        <v>258</v>
      </c>
      <c r="D193" s="268">
        <f>IF(VLOOKUP(D177,ProductsRangeOper,3,FALSE)="Special Offer",SpecialOffero(D177,3,"FY-2"),MIN(D103,D118*capacity))</f>
        <v>391.184905660377</v>
      </c>
      <c r="E193" s="268">
        <f>IF(VLOOKUP(E177,ProductsRangeOper,3,FALSE)="Special Offer",SpecialOffero(E177,3,"FY-2"),MIN(E103,E118*capacity))</f>
        <v>510.660098522167</v>
      </c>
      <c r="F193" s="268">
        <f>IF(VLOOKUP(F177,ProductsRangeOper,3,FALSE)="Special Offer",SpecialOffero(F177,3,"FY-2"),MIN(F103,F118*capacity))</f>
        <v>0</v>
      </c>
      <c r="G193" s="268">
        <f>IF(VLOOKUP(G177,ProductsRangeOper,3,FALSE)="Special Offer",SpecialOffero(G177,3,"FY-2"),MIN(G103,G118*capacity))</f>
        <v>1240</v>
      </c>
      <c r="H193" s="268">
        <f>IF(VLOOKUP(H177,ProductsRangeOper,3,FALSE)="Special Offer",SpecialOffero(H177,3,"FY-2"),MIN(H103,H118*capacity))</f>
        <v>1240</v>
      </c>
      <c r="I193" s="268">
        <f>IF(VLOOKUP(I177,ProductsRangeOper,3,FALSE)="Special Offer",SpecialOffero(I177,3,"FY-2"),MIN(I103,I118*capacity))</f>
        <v>1240</v>
      </c>
      <c r="J193" s="268">
        <f>IF(VLOOKUP(J177,ProductsRangeOper,3,FALSE)="Special Offer",SpecialOffero(J177,3,"FY-2"),MIN(J103,J118*capacity))</f>
        <v>2088.81509433962</v>
      </c>
      <c r="K193" s="268">
        <f>IF(VLOOKUP(K177,ProductsRangeOper,3,FALSE)="Special Offer",SpecialOffero(K177,3,"FY-2"),MIN(K103,K118*capacity))</f>
        <v>1969.33990147783</v>
      </c>
      <c r="L193" s="268">
        <f>IF(VLOOKUP(L177,ProductsRangeOper,3,FALSE)="Special Offer",SpecialOffero(L177,3,"FY-2"),MIN(L103,L118*capacity))</f>
        <v>0</v>
      </c>
      <c r="M193" s="293"/>
      <c r="N193" s="307"/>
      <c r="O193" s="317"/>
      <c r="P193" s="317"/>
      <c r="R193" s="318"/>
      <c r="S193" s="318"/>
    </row>
    <row r="194" s="140" customFormat="1" spans="1:19">
      <c r="A194" s="303"/>
      <c r="B194" s="312" t="s">
        <v>104</v>
      </c>
      <c r="C194" s="96" t="s">
        <v>259</v>
      </c>
      <c r="D194" s="268">
        <f>IF(VLOOKUP(D177,ProductsRangeOper,3,FALSE)="Special Offer",SpecialOffero(D177,4,"FY-2"),MIN(D104,D119*capacity))</f>
        <v>470.79802167552</v>
      </c>
      <c r="E194" s="268">
        <f>IF(VLOOKUP(E177,ProductsRangeOper,3,FALSE)="Special Offer",SpecialOffero(E177,4,"FY-2"),MIN(E104,E119*capacity))</f>
        <v>655.202780996524</v>
      </c>
      <c r="F194" s="268">
        <f>IF(VLOOKUP(F177,ProductsRangeOper,3,FALSE)="Special Offer",SpecialOffero(F177,4,"FY-2"),MIN(F104,F119*capacity))</f>
        <v>0</v>
      </c>
      <c r="G194" s="268">
        <f>IF(VLOOKUP(G177,ProductsRangeOper,3,FALSE)="Special Offer",SpecialOffero(G177,4,"FY-2"),MIN(G104,G119*capacity))</f>
        <v>1240</v>
      </c>
      <c r="H194" s="268">
        <f>IF(VLOOKUP(H177,ProductsRangeOper,3,FALSE)="Special Offer",SpecialOffero(H177,4,"FY-2"),MIN(H104,H119*capacity))</f>
        <v>1240</v>
      </c>
      <c r="I194" s="268">
        <f>IF(VLOOKUP(I177,ProductsRangeOper,3,FALSE)="Special Offer",SpecialOffero(I177,4,"FY-2"),MIN(I104,I119*capacity))</f>
        <v>1240</v>
      </c>
      <c r="J194" s="268">
        <f>IF(VLOOKUP(J177,ProductsRangeOper,3,FALSE)="Special Offer",SpecialOffero(J177,4,"FY-2"),MIN(J104,J119*capacity))</f>
        <v>9217.72968754176</v>
      </c>
      <c r="K194" s="268">
        <f>IF(VLOOKUP(K177,ProductsRangeOper,3,FALSE)="Special Offer",SpecialOffero(K177,4,"FY-2"),MIN(K104,K119*capacity))</f>
        <v>9264.79721900348</v>
      </c>
      <c r="L194" s="268">
        <f>IF(VLOOKUP(L177,ProductsRangeOper,3,FALSE)="Special Offer",SpecialOffero(L177,4,"FY-2"),MIN(L104,L119*capacity))</f>
        <v>231.472290782716</v>
      </c>
      <c r="M194" s="293"/>
      <c r="N194" s="307"/>
      <c r="O194" s="317"/>
      <c r="P194" s="317"/>
      <c r="R194" s="318"/>
      <c r="S194" s="318"/>
    </row>
    <row r="195" s="140" customFormat="1" spans="1:19">
      <c r="A195" s="303"/>
      <c r="B195" s="312" t="s">
        <v>104</v>
      </c>
      <c r="C195" s="96" t="s">
        <v>260</v>
      </c>
      <c r="D195" s="268">
        <f>IF(VLOOKUP(D177,ProductsRangeOper,3,FALSE)="Special Offer",SpecialOffero(D177,5,"FY-2"),MIN(D105,D120*capacity))</f>
        <v>1318.04195804196</v>
      </c>
      <c r="E195" s="268">
        <f>IF(VLOOKUP(E177,ProductsRangeOper,3,FALSE)="Special Offer",SpecialOffero(E177,5,"FY-2"),MIN(E105,E120*capacity))</f>
        <v>1280.85667215815</v>
      </c>
      <c r="F195" s="268">
        <f>IF(VLOOKUP(F177,ProductsRangeOper,3,FALSE)="Special Offer",SpecialOffero(F177,5,"FY-2"),MIN(F105,F120*capacity))</f>
        <v>1059.29554876992</v>
      </c>
      <c r="G195" s="268">
        <f>IF(VLOOKUP(G177,ProductsRangeOper,3,FALSE)="Special Offer",SpecialOffero(G177,5,"FY-2"),MIN(G105,G120*capacity))</f>
        <v>1968.79172700672</v>
      </c>
      <c r="H195" s="268">
        <f>IF(VLOOKUP(H177,ProductsRangeOper,3,FALSE)="Special Offer",SpecialOffero(H177,5,"FY-2"),MIN(H105,H120*capacity))</f>
        <v>1968.79172700672</v>
      </c>
      <c r="I195" s="268">
        <f>IF(VLOOKUP(I177,ProductsRangeOper,3,FALSE)="Special Offer",SpecialOffero(I177,5,"FY-2"),MIN(I105,I120*capacity))</f>
        <v>1968.79172700672</v>
      </c>
      <c r="J195" s="268">
        <f>IF(VLOOKUP(J177,ProductsRangeOper,3,FALSE)="Special Offer",SpecialOffero(J177,5,"FY-2"),MIN(J105,J120*capacity))</f>
        <v>8601.95804195804</v>
      </c>
      <c r="K195" s="268">
        <f>IF(VLOOKUP(K177,ProductsRangeOper,3,FALSE)="Special Offer",SpecialOffero(K177,5,"FY-2"),MIN(K105,K120*capacity))</f>
        <v>9879.14332784184</v>
      </c>
      <c r="L195" s="268">
        <f>IF(VLOOKUP(L177,ProductsRangeOper,3,FALSE)="Special Offer",SpecialOffero(L177,5,"FY-2"),MIN(L105,L120*capacity))</f>
        <v>1714.32927020992</v>
      </c>
      <c r="M195" s="293"/>
      <c r="N195" s="307"/>
      <c r="O195" s="317"/>
      <c r="P195" s="317"/>
      <c r="R195" s="318"/>
      <c r="S195" s="318"/>
    </row>
    <row r="196" s="140" customFormat="1" spans="1:19">
      <c r="A196" s="303"/>
      <c r="B196" s="312" t="s">
        <v>104</v>
      </c>
      <c r="C196" s="96" t="s">
        <v>261</v>
      </c>
      <c r="D196" s="268">
        <f>IF(VLOOKUP(D177,ProductsRangeOper,3,FALSE)="Special Offer",SpecialOffero(D177,6,"FY-2"),MIN(D106,D121*capacity))</f>
        <v>1332.44215938303</v>
      </c>
      <c r="E196" s="268">
        <f>IF(VLOOKUP(E177,ProductsRangeOper,3,FALSE)="Special Offer",SpecialOffero(E177,6,"FY-2"),MIN(E106,E121*capacity))</f>
        <v>1261.04314955564</v>
      </c>
      <c r="F196" s="268">
        <f>IF(VLOOKUP(F177,ProductsRangeOper,3,FALSE)="Special Offer",SpecialOffero(F177,6,"FY-2"),MIN(F106,F121*capacity))</f>
        <v>1155.59514411264</v>
      </c>
      <c r="G196" s="268">
        <f>IF(VLOOKUP(G177,ProductsRangeOper,3,FALSE)="Special Offer",SpecialOffero(G177,6,"FY-2"),MIN(G106,G121*capacity))</f>
        <v>2460.9896587584</v>
      </c>
      <c r="H196" s="268">
        <f>IF(VLOOKUP(H177,ProductsRangeOper,3,FALSE)="Special Offer",SpecialOffero(H177,6,"FY-2"),MIN(H106,H121*capacity))</f>
        <v>2460.9896587584</v>
      </c>
      <c r="I196" s="268">
        <f>IF(VLOOKUP(I177,ProductsRangeOper,3,FALSE)="Special Offer",SpecialOffero(I177,6,"FY-2"),MIN(I106,I121*capacity))</f>
        <v>2460.9896587584</v>
      </c>
      <c r="J196" s="268">
        <f>IF(VLOOKUP(J177,ProductsRangeOper,3,FALSE)="Special Offer",SpecialOffero(J177,6,"FY-2"),MIN(J106,J121*capacity))</f>
        <v>11067.557840617</v>
      </c>
      <c r="K196" s="268">
        <f>IF(VLOOKUP(K177,ProductsRangeOper,3,FALSE)="Special Offer",SpecialOffero(K177,6,"FY-2"),MIN(K106,K121*capacity))</f>
        <v>12378.9568504444</v>
      </c>
      <c r="L196" s="268">
        <f>IF(VLOOKUP(L177,ProductsRangeOper,3,FALSE)="Special Offer",SpecialOffero(L177,6,"FY-2"),MIN(L106,L121*capacity))</f>
        <v>141.43587961216</v>
      </c>
      <c r="M196" s="293"/>
      <c r="N196" s="307"/>
      <c r="O196" s="317"/>
      <c r="P196" s="317"/>
      <c r="R196" s="318"/>
      <c r="S196" s="318"/>
    </row>
    <row r="197" s="140" customFormat="1" spans="1:19">
      <c r="A197" s="303"/>
      <c r="B197" s="312" t="s">
        <v>104</v>
      </c>
      <c r="C197" s="96" t="s">
        <v>262</v>
      </c>
      <c r="D197" s="268">
        <f>IF(VLOOKUP(D177,ProductsRangeOper,3,FALSE)="Special Offer",SpecialOffero(D177,7,"FY-2"),MIN(D107,D122*capacity))</f>
        <v>1332.44215938303</v>
      </c>
      <c r="E197" s="268">
        <f>IF(VLOOKUP(E177,ProductsRangeOper,3,FALSE)="Special Offer",SpecialOffero(E177,7,"FY-2"),MIN(E107,E122*capacity))</f>
        <v>1261.04314955564</v>
      </c>
      <c r="F197" s="268">
        <f>IF(VLOOKUP(F177,ProductsRangeOper,3,FALSE)="Special Offer",SpecialOffero(F177,7,"FY-2"),MIN(F107,F122*capacity))</f>
        <v>1155.59514411264</v>
      </c>
      <c r="G197" s="268">
        <f>IF(VLOOKUP(G177,ProductsRangeOper,3,FALSE)="Special Offer",SpecialOffero(G177,7,"FY-2"),MIN(G107,G122*capacity))</f>
        <v>2460.9896587584</v>
      </c>
      <c r="H197" s="268">
        <f>IF(VLOOKUP(H177,ProductsRangeOper,3,FALSE)="Special Offer",SpecialOffero(H177,7,"FY-2"),MIN(H107,H122*capacity))</f>
        <v>2460.9896587584</v>
      </c>
      <c r="I197" s="268">
        <f>IF(VLOOKUP(I177,ProductsRangeOper,3,FALSE)="Special Offer",SpecialOffero(I177,7,"FY-2"),MIN(I107,I122*capacity))</f>
        <v>2460.9896587584</v>
      </c>
      <c r="J197" s="268">
        <f>IF(VLOOKUP(J177,ProductsRangeOper,3,FALSE)="Special Offer",SpecialOffero(J177,7,"FY-2"),MIN(J107,J122*capacity))</f>
        <v>11067.557840617</v>
      </c>
      <c r="K197" s="268">
        <f>IF(VLOOKUP(K177,ProductsRangeOper,3,FALSE)="Special Offer",SpecialOffero(K177,7,"FY-2"),MIN(K107,K122*capacity))</f>
        <v>12378.9568504444</v>
      </c>
      <c r="L197" s="268">
        <f>IF(VLOOKUP(L177,ProductsRangeOper,3,FALSE)="Special Offer",SpecialOffero(L177,7,"FY-2"),MIN(L107,L122*capacity))</f>
        <v>141.43587961216</v>
      </c>
      <c r="M197" s="293"/>
      <c r="N197" s="307"/>
      <c r="O197" s="317"/>
      <c r="P197" s="317"/>
      <c r="R197" s="318"/>
      <c r="S197" s="318"/>
    </row>
    <row r="198" s="140" customFormat="1" spans="1:19">
      <c r="A198" s="303"/>
      <c r="B198" s="312" t="s">
        <v>104</v>
      </c>
      <c r="C198" s="96" t="s">
        <v>263</v>
      </c>
      <c r="D198" s="268">
        <f>IF(VLOOKUP(D177,ProductsRangeOper,3,FALSE)="Special Offer",SpecialOffero(D177,8,"FY-2"),MIN(D108,D123*capacity))</f>
        <v>1374.44902769593</v>
      </c>
      <c r="E198" s="268">
        <f>IF(VLOOKUP(E177,ProductsRangeOper,3,FALSE)="Special Offer",SpecialOffero(E177,8,"FY-2"),MIN(E108,E123*capacity))</f>
        <v>1294.69455960768</v>
      </c>
      <c r="F198" s="268">
        <f>IF(VLOOKUP(F177,ProductsRangeOper,3,FALSE)="Special Offer",SpecialOffero(F177,8,"FY-2"),MIN(F108,F123*capacity))</f>
        <v>1155.59514411264</v>
      </c>
      <c r="G198" s="268">
        <f>IF(VLOOKUP(G177,ProductsRangeOper,3,FALSE)="Special Offer",SpecialOffero(G177,8,"FY-2"),MIN(G108,G123*capacity))</f>
        <v>2480</v>
      </c>
      <c r="H198" s="268">
        <f>IF(VLOOKUP(H177,ProductsRangeOper,3,FALSE)="Special Offer",SpecialOffero(H177,8,"FY-2"),MIN(H108,H123*capacity))</f>
        <v>2480</v>
      </c>
      <c r="I198" s="268">
        <f>IF(VLOOKUP(I177,ProductsRangeOper,3,FALSE)="Special Offer",SpecialOffero(I177,8,"FY-2"),MIN(I108,I123*capacity))</f>
        <v>2480</v>
      </c>
      <c r="J198" s="268">
        <f>IF(VLOOKUP(J177,ProductsRangeOper,3,FALSE)="Special Offer",SpecialOffero(J177,8,"FY-2"),MIN(J108,J123*capacity))</f>
        <v>9785.55097230406</v>
      </c>
      <c r="K198" s="268">
        <f>IF(VLOOKUP(K177,ProductsRangeOper,3,FALSE)="Special Offer",SpecialOffero(K177,8,"FY-2"),MIN(K108,K123*capacity))</f>
        <v>10893.6805398221</v>
      </c>
      <c r="L198" s="268">
        <f>IF(VLOOKUP(L177,ProductsRangeOper,3,FALSE)="Special Offer",SpecialOffero(L177,8,"FY-2"),MIN(L108,L123*capacity))</f>
        <v>296.029756457596</v>
      </c>
      <c r="M198" s="293"/>
      <c r="N198" s="307"/>
      <c r="O198" s="317"/>
      <c r="P198" s="317"/>
      <c r="R198" s="318"/>
      <c r="S198" s="318"/>
    </row>
    <row r="199" s="140" customFormat="1" spans="1:19">
      <c r="A199" s="303"/>
      <c r="B199" s="312" t="s">
        <v>104</v>
      </c>
      <c r="C199" s="96" t="s">
        <v>264</v>
      </c>
      <c r="D199" s="268">
        <f>IF(VLOOKUP(D177,ProductsRangeOper,3,FALSE)="Special Offer",SpecialOffero(D177,9,"FY-2"),MIN(D109,D124*capacity))</f>
        <v>1374.44902769593</v>
      </c>
      <c r="E199" s="268">
        <f>IF(VLOOKUP(E177,ProductsRangeOper,3,FALSE)="Special Offer",SpecialOffero(E177,9,"FY-2"),MIN(E109,E124*capacity))</f>
        <v>1294.69455960768</v>
      </c>
      <c r="F199" s="268">
        <f>IF(VLOOKUP(F177,ProductsRangeOper,3,FALSE)="Special Offer",SpecialOffero(F177,9,"FY-2"),MIN(F109,F124*capacity))</f>
        <v>1155.59514411264</v>
      </c>
      <c r="G199" s="268">
        <f>IF(VLOOKUP(G177,ProductsRangeOper,3,FALSE)="Special Offer",SpecialOffero(G177,9,"FY-2"),MIN(G109,G124*capacity))</f>
        <v>2480</v>
      </c>
      <c r="H199" s="268">
        <f>IF(VLOOKUP(H177,ProductsRangeOper,3,FALSE)="Special Offer",SpecialOffero(H177,9,"FY-2"),MIN(H109,H124*capacity))</f>
        <v>2480</v>
      </c>
      <c r="I199" s="268">
        <f>IF(VLOOKUP(I177,ProductsRangeOper,3,FALSE)="Special Offer",SpecialOffero(I177,9,"FY-2"),MIN(I109,I124*capacity))</f>
        <v>2480</v>
      </c>
      <c r="J199" s="268">
        <f>IF(VLOOKUP(J177,ProductsRangeOper,3,FALSE)="Special Offer",SpecialOffero(J177,9,"FY-2"),MIN(J109,J124*capacity))</f>
        <v>9785.55097230406</v>
      </c>
      <c r="K199" s="268">
        <f>IF(VLOOKUP(K177,ProductsRangeOper,3,FALSE)="Special Offer",SpecialOffero(K177,9,"FY-2"),MIN(K109,K124*capacity))</f>
        <v>10893.6805398221</v>
      </c>
      <c r="L199" s="268">
        <f>IF(VLOOKUP(L177,ProductsRangeOper,3,FALSE)="Special Offer",SpecialOffero(L177,9,"FY-2"),MIN(L109,L124*capacity))</f>
        <v>296.029756457596</v>
      </c>
      <c r="M199" s="293"/>
      <c r="N199" s="307"/>
      <c r="O199" s="317"/>
      <c r="P199" s="317"/>
      <c r="R199" s="318"/>
      <c r="S199" s="318"/>
    </row>
    <row r="200" s="140" customFormat="1" spans="1:19">
      <c r="A200" s="303"/>
      <c r="B200" s="312" t="s">
        <v>104</v>
      </c>
      <c r="C200" s="96" t="s">
        <v>265</v>
      </c>
      <c r="D200" s="268">
        <f>IF(VLOOKUP(D177,ProductsRangeOper,3,FALSE)="Special Offer",SpecialOffero(D177,10,"FY-2"),MIN(D110,D125*capacity))</f>
        <v>1123.24195470799</v>
      </c>
      <c r="E200" s="268">
        <f>IF(VLOOKUP(E177,ProductsRangeOper,3,FALSE)="Special Offer",SpecialOffero(E177,10,"FY-2"),MIN(E110,E125*capacity))</f>
        <v>1280.85667215815</v>
      </c>
      <c r="F200" s="268">
        <f>IF(VLOOKUP(F177,ProductsRangeOper,3,FALSE)="Special Offer",SpecialOffero(F177,10,"FY-2"),MIN(F110,F125*capacity))</f>
        <v>1059.29554876992</v>
      </c>
      <c r="G200" s="268">
        <f>IF(VLOOKUP(G177,ProductsRangeOper,3,FALSE)="Special Offer",SpecialOffero(G177,10,"FY-2"),MIN(G110,G125*capacity))</f>
        <v>2480</v>
      </c>
      <c r="H200" s="268">
        <f>IF(VLOOKUP(H177,ProductsRangeOper,3,FALSE)="Special Offer",SpecialOffero(H177,10,"FY-2"),MIN(H110,H125*capacity))</f>
        <v>2480</v>
      </c>
      <c r="I200" s="268">
        <f>IF(VLOOKUP(I177,ProductsRangeOper,3,FALSE)="Special Offer",SpecialOffero(I177,10,"FY-2"),MIN(I110,I125*capacity))</f>
        <v>2480</v>
      </c>
      <c r="J200" s="268">
        <f>IF(VLOOKUP(J177,ProductsRangeOper,3,FALSE)="Special Offer",SpecialOffero(J177,10,"FY-2"),MIN(J110,J125*capacity))</f>
        <v>8796.75804529201</v>
      </c>
      <c r="K200" s="268">
        <f>IF(VLOOKUP(K177,ProductsRangeOper,3,FALSE)="Special Offer",SpecialOffero(K177,10,"FY-2"),MIN(K110,K125*capacity))</f>
        <v>9879.14332784184</v>
      </c>
      <c r="L200" s="268">
        <f>IF(VLOOKUP(L177,ProductsRangeOper,3,FALSE)="Special Offer",SpecialOffero(L177,10,"FY-2"),MIN(L110,L125*capacity))</f>
        <v>180.704451230078</v>
      </c>
      <c r="M200" s="293"/>
      <c r="N200" s="307"/>
      <c r="O200" s="317"/>
      <c r="P200" s="317"/>
      <c r="R200" s="318"/>
      <c r="S200" s="318"/>
    </row>
    <row r="201" s="140" customFormat="1" spans="1:19">
      <c r="A201" s="303"/>
      <c r="B201" s="312" t="s">
        <v>104</v>
      </c>
      <c r="C201" s="96" t="s">
        <v>266</v>
      </c>
      <c r="D201" s="268">
        <f>IF(VLOOKUP(D177,ProductsRangeOper,3,FALSE)="Special Offer",SpecialOffero(D177,11,"FY-2"),MIN(D111,D126*capacity))</f>
        <v>612.154546988358</v>
      </c>
      <c r="E201" s="268">
        <f>IF(VLOOKUP(E177,ProductsRangeOper,3,FALSE)="Special Offer",SpecialOffero(E177,11,"FY-2"),MIN(E111,E126*capacity))</f>
        <v>510.660098522167</v>
      </c>
      <c r="F201" s="268">
        <f>IF(VLOOKUP(F177,ProductsRangeOper,3,FALSE)="Special Offer",SpecialOffero(F177,11,"FY-2"),MIN(F111,F126*capacity))</f>
        <v>1240</v>
      </c>
      <c r="G201" s="268">
        <f>IF(VLOOKUP(G177,ProductsRangeOper,3,FALSE)="Special Offer",SpecialOffero(G177,11,"FY-2"),MIN(G111,G126*capacity))</f>
        <v>1240</v>
      </c>
      <c r="H201" s="268">
        <f>IF(VLOOKUP(H177,ProductsRangeOper,3,FALSE)="Special Offer",SpecialOffero(H177,11,"FY-2"),MIN(H111,H126*capacity))</f>
        <v>1240</v>
      </c>
      <c r="I201" s="268">
        <f>IF(VLOOKUP(I177,ProductsRangeOper,3,FALSE)="Special Offer",SpecialOffero(I177,11,"FY-2"),MIN(I111,I126*capacity))</f>
        <v>1240</v>
      </c>
      <c r="J201" s="268">
        <f>IF(VLOOKUP(J177,ProductsRangeOper,3,FALSE)="Special Offer",SpecialOffero(J177,11,"FY-2"),MIN(J111,J126*capacity))</f>
        <v>1867.84545301164</v>
      </c>
      <c r="K201" s="268">
        <f>IF(VLOOKUP(K177,ProductsRangeOper,3,FALSE)="Special Offer",SpecialOffero(K177,11,"FY-2"),MIN(K111,K126*capacity))</f>
        <v>1969.33990147783</v>
      </c>
      <c r="L201" s="268">
        <f>IF(VLOOKUP(L177,ProductsRangeOper,3,FALSE)="Special Offer",SpecialOffero(L177,11,"FY-2"),MIN(L111,L126*capacity))</f>
        <v>0</v>
      </c>
      <c r="M201" s="293"/>
      <c r="N201" s="307"/>
      <c r="O201" s="317"/>
      <c r="P201" s="317"/>
      <c r="R201" s="318"/>
      <c r="S201" s="318"/>
    </row>
    <row r="202" s="140" customFormat="1" spans="1:19">
      <c r="A202" s="303"/>
      <c r="B202" s="312" t="s">
        <v>104</v>
      </c>
      <c r="C202" s="96" t="s">
        <v>267</v>
      </c>
      <c r="D202" s="268">
        <f>IF(VLOOKUP(D177,ProductsRangeOper,3,FALSE)="Special Offer",SpecialOffero(D177,12,"FY-2"),MIN(D112,D127*capacity))</f>
        <v>612.154546988358</v>
      </c>
      <c r="E202" s="268">
        <f>IF(VLOOKUP(E177,ProductsRangeOper,3,FALSE)="Special Offer",SpecialOffero(E177,12,"FY-2"),MIN(E112,E127*capacity))</f>
        <v>440.673354871621</v>
      </c>
      <c r="F202" s="268">
        <f>IF(VLOOKUP(F177,ProductsRangeOper,3,FALSE)="Special Offer",SpecialOffero(F177,12,"FY-2"),MIN(F112,F127*capacity))</f>
        <v>0</v>
      </c>
      <c r="G202" s="268">
        <f>IF(VLOOKUP(G177,ProductsRangeOper,3,FALSE)="Special Offer",SpecialOffero(G177,12,"FY-2"),MIN(G112,G127*capacity))</f>
        <v>1240</v>
      </c>
      <c r="H202" s="268">
        <f>IF(VLOOKUP(H177,ProductsRangeOper,3,FALSE)="Special Offer",SpecialOffero(H177,12,"FY-2"),MIN(H112,H127*capacity))</f>
        <v>1240</v>
      </c>
      <c r="I202" s="268">
        <f>IF(VLOOKUP(I177,ProductsRangeOper,3,FALSE)="Special Offer",SpecialOffero(I177,12,"FY-2"),MIN(I112,I127*capacity))</f>
        <v>1240</v>
      </c>
      <c r="J202" s="268">
        <f>IF(VLOOKUP(J177,ProductsRangeOper,3,FALSE)="Special Offer",SpecialOffero(J177,12,"FY-2"),MIN(J112,J127*capacity))</f>
        <v>1867.84545301164</v>
      </c>
      <c r="K202" s="268">
        <f>IF(VLOOKUP(K177,ProductsRangeOper,3,FALSE)="Special Offer",SpecialOffero(K177,12,"FY-2"),MIN(K112,K127*capacity))</f>
        <v>2039.32664512838</v>
      </c>
      <c r="L202" s="268">
        <f>IF(VLOOKUP(L177,ProductsRangeOper,3,FALSE)="Special Offer",SpecialOffero(L177,12,"FY-2"),MIN(L112,L127*capacity))</f>
        <v>0</v>
      </c>
      <c r="M202" s="293"/>
      <c r="N202" s="307"/>
      <c r="O202" s="317"/>
      <c r="P202" s="317"/>
      <c r="R202" s="318"/>
      <c r="S202" s="318"/>
    </row>
    <row r="203" s="140" customFormat="1" spans="1:19">
      <c r="A203" s="303"/>
      <c r="B203" s="312" t="s">
        <v>105</v>
      </c>
      <c r="C203" s="262" t="s">
        <v>256</v>
      </c>
      <c r="D203" s="268">
        <f>IF(VLOOKUP(D177,ProductsRangeOper,3,FALSE)="Special Offer",SpecialOffero(D177,1,"FY-3"),MIN(D146,D161*capacity))</f>
        <v>351.244635193133</v>
      </c>
      <c r="E203" s="268">
        <f>IF(VLOOKUP(E177,ProductsRangeOper,3,FALSE)="Special Offer",SpecialOffero(E177,1,"FY-3"),MIN(E146,E161*capacity))</f>
        <v>729.84956470272</v>
      </c>
      <c r="F203" s="268">
        <f>IF(VLOOKUP(F177,ProductsRangeOper,3,FALSE)="Special Offer",SpecialOffero(F177,1,"FY-3"),MIN(F146,F161*capacity))</f>
        <v>0</v>
      </c>
      <c r="G203" s="268">
        <f>IF(VLOOKUP(G177,ProductsRangeOper,3,FALSE)="Special Offer",SpecialOffero(G177,1,"FY-3"),MIN(G146,G161*capacity))</f>
        <v>1240</v>
      </c>
      <c r="H203" s="268">
        <f>IF(VLOOKUP(H177,ProductsRangeOper,3,FALSE)="Special Offer",SpecialOffero(H177,1,"FY-3"),MIN(H146,H161*capacity))</f>
        <v>1240</v>
      </c>
      <c r="I203" s="268">
        <f>IF(VLOOKUP(I177,ProductsRangeOper,3,FALSE)="Special Offer",SpecialOffero(I177,1,"FY-3"),MIN(I146,I161*capacity))</f>
        <v>1240</v>
      </c>
      <c r="J203" s="268">
        <f>IF(VLOOKUP(J177,ProductsRangeOper,3,FALSE)="Special Offer",SpecialOffero(J177,1,"FY-3"),MIN(J146,J161*capacity))</f>
        <v>2128.75536480687</v>
      </c>
      <c r="K203" s="268">
        <f>IF(VLOOKUP(K177,ProductsRangeOper,3,FALSE)="Special Offer",SpecialOffero(K177,1,"FY-3"),MIN(K146,K161*capacity))</f>
        <v>2948.887130112</v>
      </c>
      <c r="L203" s="268">
        <f>IF(VLOOKUP(L177,ProductsRangeOper,3,FALSE)="Special Offer",SpecialOffero(L177,1,"FY-3"),MIN(L146,L161*capacity))</f>
        <v>41.263305185279</v>
      </c>
      <c r="M203" s="293"/>
      <c r="N203" s="307"/>
      <c r="O203" s="317"/>
      <c r="P203" s="317"/>
      <c r="R203" s="318"/>
      <c r="S203" s="318"/>
    </row>
    <row r="204" s="140" customFormat="1" spans="1:19">
      <c r="A204" s="302"/>
      <c r="B204" s="312" t="s">
        <v>105</v>
      </c>
      <c r="C204" s="262" t="s">
        <v>257</v>
      </c>
      <c r="D204" s="268">
        <f>IF(VLOOKUP(D177,ProductsRangeOper,3,FALSE)="Special Offer",SpecialOffero(D177,2,"FY-3"),MIN(D147,D162*capacity))</f>
        <v>351.244635193133</v>
      </c>
      <c r="E204" s="268">
        <f>IF(VLOOKUP(E177,ProductsRangeOper,3,FALSE)="Special Offer",SpecialOffero(E177,2,"FY-3"),MIN(E147,E162*capacity))</f>
        <v>608.2079705856</v>
      </c>
      <c r="F204" s="268">
        <f>IF(VLOOKUP(F177,ProductsRangeOper,3,FALSE)="Special Offer",SpecialOffero(F177,2,"FY-3"),MIN(F147,F162*capacity))</f>
        <v>0</v>
      </c>
      <c r="G204" s="268">
        <f>IF(VLOOKUP(G177,ProductsRangeOper,3,FALSE)="Special Offer",SpecialOffero(G177,2,"FY-3"),MIN(G147,G162*capacity))</f>
        <v>1240</v>
      </c>
      <c r="H204" s="268">
        <f>IF(VLOOKUP(H177,ProductsRangeOper,3,FALSE)="Special Offer",SpecialOffero(H177,2,"FY-3"),MIN(H147,H162*capacity))</f>
        <v>1240</v>
      </c>
      <c r="I204" s="268">
        <f>IF(VLOOKUP(I177,ProductsRangeOper,3,FALSE)="Special Offer",SpecialOffero(I177,2,"FY-3"),MIN(I147,I162*capacity))</f>
        <v>1240</v>
      </c>
      <c r="J204" s="268">
        <f>IF(VLOOKUP(J177,ProductsRangeOper,3,FALSE)="Special Offer",SpecialOffero(J177,2,"FY-3"),MIN(J147,J162*capacity))</f>
        <v>2128.75536480687</v>
      </c>
      <c r="K204" s="268">
        <f>IF(VLOOKUP(K177,ProductsRangeOper,3,FALSE)="Special Offer",SpecialOffero(K177,2,"FY-3"),MIN(K147,K162*capacity))</f>
        <v>2948.887130112</v>
      </c>
      <c r="L204" s="268">
        <f>IF(VLOOKUP(L177,ProductsRangeOper,3,FALSE)="Special Offer",SpecialOffero(L177,2,"FY-3"),MIN(L147,L162*capacity))</f>
        <v>162.904899302399</v>
      </c>
      <c r="M204" s="293"/>
      <c r="N204" s="307"/>
      <c r="O204" s="317"/>
      <c r="P204" s="317"/>
      <c r="R204" s="318"/>
      <c r="S204" s="318"/>
    </row>
    <row r="205" s="140" customFormat="1" spans="1:19">
      <c r="A205" s="302"/>
      <c r="B205" s="312" t="s">
        <v>105</v>
      </c>
      <c r="C205" s="96" t="s">
        <v>258</v>
      </c>
      <c r="D205" s="268">
        <f>IF(VLOOKUP(D177,ProductsRangeOper,3,FALSE)="Special Offer",SpecialOffero(D177,3,"FY-3"),MIN(D148,D163*capacity))</f>
        <v>351.244635193133</v>
      </c>
      <c r="E205" s="268">
        <f>IF(VLOOKUP(E177,ProductsRangeOper,3,FALSE)="Special Offer",SpecialOffero(E177,3,"FY-3"),MIN(E148,E163*capacity))</f>
        <v>729.84956470272</v>
      </c>
      <c r="F205" s="268">
        <f>IF(VLOOKUP(F177,ProductsRangeOper,3,FALSE)="Special Offer",SpecialOffero(F177,3,"FY-3"),MIN(F148,F163*capacity))</f>
        <v>0</v>
      </c>
      <c r="G205" s="268">
        <f>IF(VLOOKUP(G177,ProductsRangeOper,3,FALSE)="Special Offer",SpecialOffero(G177,3,"FY-3"),MIN(G148,G163*capacity))</f>
        <v>1240</v>
      </c>
      <c r="H205" s="268">
        <f>IF(VLOOKUP(H177,ProductsRangeOper,3,FALSE)="Special Offer",SpecialOffero(H177,3,"FY-3"),MIN(H148,H163*capacity))</f>
        <v>1240</v>
      </c>
      <c r="I205" s="268">
        <f>IF(VLOOKUP(I177,ProductsRangeOper,3,FALSE)="Special Offer",SpecialOffero(I177,3,"FY-3"),MIN(I148,I163*capacity))</f>
        <v>1240</v>
      </c>
      <c r="J205" s="268">
        <f>IF(VLOOKUP(J177,ProductsRangeOper,3,FALSE)="Special Offer",SpecialOffero(J177,3,"FY-3"),MIN(J148,J163*capacity))</f>
        <v>2128.75536480687</v>
      </c>
      <c r="K205" s="268">
        <f>IF(VLOOKUP(K177,ProductsRangeOper,3,FALSE)="Special Offer",SpecialOffero(K177,3,"FY-3"),MIN(K148,K163*capacity))</f>
        <v>2948.887130112</v>
      </c>
      <c r="L205" s="268">
        <f>IF(VLOOKUP(L177,ProductsRangeOper,3,FALSE)="Special Offer",SpecialOffero(L177,3,"FY-3"),MIN(L148,L163*capacity))</f>
        <v>41.263305185279</v>
      </c>
      <c r="M205" s="293"/>
      <c r="O205" s="308"/>
      <c r="P205" s="308"/>
      <c r="R205" s="308"/>
      <c r="S205" s="308"/>
    </row>
    <row r="206" s="140" customFormat="1" spans="1:19">
      <c r="A206" s="298"/>
      <c r="B206" s="312" t="s">
        <v>105</v>
      </c>
      <c r="C206" s="96" t="s">
        <v>259</v>
      </c>
      <c r="D206" s="268">
        <f>IF(VLOOKUP(D177,ProductsRangeOper,3,FALSE)="Special Offer",SpecialOffero(D177,4,"FY-3"),MIN(D149,D164*capacity))</f>
        <v>480.574162679426</v>
      </c>
      <c r="E206" s="268">
        <f>IF(VLOOKUP(E177,ProductsRangeOper,3,FALSE)="Special Offer",SpecialOffero(E177,4,"FY-3"),MIN(E149,E164*capacity))</f>
        <v>705.667447306791</v>
      </c>
      <c r="F206" s="268">
        <f>IF(VLOOKUP(F177,ProductsRangeOper,3,FALSE)="Special Offer",SpecialOffero(F177,4,"FY-3"),MIN(F149,F164*capacity))</f>
        <v>0</v>
      </c>
      <c r="G206" s="268">
        <f>IF(VLOOKUP(G177,ProductsRangeOper,3,FALSE)="Special Offer",SpecialOffero(G177,4,"FY-3"),MIN(G149,G164*capacity))</f>
        <v>1240</v>
      </c>
      <c r="H206" s="268">
        <f>IF(VLOOKUP(H177,ProductsRangeOper,3,FALSE)="Special Offer",SpecialOffero(H177,4,"FY-3"),MIN(H149,H164*capacity))</f>
        <v>1240</v>
      </c>
      <c r="I206" s="268">
        <f>IF(VLOOKUP(I177,ProductsRangeOper,3,FALSE)="Special Offer",SpecialOffero(I177,4,"FY-3"),MIN(I149,I164*capacity))</f>
        <v>1240</v>
      </c>
      <c r="J206" s="268">
        <f>IF(VLOOKUP(J177,ProductsRangeOper,3,FALSE)="Special Offer",SpecialOffero(J177,4,"FY-3"),MIN(J149,J164*capacity))</f>
        <v>10679.4258373206</v>
      </c>
      <c r="K206" s="268">
        <f>IF(VLOOKUP(K177,ProductsRangeOper,3,FALSE)="Special Offer",SpecialOffero(K177,4,"FY-3"),MIN(K149,K164*capacity))</f>
        <v>10454.3325526932</v>
      </c>
      <c r="L206" s="268">
        <f>IF(VLOOKUP(L177,ProductsRangeOper,3,FALSE)="Special Offer",SpecialOffero(L177,4,"FY-3"),MIN(L149,L164*capacity))</f>
        <v>0</v>
      </c>
      <c r="M206" s="293"/>
      <c r="O206" s="308"/>
      <c r="P206" s="308"/>
      <c r="R206" s="308"/>
      <c r="S206" s="308"/>
    </row>
    <row r="207" s="140" customFormat="1" spans="1:19">
      <c r="A207" s="298"/>
      <c r="B207" s="312" t="s">
        <v>105</v>
      </c>
      <c r="C207" s="96" t="s">
        <v>260</v>
      </c>
      <c r="D207" s="268">
        <f>IF(VLOOKUP(D177,ProductsRangeOper,3,FALSE)="Special Offer",SpecialOffero(D177,5,"FY-3"),MIN(D150,D165*capacity))</f>
        <v>1459.69912940544</v>
      </c>
      <c r="E207" s="268">
        <f>IF(VLOOKUP(E177,ProductsRangeOper,3,FALSE)="Special Offer",SpecialOffero(E177,5,"FY-3"),MIN(E150,E165*capacity))</f>
        <v>1228.96551724138</v>
      </c>
      <c r="F207" s="268">
        <f>IF(VLOOKUP(F177,ProductsRangeOper,3,FALSE)="Special Offer",SpecialOffero(F177,5,"FY-3"),MIN(F150,F165*capacity))</f>
        <v>1094.77434705408</v>
      </c>
      <c r="G207" s="268">
        <f>IF(VLOOKUP(G177,ProductsRangeOper,3,FALSE)="Special Offer",SpecialOffero(G177,5,"FY-3"),MIN(G150,G165*capacity))</f>
        <v>2034.73211977728</v>
      </c>
      <c r="H207" s="268">
        <f>IF(VLOOKUP(H177,ProductsRangeOper,3,FALSE)="Special Offer",SpecialOffero(H177,5,"FY-3"),MIN(H150,H165*capacity))</f>
        <v>2034.73211977728</v>
      </c>
      <c r="I207" s="268">
        <f>IF(VLOOKUP(I177,ProductsRangeOper,3,FALSE)="Special Offer",SpecialOffero(I177,5,"FY-3"),MIN(I150,I165*capacity))</f>
        <v>2034.73211977728</v>
      </c>
      <c r="J207" s="268">
        <f>IF(VLOOKUP(J177,ProductsRangeOper,3,FALSE)="Special Offer",SpecialOffero(J177,5,"FY-3"),MIN(J150,J165*capacity))</f>
        <v>10812.586143744</v>
      </c>
      <c r="K207" s="268">
        <f>IF(VLOOKUP(K177,ProductsRangeOper,3,FALSE)="Special Offer",SpecialOffero(K177,5,"FY-3"),MIN(K150,K165*capacity))</f>
        <v>9931.03448275862</v>
      </c>
      <c r="L207" s="268">
        <f>IF(VLOOKUP(L177,ProductsRangeOper,3,FALSE)="Special Offer",SpecialOffero(L177,5,"FY-3"),MIN(L150,L165*capacity))</f>
        <v>1608.74402046463</v>
      </c>
      <c r="M207" s="268"/>
      <c r="O207" s="308"/>
      <c r="P207" s="308"/>
      <c r="R207" s="308"/>
      <c r="S207" s="308"/>
    </row>
    <row r="208" s="140" customFormat="1" spans="1:19">
      <c r="A208" s="298"/>
      <c r="B208" s="312" t="s">
        <v>105</v>
      </c>
      <c r="C208" s="96" t="s">
        <v>261</v>
      </c>
      <c r="D208" s="268">
        <f>IF(VLOOKUP(D177,ProductsRangeOper,3,FALSE)="Special Offer",SpecialOffero(D177,6,"FY-3"),MIN(D151,D166*capacity))</f>
        <v>1426.98094930578</v>
      </c>
      <c r="E208" s="268">
        <f>IF(VLOOKUP(E177,ProductsRangeOper,3,FALSE)="Special Offer",SpecialOffero(E177,6,"FY-3"),MIN(E151,E166*capacity))</f>
        <v>1318.60362926194</v>
      </c>
      <c r="F208" s="268">
        <f>IF(VLOOKUP(F177,ProductsRangeOper,3,FALSE)="Special Offer",SpecialOffero(F177,6,"FY-3"),MIN(F151,F166*capacity))</f>
        <v>995.2494064128</v>
      </c>
      <c r="G208" s="268">
        <f>IF(VLOOKUP(G177,ProductsRangeOper,3,FALSE)="Special Offer",SpecialOffero(G177,6,"FY-3"),MIN(G151,G166*capacity))</f>
        <v>2480</v>
      </c>
      <c r="H208" s="268">
        <f>IF(VLOOKUP(H177,ProductsRangeOper,3,FALSE)="Special Offer",SpecialOffero(H177,6,"FY-3"),MIN(H151,H166*capacity))</f>
        <v>2480</v>
      </c>
      <c r="I208" s="268">
        <f>IF(VLOOKUP(I177,ProductsRangeOper,3,FALSE)="Special Offer",SpecialOffero(I177,6,"FY-3"),MIN(I151,I166*capacity))</f>
        <v>2480</v>
      </c>
      <c r="J208" s="268">
        <f>IF(VLOOKUP(J177,ProductsRangeOper,3,FALSE)="Special Offer",SpecialOffero(J177,6,"FY-3"),MIN(J151,J166*capacity))</f>
        <v>13453.0190506942</v>
      </c>
      <c r="K208" s="268">
        <f>IF(VLOOKUP(K177,ProductsRangeOper,3,FALSE)="Special Offer",SpecialOffero(K177,6,"FY-3"),MIN(K151,K166*capacity))</f>
        <v>13561.3963707381</v>
      </c>
      <c r="L208" s="268">
        <f>IF(VLOOKUP(L177,ProductsRangeOper,3,FALSE)="Special Offer",SpecialOffero(L177,6,"FY-3"),MIN(L151,L166*capacity))</f>
        <v>244.750593587203</v>
      </c>
      <c r="M208" s="268"/>
      <c r="O208" s="308"/>
      <c r="P208" s="308"/>
      <c r="R208" s="308"/>
      <c r="S208" s="308"/>
    </row>
    <row r="209" s="140" customFormat="1" spans="1:19">
      <c r="A209" s="303"/>
      <c r="B209" s="312" t="s">
        <v>105</v>
      </c>
      <c r="C209" s="96" t="s">
        <v>262</v>
      </c>
      <c r="D209" s="268">
        <f>IF(VLOOKUP(D177,ProductsRangeOper,3,FALSE)="Special Offer",SpecialOffero(D177,7,"FY-3"),MIN(D152,D167*capacity))</f>
        <v>1426.98094930578</v>
      </c>
      <c r="E209" s="268">
        <f>IF(VLOOKUP(E177,ProductsRangeOper,3,FALSE)="Special Offer",SpecialOffero(E177,7,"FY-3"),MIN(E152,E167*capacity))</f>
        <v>1318.60362926194</v>
      </c>
      <c r="F209" s="268">
        <f>IF(VLOOKUP(F177,ProductsRangeOper,3,FALSE)="Special Offer",SpecialOffero(F177,7,"FY-3"),MIN(F152,F167*capacity))</f>
        <v>995.2494064128</v>
      </c>
      <c r="G209" s="268">
        <f>IF(VLOOKUP(G177,ProductsRangeOper,3,FALSE)="Special Offer",SpecialOffero(G177,7,"FY-3"),MIN(G152,G167*capacity))</f>
        <v>2480</v>
      </c>
      <c r="H209" s="268">
        <f>IF(VLOOKUP(H177,ProductsRangeOper,3,FALSE)="Special Offer",SpecialOffero(H177,7,"FY-3"),MIN(H152,H167*capacity))</f>
        <v>2480</v>
      </c>
      <c r="I209" s="268">
        <f>IF(VLOOKUP(I177,ProductsRangeOper,3,FALSE)="Special Offer",SpecialOffero(I177,7,"FY-3"),MIN(I152,I167*capacity))</f>
        <v>2480</v>
      </c>
      <c r="J209" s="268">
        <f>IF(VLOOKUP(J177,ProductsRangeOper,3,FALSE)="Special Offer",SpecialOffero(J177,7,"FY-3"),MIN(J152,J167*capacity))</f>
        <v>13453.0190506942</v>
      </c>
      <c r="K209" s="268">
        <f>IF(VLOOKUP(K177,ProductsRangeOper,3,FALSE)="Special Offer",SpecialOffero(K177,7,"FY-3"),MIN(K152,K167*capacity))</f>
        <v>13561.3963707381</v>
      </c>
      <c r="L209" s="268">
        <f>IF(VLOOKUP(L177,ProductsRangeOper,3,FALSE)="Special Offer",SpecialOffero(L177,7,"FY-3"),MIN(L152,L167*capacity))</f>
        <v>244.750593587203</v>
      </c>
      <c r="M209" s="293"/>
      <c r="N209" s="307"/>
      <c r="O209" s="317"/>
      <c r="P209" s="317"/>
      <c r="R209" s="318"/>
      <c r="S209" s="318"/>
    </row>
    <row r="210" s="140" customFormat="1" spans="1:19">
      <c r="A210" s="303"/>
      <c r="B210" s="312" t="s">
        <v>105</v>
      </c>
      <c r="C210" s="96" t="s">
        <v>263</v>
      </c>
      <c r="D210" s="268">
        <f>IF(VLOOKUP(D177,ProductsRangeOper,3,FALSE)="Special Offer",SpecialOffero(D177,8,"FY-3"),MIN(D153,D168*capacity))</f>
        <v>1365.51724137931</v>
      </c>
      <c r="E210" s="268">
        <f>IF(VLOOKUP(E177,ProductsRangeOper,3,FALSE)="Special Offer",SpecialOffero(E177,8,"FY-3"),MIN(E153,E168*capacity))</f>
        <v>1263.31742913275</v>
      </c>
      <c r="F210" s="268">
        <f>IF(VLOOKUP(F177,ProductsRangeOper,3,FALSE)="Special Offer",SpecialOffero(F177,8,"FY-3"),MIN(F153,F168*capacity))</f>
        <v>995.2494064128</v>
      </c>
      <c r="G210" s="268">
        <f>IF(VLOOKUP(G177,ProductsRangeOper,3,FALSE)="Special Offer",SpecialOffero(G177,8,"FY-3"),MIN(G153,G168*capacity))</f>
        <v>2480</v>
      </c>
      <c r="H210" s="268">
        <f>IF(VLOOKUP(H177,ProductsRangeOper,3,FALSE)="Special Offer",SpecialOffero(H177,8,"FY-3"),MIN(H153,H168*capacity))</f>
        <v>2480</v>
      </c>
      <c r="I210" s="268">
        <f>IF(VLOOKUP(I177,ProductsRangeOper,3,FALSE)="Special Offer",SpecialOffero(I177,8,"FY-3"),MIN(I153,I168*capacity))</f>
        <v>2480</v>
      </c>
      <c r="J210" s="268">
        <f>IF(VLOOKUP(J177,ProductsRangeOper,3,FALSE)="Special Offer",SpecialOffero(J177,8,"FY-3"),MIN(J153,J168*capacity))</f>
        <v>11034.4827586207</v>
      </c>
      <c r="K210" s="268">
        <f>IF(VLOOKUP(K177,ProductsRangeOper,3,FALSE)="Special Offer",SpecialOffero(K177,8,"FY-3"),MIN(K153,K168*capacity))</f>
        <v>11136.6825708672</v>
      </c>
      <c r="L210" s="268">
        <f>IF(VLOOKUP(L177,ProductsRangeOper,3,FALSE)="Special Offer",SpecialOffero(L177,8,"FY-3"),MIN(L153,L168*capacity))</f>
        <v>244.750593587196</v>
      </c>
      <c r="M210" s="293"/>
      <c r="N210" s="307"/>
      <c r="O210" s="317"/>
      <c r="P210" s="317"/>
      <c r="R210" s="318"/>
      <c r="S210" s="318"/>
    </row>
    <row r="211" s="140" customFormat="1" spans="1:19">
      <c r="A211" s="303"/>
      <c r="B211" s="312" t="s">
        <v>105</v>
      </c>
      <c r="C211" s="96" t="s">
        <v>264</v>
      </c>
      <c r="D211" s="268">
        <f>IF(VLOOKUP(D177,ProductsRangeOper,3,FALSE)="Special Offer",SpecialOffero(D177,9,"FY-3"),MIN(D154,D169*capacity))</f>
        <v>1365.51724137931</v>
      </c>
      <c r="E211" s="268">
        <f>IF(VLOOKUP(E177,ProductsRangeOper,3,FALSE)="Special Offer",SpecialOffero(E177,9,"FY-3"),MIN(E154,E169*capacity))</f>
        <v>1263.31742913275</v>
      </c>
      <c r="F211" s="268">
        <f>IF(VLOOKUP(F177,ProductsRangeOper,3,FALSE)="Special Offer",SpecialOffero(F177,9,"FY-3"),MIN(F154,F169*capacity))</f>
        <v>995.2494064128</v>
      </c>
      <c r="G211" s="268">
        <f>IF(VLOOKUP(G177,ProductsRangeOper,3,FALSE)="Special Offer",SpecialOffero(G177,9,"FY-3"),MIN(G154,G169*capacity))</f>
        <v>2480</v>
      </c>
      <c r="H211" s="268">
        <f>IF(VLOOKUP(H177,ProductsRangeOper,3,FALSE)="Special Offer",SpecialOffero(H177,9,"FY-3"),MIN(H154,H169*capacity))</f>
        <v>2480</v>
      </c>
      <c r="I211" s="268">
        <f>IF(VLOOKUP(I177,ProductsRangeOper,3,FALSE)="Special Offer",SpecialOffero(I177,9,"FY-3"),MIN(I154,I169*capacity))</f>
        <v>2480</v>
      </c>
      <c r="J211" s="268">
        <f>IF(VLOOKUP(J177,ProductsRangeOper,3,FALSE)="Special Offer",SpecialOffero(J177,9,"FY-3"),MIN(J154,J169*capacity))</f>
        <v>11034.4827586207</v>
      </c>
      <c r="K211" s="268">
        <f>IF(VLOOKUP(K177,ProductsRangeOper,3,FALSE)="Special Offer",SpecialOffero(K177,9,"FY-3"),MIN(K154,K169*capacity))</f>
        <v>11136.6825708672</v>
      </c>
      <c r="L211" s="268">
        <f>IF(VLOOKUP(L177,ProductsRangeOper,3,FALSE)="Special Offer",SpecialOffero(L177,9,"FY-3"),MIN(L154,L169*capacity))</f>
        <v>244.750593587196</v>
      </c>
      <c r="M211" s="293"/>
      <c r="N211" s="307"/>
      <c r="O211" s="317"/>
      <c r="P211" s="317"/>
      <c r="R211" s="318"/>
      <c r="S211" s="318"/>
    </row>
    <row r="212" s="140" customFormat="1" spans="1:19">
      <c r="A212" s="303"/>
      <c r="B212" s="312" t="s">
        <v>105</v>
      </c>
      <c r="C212" s="96" t="s">
        <v>265</v>
      </c>
      <c r="D212" s="268">
        <f>IF(VLOOKUP(D177,ProductsRangeOper,3,FALSE)="Special Offer",SpecialOffero(D177,10,"FY-3"),MIN(D155,D170*capacity))</f>
        <v>1128.5393258427</v>
      </c>
      <c r="E212" s="268">
        <f>IF(VLOOKUP(E177,ProductsRangeOper,3,FALSE)="Special Offer",SpecialOffero(E177,10,"FY-3"),MIN(E155,E170*capacity))</f>
        <v>1228.96551724138</v>
      </c>
      <c r="F212" s="268">
        <f>IF(VLOOKUP(F177,ProductsRangeOper,3,FALSE)="Special Offer",SpecialOffero(F177,10,"FY-3"),MIN(F155,F170*capacity))</f>
        <v>995.2494064128</v>
      </c>
      <c r="G212" s="268">
        <f>IF(VLOOKUP(G177,ProductsRangeOper,3,FALSE)="Special Offer",SpecialOffero(G177,10,"FY-3"),MIN(G155,G170*capacity))</f>
        <v>2480</v>
      </c>
      <c r="H212" s="268">
        <f>IF(VLOOKUP(H177,ProductsRangeOper,3,FALSE)="Special Offer",SpecialOffero(H177,10,"FY-3"),MIN(H155,H170*capacity))</f>
        <v>2480</v>
      </c>
      <c r="I212" s="268">
        <f>IF(VLOOKUP(I177,ProductsRangeOper,3,FALSE)="Special Offer",SpecialOffero(I177,10,"FY-3"),MIN(I155,I170*capacity))</f>
        <v>2480</v>
      </c>
      <c r="J212" s="268">
        <f>IF(VLOOKUP(J177,ProductsRangeOper,3,FALSE)="Special Offer",SpecialOffero(J177,10,"FY-3"),MIN(J155,J170*capacity))</f>
        <v>10031.4606741573</v>
      </c>
      <c r="K212" s="268">
        <f>IF(VLOOKUP(K177,ProductsRangeOper,3,FALSE)="Special Offer",SpecialOffero(K177,10,"FY-3"),MIN(K155,K170*capacity))</f>
        <v>9931.03448275862</v>
      </c>
      <c r="L212" s="268">
        <f>IF(VLOOKUP(L177,ProductsRangeOper,3,FALSE)="Special Offer",SpecialOffero(L177,10,"FY-3"),MIN(L155,L170*capacity))</f>
        <v>244.7505935872</v>
      </c>
      <c r="M212" s="293"/>
      <c r="N212" s="307"/>
      <c r="O212" s="317"/>
      <c r="P212" s="317"/>
      <c r="R212" s="318"/>
      <c r="S212" s="318"/>
    </row>
    <row r="213" s="140" customFormat="1" spans="1:19">
      <c r="A213" s="303"/>
      <c r="B213" s="312" t="s">
        <v>105</v>
      </c>
      <c r="C213" s="96" t="s">
        <v>266</v>
      </c>
      <c r="D213" s="268">
        <f>IF(VLOOKUP(D177,ProductsRangeOper,3,FALSE)="Special Offer",SpecialOffero(D177,11,"FY-3"),MIN(D156,D171*capacity))</f>
        <v>833.482056256062</v>
      </c>
      <c r="E213" s="268">
        <f>IF(VLOOKUP(E177,ProductsRangeOper,3,FALSE)="Special Offer",SpecialOffero(E177,11,"FY-3"),MIN(E156,E171*capacity))</f>
        <v>729.84956470272</v>
      </c>
      <c r="F213" s="268">
        <f>IF(VLOOKUP(F177,ProductsRangeOper,3,FALSE)="Special Offer",SpecialOffero(F177,11,"FY-3"),MIN(F156,F171*capacity))</f>
        <v>1194.29928769536</v>
      </c>
      <c r="G213" s="268">
        <f>IF(VLOOKUP(G177,ProductsRangeOper,3,FALSE)="Special Offer",SpecialOffero(G177,11,"FY-3"),MIN(G156,G171*capacity))</f>
        <v>1240</v>
      </c>
      <c r="H213" s="268">
        <f>IF(VLOOKUP(H177,ProductsRangeOper,3,FALSE)="Special Offer",SpecialOffero(H177,11,"FY-3"),MIN(H156,H171*capacity))</f>
        <v>1240</v>
      </c>
      <c r="I213" s="268">
        <f>IF(VLOOKUP(I177,ProductsRangeOper,3,FALSE)="Special Offer",SpecialOffero(I177,11,"FY-3"),MIN(I156,I171*capacity))</f>
        <v>1240</v>
      </c>
      <c r="J213" s="268">
        <f>IF(VLOOKUP(J177,ProductsRangeOper,3,FALSE)="Special Offer",SpecialOffero(J177,11,"FY-3"),MIN(J156,J171*capacity))</f>
        <v>2886.51794374394</v>
      </c>
      <c r="K213" s="268">
        <f>IF(VLOOKUP(K177,ProductsRangeOper,3,FALSE)="Special Offer",SpecialOffero(K177,11,"FY-3"),MIN(K156,K171*capacity))</f>
        <v>2948.887130112</v>
      </c>
      <c r="L213" s="268">
        <f>IF(VLOOKUP(L177,ProductsRangeOper,3,FALSE)="Special Offer",SpecialOffero(L177,11,"FY-3"),MIN(L156,L171*capacity))</f>
        <v>86.9640174899178</v>
      </c>
      <c r="M213" s="293"/>
      <c r="N213" s="307"/>
      <c r="O213" s="317"/>
      <c r="P213" s="317"/>
      <c r="R213" s="318"/>
      <c r="S213" s="318"/>
    </row>
    <row r="214" s="140" customFormat="1" spans="1:19">
      <c r="A214" s="303"/>
      <c r="B214" s="312" t="s">
        <v>105</v>
      </c>
      <c r="C214" s="96" t="s">
        <v>267</v>
      </c>
      <c r="D214" s="268">
        <f>IF(VLOOKUP(D177,ProductsRangeOper,3,FALSE)="Special Offer",SpecialOffero(D177,12,"FY-3"),MIN(D157,D172*capacity))</f>
        <v>833.482056256062</v>
      </c>
      <c r="E214" s="268">
        <f>IF(VLOOKUP(E177,ProductsRangeOper,3,FALSE)="Special Offer",SpecialOffero(E177,12,"FY-3"),MIN(E157,E172*capacity))</f>
        <v>608.2079705856</v>
      </c>
      <c r="F214" s="268">
        <f>IF(VLOOKUP(F177,ProductsRangeOper,3,FALSE)="Special Offer",SpecialOffero(F177,12,"FY-3"),MIN(F157,F172*capacity))</f>
        <v>0</v>
      </c>
      <c r="G214" s="268">
        <f>IF(VLOOKUP(G177,ProductsRangeOper,3,FALSE)="Special Offer",SpecialOffero(G177,12,"FY-3"),MIN(G157,G172*capacity))</f>
        <v>1240</v>
      </c>
      <c r="H214" s="268">
        <f>IF(VLOOKUP(H177,ProductsRangeOper,3,FALSE)="Special Offer",SpecialOffero(H177,12,"FY-3"),MIN(H157,H172*capacity))</f>
        <v>1240</v>
      </c>
      <c r="I214" s="268">
        <f>IF(VLOOKUP(I177,ProductsRangeOper,3,FALSE)="Special Offer",SpecialOffero(I177,12,"FY-3"),MIN(I157,I172*capacity))</f>
        <v>1240</v>
      </c>
      <c r="J214" s="268">
        <f>IF(VLOOKUP(J177,ProductsRangeOper,3,FALSE)="Special Offer",SpecialOffero(J177,12,"FY-3"),MIN(J157,J172*capacity))</f>
        <v>2886.51794374394</v>
      </c>
      <c r="K214" s="268">
        <f>IF(VLOOKUP(K177,ProductsRangeOper,3,FALSE)="Special Offer",SpecialOffero(K177,12,"FY-3"),MIN(K157,K172*capacity))</f>
        <v>2948.887130112</v>
      </c>
      <c r="L214" s="268">
        <f>IF(VLOOKUP(L177,ProductsRangeOper,3,FALSE)="Special Offer",SpecialOffero(L177,12,"FY-3"),MIN(L157,L172*capacity))</f>
        <v>162.904899302397</v>
      </c>
      <c r="M214" s="293"/>
      <c r="N214" s="307"/>
      <c r="O214" s="317"/>
      <c r="P214" s="317"/>
      <c r="R214" s="318"/>
      <c r="S214" s="318"/>
    </row>
    <row r="215" s="140" customFormat="1" spans="1:19">
      <c r="A215" s="303"/>
      <c r="D215" s="268"/>
      <c r="E215" s="268"/>
      <c r="F215" s="268"/>
      <c r="G215" s="268"/>
      <c r="H215" s="268"/>
      <c r="I215" s="268"/>
      <c r="J215" s="293"/>
      <c r="K215" s="322"/>
      <c r="L215" s="293"/>
      <c r="M215" s="293"/>
      <c r="N215" s="307"/>
      <c r="O215" s="317"/>
      <c r="P215" s="317"/>
      <c r="R215" s="318"/>
      <c r="S215" s="318"/>
    </row>
    <row r="216" spans="2:23">
      <c r="B216" s="319"/>
      <c r="C216" s="33"/>
      <c r="D216" s="33"/>
      <c r="E216" s="33"/>
      <c r="F216" s="33"/>
      <c r="G216" s="33"/>
      <c r="H216" s="33"/>
      <c r="I216" s="286"/>
      <c r="J216" s="286"/>
      <c r="K216" s="323"/>
      <c r="L216" s="324"/>
      <c r="M216" s="324"/>
      <c r="N216" s="33"/>
      <c r="O216" s="33"/>
      <c r="P216" s="33"/>
      <c r="Q216" s="33"/>
      <c r="R216" s="33"/>
      <c r="S216" s="33"/>
      <c r="T216" s="33"/>
      <c r="U216" s="203"/>
      <c r="V216" s="201"/>
      <c r="W216" s="201"/>
    </row>
    <row r="217" spans="2:23">
      <c r="B217" s="253"/>
      <c r="C217" s="253"/>
      <c r="D217" s="253"/>
      <c r="E217" s="320"/>
      <c r="F217" s="253"/>
      <c r="G217" s="253"/>
      <c r="H217" s="253"/>
      <c r="I217" s="253"/>
      <c r="J217" s="253"/>
      <c r="K217" s="253"/>
      <c r="L217" s="253"/>
      <c r="M217" s="253"/>
      <c r="N217" s="253"/>
      <c r="O217" s="253"/>
      <c r="P217" s="253"/>
      <c r="Q217" s="253"/>
      <c r="R217" s="253"/>
      <c r="S217" s="253"/>
      <c r="T217" s="253"/>
      <c r="U217" s="203"/>
      <c r="V217" s="201"/>
      <c r="W217" s="201"/>
    </row>
    <row r="218" spans="2:23">
      <c r="B218" s="321"/>
      <c r="C218" s="124"/>
      <c r="D218" s="124"/>
      <c r="E218" s="33"/>
      <c r="F218" s="33"/>
      <c r="G218" s="33"/>
      <c r="H218" s="33"/>
      <c r="I218" s="33"/>
      <c r="J218" s="325"/>
      <c r="K218" s="325"/>
      <c r="L218" s="33"/>
      <c r="M218" s="253"/>
      <c r="N218" s="253"/>
      <c r="O218" s="253"/>
      <c r="P218" s="253"/>
      <c r="Q218" s="253"/>
      <c r="R218" s="33"/>
      <c r="S218" s="33"/>
      <c r="T218" s="33"/>
      <c r="U218" s="203"/>
      <c r="V218" s="201"/>
      <c r="W218" s="201"/>
    </row>
    <row r="219" spans="2:21">
      <c r="B219" s="88"/>
      <c r="C219" s="88"/>
      <c r="D219" s="88"/>
      <c r="E219" s="88"/>
      <c r="F219" s="88"/>
      <c r="G219" s="88"/>
      <c r="H219" s="88"/>
      <c r="I219" s="88"/>
      <c r="J219" s="88"/>
      <c r="K219" s="88"/>
      <c r="L219" s="88"/>
      <c r="M219" s="25"/>
      <c r="N219" s="25"/>
      <c r="O219" s="25"/>
      <c r="P219" s="25"/>
      <c r="Q219" s="25"/>
      <c r="R219" s="25"/>
      <c r="S219" s="25"/>
      <c r="T219" s="25"/>
      <c r="U219" s="25"/>
    </row>
    <row r="220" spans="2:21">
      <c r="B220" s="88"/>
      <c r="C220" s="88"/>
      <c r="D220" s="88"/>
      <c r="E220" s="88"/>
      <c r="F220" s="88"/>
      <c r="G220" s="88"/>
      <c r="H220" s="88"/>
      <c r="I220" s="88"/>
      <c r="J220" s="88"/>
      <c r="K220" s="88"/>
      <c r="L220" s="88"/>
      <c r="M220" s="25"/>
      <c r="N220" s="25"/>
      <c r="O220" s="25"/>
      <c r="P220" s="25"/>
      <c r="Q220" s="25"/>
      <c r="R220" s="25"/>
      <c r="S220" s="25"/>
      <c r="T220" s="25"/>
      <c r="U220" s="25"/>
    </row>
    <row r="221" spans="2:21">
      <c r="B221" s="88"/>
      <c r="C221" s="88"/>
      <c r="D221" s="88"/>
      <c r="E221" s="88"/>
      <c r="F221" s="88"/>
      <c r="G221" s="88"/>
      <c r="H221" s="88"/>
      <c r="I221" s="88"/>
      <c r="J221" s="88"/>
      <c r="K221" s="88"/>
      <c r="L221" s="88"/>
      <c r="M221" s="25"/>
      <c r="N221" s="25"/>
      <c r="O221" s="25"/>
      <c r="P221" s="25"/>
      <c r="Q221" s="25"/>
      <c r="R221" s="25"/>
      <c r="S221" s="25"/>
      <c r="T221" s="25"/>
      <c r="U221" s="25"/>
    </row>
    <row r="222" spans="1:20">
      <c r="A222" s="88"/>
      <c r="B222" s="88"/>
      <c r="C222" s="88"/>
      <c r="D222" s="88"/>
      <c r="E222" s="88"/>
      <c r="F222" s="88"/>
      <c r="G222" s="88"/>
      <c r="H222" s="88"/>
      <c r="I222" s="88"/>
      <c r="J222" s="88"/>
      <c r="K222" s="88"/>
      <c r="L222" s="25"/>
      <c r="M222" s="25"/>
      <c r="N222" s="25"/>
      <c r="O222" s="25"/>
      <c r="P222" s="25"/>
      <c r="Q222" s="25"/>
      <c r="R222" s="25"/>
      <c r="S222" s="25"/>
      <c r="T222" s="25"/>
    </row>
    <row r="223" spans="1:20">
      <c r="A223" s="88"/>
      <c r="B223" s="88"/>
      <c r="C223" s="88"/>
      <c r="D223" s="88"/>
      <c r="E223" s="88"/>
      <c r="F223" s="88"/>
      <c r="G223" s="88"/>
      <c r="H223" s="88"/>
      <c r="I223" s="88"/>
      <c r="J223" s="88"/>
      <c r="K223" s="88"/>
      <c r="L223" s="25"/>
      <c r="M223" s="25"/>
      <c r="N223" s="25"/>
      <c r="O223" s="25"/>
      <c r="P223" s="25"/>
      <c r="Q223" s="25"/>
      <c r="R223" s="25"/>
      <c r="S223" s="25"/>
      <c r="T223" s="25"/>
    </row>
    <row r="224" spans="1:20">
      <c r="A224" s="200"/>
      <c r="B224" s="251"/>
      <c r="C224" s="199"/>
      <c r="D224" s="199"/>
      <c r="E224" s="199"/>
      <c r="F224" s="200"/>
      <c r="G224" s="25"/>
      <c r="H224" s="88"/>
      <c r="I224" s="88"/>
      <c r="J224" s="88"/>
      <c r="K224" s="88"/>
      <c r="L224" s="25"/>
      <c r="M224" s="25"/>
      <c r="N224" s="25"/>
      <c r="O224" s="25"/>
      <c r="P224" s="25"/>
      <c r="Q224" s="25"/>
      <c r="R224" s="25"/>
      <c r="S224" s="25"/>
      <c r="T224" s="25"/>
    </row>
    <row r="225" spans="1:20">
      <c r="A225" s="88"/>
      <c r="B225" s="88"/>
      <c r="C225" s="88"/>
      <c r="D225" s="88"/>
      <c r="E225" s="88"/>
      <c r="F225" s="88"/>
      <c r="G225" s="88"/>
      <c r="H225" s="88"/>
      <c r="I225" s="88"/>
      <c r="J225" s="88"/>
      <c r="K225" s="88"/>
      <c r="L225" s="25"/>
      <c r="M225" s="25"/>
      <c r="N225" s="25"/>
      <c r="O225" s="25"/>
      <c r="P225" s="25"/>
      <c r="Q225" s="25"/>
      <c r="R225" s="25"/>
      <c r="S225" s="25"/>
      <c r="T225" s="25"/>
    </row>
    <row r="226" spans="1:20">
      <c r="A226" s="88"/>
      <c r="B226" s="88"/>
      <c r="C226" s="88"/>
      <c r="D226" s="88"/>
      <c r="E226" s="88"/>
      <c r="F226" s="88"/>
      <c r="G226" s="88"/>
      <c r="H226" s="88"/>
      <c r="I226" s="88"/>
      <c r="J226" s="88"/>
      <c r="K226" s="88"/>
      <c r="L226" s="25"/>
      <c r="M226" s="25"/>
      <c r="N226" s="25"/>
      <c r="O226" s="25"/>
      <c r="P226" s="25"/>
      <c r="Q226" s="25"/>
      <c r="R226" s="25"/>
      <c r="S226" s="25"/>
      <c r="T226" s="25"/>
    </row>
    <row r="227" spans="1:20">
      <c r="A227" s="25"/>
      <c r="B227" s="25"/>
      <c r="C227" s="25"/>
      <c r="D227" s="25"/>
      <c r="E227" s="25"/>
      <c r="F227" s="25"/>
      <c r="G227" s="25"/>
      <c r="H227" s="25"/>
      <c r="I227" s="25"/>
      <c r="J227" s="25"/>
      <c r="K227" s="25"/>
      <c r="L227" s="25"/>
      <c r="M227" s="25"/>
      <c r="N227" s="25"/>
      <c r="O227" s="25"/>
      <c r="P227" s="25"/>
      <c r="Q227" s="25"/>
      <c r="R227" s="25"/>
      <c r="S227" s="25"/>
      <c r="T227" s="25"/>
    </row>
  </sheetData>
  <mergeCells count="2">
    <mergeCell ref="E8:G8"/>
    <mergeCell ref="M8:O8"/>
  </mergeCells>
  <conditionalFormatting sqref="D23 F24 H23 J24 L23 N24">
    <cfRule type="cellIs" dxfId="0" priority="5" operator="notEqual">
      <formula>1</formula>
    </cfRule>
  </conditionalFormatting>
  <conditionalFormatting sqref="D39:L40">
    <cfRule type="containsErrors" dxfId="1" priority="2">
      <formula>ISERROR(D39)</formula>
    </cfRule>
  </conditionalFormatting>
  <conditionalFormatting sqref="D99:K99 D144:K144 D54:K54">
    <cfRule type="cellIs" dxfId="0" priority="4" operator="notEqual">
      <formula>1</formula>
    </cfRule>
  </conditionalFormatting>
  <conditionalFormatting sqref="L99 L144 L54">
    <cfRule type="cellIs" dxfId="0" priority="3" operator="notEqual">
      <formula>1</formula>
    </cfRule>
  </conditionalFormatting>
  <conditionalFormatting sqref="C71:C82 C116:C127 C161:C172">
    <cfRule type="cellIs" dxfId="0" priority="1" operator="greaterThan">
      <formula>25</formula>
    </cfRule>
  </conditionalFormatting>
  <pageMargins left="0.7" right="0.7" top="0.75" bottom="0.75" header="0.3" footer="0.3"/>
  <pageSetup paperSize="1" scale="64" orientation="landscape"/>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1"/>
  <legacyDrawing r:id="rId2"/>
  <controls>
    <mc:AlternateContent xmlns:mc="http://schemas.openxmlformats.org/markup-compatibility/2006">
      <mc:Choice Requires="x14">
        <control shapeId="77825" r:id="rId3" name="ComboBox1">
          <controlPr defaultSize="0" r:id="rId4">
            <anchor moveWithCells="1">
              <from>
                <xdr:col>4</xdr:col>
                <xdr:colOff>73660</xdr:colOff>
                <xdr:row>0</xdr:row>
                <xdr:rowOff>76835</xdr:rowOff>
              </from>
              <to>
                <xdr:col>7</xdr:col>
                <xdr:colOff>546100</xdr:colOff>
                <xdr:row>0</xdr:row>
                <xdr:rowOff>329565</xdr:rowOff>
              </to>
            </anchor>
          </controlPr>
        </control>
      </mc:Choice>
      <mc:Fallback>
        <control shapeId="77825" r:id="rId3" name="ComboBox1"/>
      </mc:Fallback>
    </mc:AlternateContent>
    <mc:AlternateContent xmlns:mc="http://schemas.openxmlformats.org/markup-compatibility/2006">
      <mc:Choice Requires="x14">
        <control shapeId="77826" name="Check Box 2" r:id="rId5">
          <controlPr defaultSize="0">
            <anchor moveWithCells="1">
              <from>
                <xdr:col>1</xdr:col>
                <xdr:colOff>340995</xdr:colOff>
                <xdr:row>1</xdr:row>
                <xdr:rowOff>31750</xdr:rowOff>
              </from>
              <to>
                <xdr:col>1</xdr:col>
                <xdr:colOff>509905</xdr:colOff>
                <xdr:row>1</xdr:row>
                <xdr:rowOff>250190</xdr:rowOff>
              </to>
            </anchor>
          </controlPr>
        </control>
      </mc:Choice>
    </mc:AlternateContent>
    <mc:AlternateContent xmlns:mc="http://schemas.openxmlformats.org/markup-compatibility/2006">
      <mc:Choice Requires="x14">
        <control shapeId="77827" name="Check Box 3" r:id="rId6">
          <controlPr defaultSize="0">
            <anchor moveWithCells="1">
              <from>
                <xdr:col>1</xdr:col>
                <xdr:colOff>340995</xdr:colOff>
                <xdr:row>1</xdr:row>
                <xdr:rowOff>212725</xdr:rowOff>
              </from>
              <to>
                <xdr:col>1</xdr:col>
                <xdr:colOff>509905</xdr:colOff>
                <xdr:row>1</xdr:row>
                <xdr:rowOff>431800</xdr:rowOff>
              </to>
            </anchor>
          </controlPr>
        </control>
      </mc:Choice>
    </mc:AlternateContent>
    <mc:AlternateContent xmlns:mc="http://schemas.openxmlformats.org/markup-compatibility/2006">
      <mc:Choice Requires="x14">
        <control shapeId="77828" name="Check Box 4" r:id="rId7">
          <controlPr defaultSize="0">
            <anchor moveWithCells="1">
              <from>
                <xdr:col>1</xdr:col>
                <xdr:colOff>340995</xdr:colOff>
                <xdr:row>1</xdr:row>
                <xdr:rowOff>393700</xdr:rowOff>
              </from>
              <to>
                <xdr:col>1</xdr:col>
                <xdr:colOff>509905</xdr:colOff>
                <xdr:row>2</xdr:row>
                <xdr:rowOff>88900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00FF00"/>
  </sheetPr>
  <dimension ref="A1:Y296"/>
  <sheetViews>
    <sheetView showGridLines="0" showRowColHeaders="0" tabSelected="1" workbookViewId="0">
      <pane ySplit="1" topLeftCell="A5" activePane="bottomLeft" state="frozen"/>
      <selection/>
      <selection pane="bottomLeft" activeCell="I26" sqref="I26"/>
    </sheetView>
  </sheetViews>
  <sheetFormatPr defaultColWidth="9.14166666666667" defaultRowHeight="12.75"/>
  <cols>
    <col min="1" max="1" width="9.14166666666667" style="27"/>
    <col min="2" max="2" width="12.425" style="27" customWidth="1"/>
    <col min="3" max="3" width="12.5666666666667" style="27" customWidth="1"/>
    <col min="4" max="4" width="9.14166666666667" style="27"/>
    <col min="5" max="6" width="11.5666666666667" style="27" customWidth="1"/>
    <col min="7" max="7" width="11.425" style="27" customWidth="1"/>
    <col min="8" max="8" width="10.425" style="27" customWidth="1"/>
    <col min="9" max="9" width="9.85833333333333" style="27" customWidth="1"/>
    <col min="10" max="10" width="9.14166666666667" style="27"/>
    <col min="11" max="11" width="10.5666666666667" style="27" customWidth="1"/>
    <col min="12" max="12" width="9.14166666666667" style="27"/>
    <col min="13" max="13" width="10.8583333333333" style="27" customWidth="1"/>
    <col min="14" max="16384" width="9.14166666666667" style="27"/>
  </cols>
  <sheetData>
    <row r="1" s="25" customFormat="1" ht="32.1" customHeight="1" spans="1:25">
      <c r="A1" s="29"/>
      <c r="B1" s="29"/>
      <c r="C1" s="29"/>
      <c r="D1" s="29"/>
      <c r="E1" s="29"/>
      <c r="F1" s="29"/>
      <c r="G1" s="29"/>
      <c r="H1" s="29"/>
      <c r="I1" s="29"/>
      <c r="J1" s="29"/>
      <c r="K1" s="29"/>
      <c r="L1" s="140"/>
      <c r="M1" s="29"/>
      <c r="Q1" s="140"/>
      <c r="R1" s="140"/>
      <c r="S1" s="140"/>
      <c r="T1" s="140"/>
      <c r="U1" s="140"/>
      <c r="V1" s="140"/>
      <c r="W1" s="140"/>
      <c r="X1" s="140"/>
      <c r="Y1" s="140"/>
    </row>
    <row r="2" s="25" customFormat="1" ht="41.25" customHeight="1" spans="12:25">
      <c r="L2" s="140"/>
      <c r="Q2" s="140"/>
      <c r="R2" s="140"/>
      <c r="S2" s="140"/>
      <c r="T2" s="140"/>
      <c r="U2" s="140"/>
      <c r="V2" s="140"/>
      <c r="W2" s="140"/>
      <c r="X2" s="140"/>
      <c r="Y2" s="140"/>
    </row>
    <row r="3" s="25" customFormat="1" customHeight="1" spans="17:25">
      <c r="Q3" s="140"/>
      <c r="R3" s="140"/>
      <c r="S3" s="140"/>
      <c r="T3" s="140"/>
      <c r="U3" s="140"/>
      <c r="V3" s="140"/>
      <c r="W3" s="140"/>
      <c r="X3" s="140"/>
      <c r="Y3" s="140"/>
    </row>
    <row r="4" spans="1:21">
      <c r="A4" s="25"/>
      <c r="B4" s="25"/>
      <c r="C4" s="25"/>
      <c r="D4" s="25"/>
      <c r="E4" s="25"/>
      <c r="F4" s="25"/>
      <c r="G4" s="25"/>
      <c r="H4" s="25"/>
      <c r="I4" s="25"/>
      <c r="J4" s="25"/>
      <c r="K4" s="25"/>
      <c r="L4" s="25"/>
      <c r="M4" s="25"/>
      <c r="N4" s="25"/>
      <c r="O4" s="25"/>
      <c r="P4" s="25"/>
      <c r="Q4" s="25"/>
      <c r="R4" s="25"/>
      <c r="S4" s="25"/>
      <c r="T4" s="25"/>
      <c r="U4" s="25"/>
    </row>
    <row r="5" spans="1:22">
      <c r="A5" s="33"/>
      <c r="B5" s="33"/>
      <c r="C5" s="33"/>
      <c r="D5" s="33"/>
      <c r="E5" s="33"/>
      <c r="F5" s="33"/>
      <c r="G5" s="33"/>
      <c r="H5" s="33"/>
      <c r="I5" s="33"/>
      <c r="J5" s="33"/>
      <c r="K5" s="33"/>
      <c r="L5" s="33"/>
      <c r="M5" s="33"/>
      <c r="N5" s="33"/>
      <c r="O5" s="124"/>
      <c r="P5" s="33"/>
      <c r="Q5" s="33"/>
      <c r="R5" s="33"/>
      <c r="S5" s="33"/>
      <c r="T5" s="33"/>
      <c r="U5" s="33"/>
      <c r="V5" s="141"/>
    </row>
    <row r="6" ht="15.75" spans="1:22">
      <c r="A6" s="155">
        <v>1</v>
      </c>
      <c r="B6" s="156" t="s">
        <v>143</v>
      </c>
      <c r="C6" s="157"/>
      <c r="D6" s="157"/>
      <c r="E6" s="157"/>
      <c r="F6" s="158"/>
      <c r="G6" s="38"/>
      <c r="H6" s="38"/>
      <c r="I6" s="125"/>
      <c r="J6" s="38"/>
      <c r="K6" s="38"/>
      <c r="L6" s="38"/>
      <c r="M6" s="126"/>
      <c r="N6" s="127"/>
      <c r="O6" s="127"/>
      <c r="P6" s="38"/>
      <c r="Q6" s="38"/>
      <c r="R6" s="124"/>
      <c r="S6" s="33"/>
      <c r="T6" s="33"/>
      <c r="U6" s="33"/>
      <c r="V6" s="141"/>
    </row>
    <row r="7" s="26" customFormat="1" ht="11.25" spans="1:25">
      <c r="A7" s="40"/>
      <c r="B7" s="41"/>
      <c r="C7" s="41"/>
      <c r="D7" s="42"/>
      <c r="E7" s="43"/>
      <c r="F7" s="44" t="s">
        <v>144</v>
      </c>
      <c r="G7" s="44"/>
      <c r="H7" s="83"/>
      <c r="I7" s="38"/>
      <c r="J7" s="38"/>
      <c r="K7" s="38"/>
      <c r="O7" s="127"/>
      <c r="P7" s="127"/>
      <c r="Q7" s="38"/>
      <c r="R7" s="38"/>
      <c r="S7" s="38"/>
      <c r="T7" s="38"/>
      <c r="U7" s="38"/>
      <c r="V7" s="38"/>
      <c r="W7" s="38"/>
      <c r="X7" s="38"/>
      <c r="Y7" s="38"/>
    </row>
    <row r="8" s="26" customFormat="1" ht="11.25" spans="1:25">
      <c r="A8" s="40"/>
      <c r="B8" s="46" t="s">
        <v>145</v>
      </c>
      <c r="C8" s="47"/>
      <c r="D8" s="48" t="s">
        <v>146</v>
      </c>
      <c r="E8" s="49" t="s">
        <v>147</v>
      </c>
      <c r="F8" s="50" t="s">
        <v>104</v>
      </c>
      <c r="G8" s="51" t="s">
        <v>105</v>
      </c>
      <c r="H8" s="83"/>
      <c r="I8" s="83"/>
      <c r="J8" s="83"/>
      <c r="K8" s="38"/>
      <c r="O8" s="127"/>
      <c r="P8" s="127"/>
      <c r="Q8" s="38"/>
      <c r="R8" s="38"/>
      <c r="S8" s="38"/>
      <c r="T8" s="38"/>
      <c r="U8" s="38"/>
      <c r="V8" s="38"/>
      <c r="W8" s="38"/>
      <c r="X8" s="38"/>
      <c r="Y8" s="38"/>
    </row>
    <row r="9" s="26" customFormat="1" ht="11.25" spans="2:25">
      <c r="B9" s="73" t="s">
        <v>148</v>
      </c>
      <c r="C9" s="74"/>
      <c r="D9" s="75">
        <v>20000</v>
      </c>
      <c r="E9" s="55">
        <v>1</v>
      </c>
      <c r="F9" s="56">
        <v>1</v>
      </c>
      <c r="G9" s="56">
        <v>1</v>
      </c>
      <c r="H9" s="159"/>
      <c r="I9" s="128"/>
      <c r="J9" s="128"/>
      <c r="K9" s="128"/>
      <c r="O9" s="127"/>
      <c r="P9" s="127"/>
      <c r="Q9" s="38"/>
      <c r="R9" s="38"/>
      <c r="S9" s="38"/>
      <c r="T9" s="38"/>
      <c r="U9" s="38"/>
      <c r="V9" s="38"/>
      <c r="W9" s="38"/>
      <c r="X9" s="38"/>
      <c r="Y9" s="38"/>
    </row>
    <row r="10" s="26" customFormat="1" ht="11.25" spans="2:25">
      <c r="B10" s="73" t="s">
        <v>149</v>
      </c>
      <c r="C10" s="74"/>
      <c r="D10" s="75">
        <v>45000</v>
      </c>
      <c r="E10" s="55">
        <v>1</v>
      </c>
      <c r="F10" s="56">
        <v>0.9</v>
      </c>
      <c r="G10" s="56">
        <v>0.9</v>
      </c>
      <c r="H10" s="159"/>
      <c r="I10" s="128"/>
      <c r="J10" s="128"/>
      <c r="K10" s="128"/>
      <c r="O10" s="127"/>
      <c r="P10" s="127"/>
      <c r="Q10" s="38"/>
      <c r="R10" s="38"/>
      <c r="S10" s="38"/>
      <c r="T10" s="38"/>
      <c r="U10" s="38"/>
      <c r="V10" s="38"/>
      <c r="W10" s="38"/>
      <c r="X10" s="38"/>
      <c r="Y10" s="38"/>
    </row>
    <row r="11" s="26" customFormat="1" ht="11.25" spans="2:25">
      <c r="B11" s="74" t="s">
        <v>150</v>
      </c>
      <c r="C11" s="74"/>
      <c r="D11" s="75">
        <v>12000</v>
      </c>
      <c r="E11" s="55">
        <v>0.25</v>
      </c>
      <c r="F11" s="56">
        <v>1.1</v>
      </c>
      <c r="G11" s="56">
        <v>1.1</v>
      </c>
      <c r="H11" s="159"/>
      <c r="I11" s="128"/>
      <c r="J11" s="128"/>
      <c r="K11" s="128"/>
      <c r="O11" s="127"/>
      <c r="P11" s="127"/>
      <c r="Q11" s="38"/>
      <c r="R11" s="38"/>
      <c r="S11" s="38"/>
      <c r="T11" s="38"/>
      <c r="U11" s="38"/>
      <c r="V11" s="38"/>
      <c r="W11" s="38"/>
      <c r="X11" s="38"/>
      <c r="Y11" s="38"/>
    </row>
    <row r="12" s="26" customFormat="1" ht="11.25" spans="2:25">
      <c r="B12" s="73" t="s">
        <v>151</v>
      </c>
      <c r="C12" s="160"/>
      <c r="D12" s="75">
        <v>7000</v>
      </c>
      <c r="E12" s="55"/>
      <c r="F12" s="56">
        <v>0.9</v>
      </c>
      <c r="G12" s="56">
        <v>0.9</v>
      </c>
      <c r="H12" s="83"/>
      <c r="I12" s="128"/>
      <c r="J12" s="128"/>
      <c r="K12" s="128"/>
      <c r="L12" s="127"/>
      <c r="O12" s="127"/>
      <c r="P12" s="127"/>
      <c r="Q12" s="38"/>
      <c r="R12" s="38"/>
      <c r="S12" s="38"/>
      <c r="T12" s="38"/>
      <c r="U12" s="38"/>
      <c r="V12" s="38"/>
      <c r="W12" s="38"/>
      <c r="X12" s="38"/>
      <c r="Y12" s="38"/>
    </row>
    <row r="13" s="26" customFormat="1" ht="11.25" spans="2:25">
      <c r="B13" s="59"/>
      <c r="C13" s="59"/>
      <c r="H13" s="38"/>
      <c r="I13" s="38"/>
      <c r="J13" s="38"/>
      <c r="K13" s="130"/>
      <c r="O13" s="127"/>
      <c r="P13" s="127"/>
      <c r="Q13" s="38"/>
      <c r="R13" s="38"/>
      <c r="S13" s="38"/>
      <c r="T13" s="38"/>
      <c r="U13" s="38"/>
      <c r="V13" s="38"/>
      <c r="W13" s="38"/>
      <c r="X13" s="38"/>
      <c r="Y13" s="38"/>
    </row>
    <row r="14" s="26" customFormat="1" ht="11.25" spans="2:25">
      <c r="B14" s="59"/>
      <c r="C14" s="59"/>
      <c r="D14" s="60" t="s">
        <v>103</v>
      </c>
      <c r="E14" s="60" t="s">
        <v>104</v>
      </c>
      <c r="F14" s="60" t="s">
        <v>105</v>
      </c>
      <c r="H14" s="38"/>
      <c r="I14" s="38"/>
      <c r="J14" s="38"/>
      <c r="K14" s="130"/>
      <c r="O14" s="127"/>
      <c r="P14" s="127"/>
      <c r="Q14" s="38"/>
      <c r="R14" s="38"/>
      <c r="S14" s="38"/>
      <c r="T14" s="38"/>
      <c r="U14" s="38"/>
      <c r="V14" s="38"/>
      <c r="W14" s="38"/>
      <c r="X14" s="38"/>
      <c r="Y14" s="38"/>
    </row>
    <row r="15" s="26" customFormat="1" spans="2:25">
      <c r="B15" s="61" t="s">
        <v>142</v>
      </c>
      <c r="C15" s="59"/>
      <c r="D15" s="62">
        <f>SUM(D9:D13)</f>
        <v>84000</v>
      </c>
      <c r="E15" s="62">
        <f>SUMPRODUCT(D9:D13,F9:F13)</f>
        <v>80000</v>
      </c>
      <c r="F15" s="62">
        <f>SUMPRODUCT(D9:D13,G9:G13,F9:F13)</f>
        <v>76640</v>
      </c>
      <c r="H15" s="38"/>
      <c r="I15" s="38"/>
      <c r="J15" s="38"/>
      <c r="K15" s="130"/>
      <c r="O15" s="127"/>
      <c r="P15" s="127"/>
      <c r="Q15" s="38"/>
      <c r="R15" s="38"/>
      <c r="S15" s="38"/>
      <c r="T15" s="38"/>
      <c r="U15" s="38"/>
      <c r="V15" s="38"/>
      <c r="W15" s="38"/>
      <c r="X15" s="38"/>
      <c r="Y15" s="38"/>
    </row>
    <row r="16" s="26" customFormat="1" ht="11.25" spans="2:25">
      <c r="B16" s="59"/>
      <c r="C16" s="59"/>
      <c r="H16" s="38"/>
      <c r="I16" s="38"/>
      <c r="J16" s="38"/>
      <c r="K16" s="130"/>
      <c r="O16" s="127"/>
      <c r="P16" s="127"/>
      <c r="Q16" s="38"/>
      <c r="R16" s="38"/>
      <c r="S16" s="38"/>
      <c r="T16" s="38"/>
      <c r="U16" s="38"/>
      <c r="V16" s="38"/>
      <c r="W16" s="38"/>
      <c r="X16" s="38"/>
      <c r="Y16" s="38"/>
    </row>
    <row r="17" s="26" customFormat="1" ht="11.25" spans="8:25">
      <c r="H17" s="38"/>
      <c r="I17" s="38"/>
      <c r="J17" s="38"/>
      <c r="K17" s="130"/>
      <c r="O17" s="127"/>
      <c r="P17" s="127"/>
      <c r="Q17" s="38"/>
      <c r="R17" s="38"/>
      <c r="S17" s="38"/>
      <c r="T17" s="38"/>
      <c r="U17" s="38"/>
      <c r="V17" s="38"/>
      <c r="W17" s="38"/>
      <c r="X17" s="38"/>
      <c r="Y17" s="38"/>
    </row>
    <row r="18" s="26" customFormat="1" ht="15.75" spans="1:25">
      <c r="A18" s="65">
        <v>2</v>
      </c>
      <c r="B18" s="66" t="s">
        <v>1336</v>
      </c>
      <c r="C18" s="67"/>
      <c r="D18" s="67"/>
      <c r="E18" s="67"/>
      <c r="F18" s="67"/>
      <c r="J18" s="41"/>
      <c r="K18" s="38"/>
      <c r="O18" s="127"/>
      <c r="P18" s="127"/>
      <c r="Q18" s="38"/>
      <c r="R18" s="38"/>
      <c r="S18" s="38"/>
      <c r="T18" s="38"/>
      <c r="U18" s="38"/>
      <c r="V18" s="38"/>
      <c r="W18" s="38"/>
      <c r="X18" s="38"/>
      <c r="Y18" s="38"/>
    </row>
    <row r="19" s="26" customFormat="1" customHeight="1" spans="1:25">
      <c r="A19" s="70"/>
      <c r="B19" s="71"/>
      <c r="D19" s="72" t="s">
        <v>162</v>
      </c>
      <c r="E19" s="44" t="s">
        <v>163</v>
      </c>
      <c r="F19" s="44"/>
      <c r="J19" s="41"/>
      <c r="K19" s="38"/>
      <c r="O19" s="127"/>
      <c r="P19" s="127"/>
      <c r="Q19" s="38"/>
      <c r="R19" s="38"/>
      <c r="S19" s="38"/>
      <c r="T19" s="38"/>
      <c r="U19" s="38"/>
      <c r="V19" s="38"/>
      <c r="W19" s="38"/>
      <c r="X19" s="38"/>
      <c r="Y19" s="38"/>
    </row>
    <row r="20" s="26" customFormat="1" customHeight="1" spans="1:25">
      <c r="A20" s="70"/>
      <c r="B20" s="71"/>
      <c r="D20" s="72" t="s">
        <v>103</v>
      </c>
      <c r="E20" s="72" t="s">
        <v>104</v>
      </c>
      <c r="F20" s="72" t="s">
        <v>105</v>
      </c>
      <c r="J20" s="41"/>
      <c r="K20" s="38"/>
      <c r="O20" s="127"/>
      <c r="P20" s="127"/>
      <c r="Q20" s="38"/>
      <c r="R20" s="38"/>
      <c r="S20" s="38"/>
      <c r="T20" s="38"/>
      <c r="U20" s="38"/>
      <c r="V20" s="38"/>
      <c r="W20" s="38"/>
      <c r="X20" s="38"/>
      <c r="Y20" s="38"/>
    </row>
    <row r="21" s="26" customFormat="1" customHeight="1" spans="1:25">
      <c r="A21" s="70"/>
      <c r="B21" s="73" t="s">
        <v>164</v>
      </c>
      <c r="C21" s="74"/>
      <c r="D21" s="75">
        <v>2000</v>
      </c>
      <c r="E21" s="56">
        <v>1</v>
      </c>
      <c r="F21" s="56">
        <v>1</v>
      </c>
      <c r="G21" s="59"/>
      <c r="H21" s="59"/>
      <c r="I21" s="181"/>
      <c r="O21" s="127"/>
      <c r="P21" s="127"/>
      <c r="Q21" s="38"/>
      <c r="R21" s="38"/>
      <c r="S21" s="38"/>
      <c r="T21" s="38"/>
      <c r="U21" s="38"/>
      <c r="V21" s="38"/>
      <c r="W21" s="38"/>
      <c r="X21" s="38"/>
      <c r="Y21" s="38"/>
    </row>
    <row r="22" s="26" customFormat="1" customHeight="1" spans="1:25">
      <c r="A22" s="70"/>
      <c r="B22" s="73" t="s">
        <v>165</v>
      </c>
      <c r="C22" s="74"/>
      <c r="D22" s="75">
        <v>3000</v>
      </c>
      <c r="E22" s="56">
        <v>0.8</v>
      </c>
      <c r="F22" s="56">
        <v>0.7</v>
      </c>
      <c r="G22" s="59"/>
      <c r="H22" s="59"/>
      <c r="I22" s="181"/>
      <c r="O22" s="127"/>
      <c r="P22" s="127"/>
      <c r="Q22" s="38"/>
      <c r="R22" s="38"/>
      <c r="S22" s="38"/>
      <c r="T22" s="38"/>
      <c r="U22" s="38"/>
      <c r="V22" s="38"/>
      <c r="W22" s="38"/>
      <c r="X22" s="38"/>
      <c r="Y22" s="38"/>
    </row>
    <row r="23" s="26" customFormat="1" customHeight="1" spans="1:25">
      <c r="A23" s="70"/>
      <c r="B23" s="73" t="s">
        <v>166</v>
      </c>
      <c r="C23" s="74"/>
      <c r="D23" s="75">
        <v>4000</v>
      </c>
      <c r="E23" s="56">
        <v>1</v>
      </c>
      <c r="F23" s="56">
        <v>1</v>
      </c>
      <c r="G23" s="59"/>
      <c r="H23" s="59"/>
      <c r="I23" s="181"/>
      <c r="O23" s="127"/>
      <c r="P23" s="127"/>
      <c r="Q23" s="38"/>
      <c r="R23" s="38"/>
      <c r="S23" s="38"/>
      <c r="T23" s="38"/>
      <c r="U23" s="38"/>
      <c r="V23" s="38"/>
      <c r="W23" s="38"/>
      <c r="X23" s="38"/>
      <c r="Y23" s="38"/>
    </row>
    <row r="24" s="26" customFormat="1" customHeight="1" spans="1:25">
      <c r="A24" s="70"/>
      <c r="B24" s="73" t="s">
        <v>167</v>
      </c>
      <c r="C24" s="74"/>
      <c r="D24" s="75">
        <v>4000</v>
      </c>
      <c r="E24" s="56">
        <v>1</v>
      </c>
      <c r="F24" s="56">
        <v>1</v>
      </c>
      <c r="G24" s="59"/>
      <c r="H24" s="59"/>
      <c r="I24" s="181"/>
      <c r="O24" s="127"/>
      <c r="P24" s="127"/>
      <c r="Q24" s="38"/>
      <c r="R24" s="38"/>
      <c r="S24" s="38"/>
      <c r="T24" s="38"/>
      <c r="U24" s="38"/>
      <c r="V24" s="38"/>
      <c r="W24" s="38"/>
      <c r="X24" s="38"/>
      <c r="Y24" s="38"/>
    </row>
    <row r="25" s="26" customFormat="1" customHeight="1" spans="1:25">
      <c r="A25" s="70"/>
      <c r="B25" s="126" t="s">
        <v>168</v>
      </c>
      <c r="C25" s="38"/>
      <c r="D25" s="161">
        <v>7500</v>
      </c>
      <c r="E25" s="128">
        <v>1.9</v>
      </c>
      <c r="F25" s="128">
        <v>0.9</v>
      </c>
      <c r="G25" s="59"/>
      <c r="H25" s="59"/>
      <c r="I25" s="181"/>
      <c r="O25" s="127"/>
      <c r="P25" s="127"/>
      <c r="Q25" s="38"/>
      <c r="R25" s="38"/>
      <c r="S25" s="38"/>
      <c r="T25" s="38"/>
      <c r="U25" s="38"/>
      <c r="V25" s="38"/>
      <c r="W25" s="38"/>
      <c r="X25" s="38"/>
      <c r="Y25" s="38"/>
    </row>
    <row r="26" s="26" customFormat="1" customHeight="1" spans="1:25">
      <c r="A26" s="70"/>
      <c r="G26" s="59"/>
      <c r="H26" s="59"/>
      <c r="I26" s="181"/>
      <c r="J26" s="127"/>
      <c r="K26" s="127"/>
      <c r="L26" s="38"/>
      <c r="M26" s="38"/>
      <c r="N26" s="38"/>
      <c r="O26" s="38"/>
      <c r="P26" s="127"/>
      <c r="Q26" s="38"/>
      <c r="R26" s="38"/>
      <c r="S26" s="38"/>
      <c r="T26" s="38"/>
      <c r="U26" s="38"/>
      <c r="V26" s="38"/>
      <c r="W26" s="38"/>
      <c r="X26" s="38"/>
      <c r="Y26" s="38"/>
    </row>
    <row r="27" s="26" customFormat="1" customHeight="1" spans="1:25">
      <c r="A27" s="70"/>
      <c r="D27" s="60" t="s">
        <v>103</v>
      </c>
      <c r="E27" s="60" t="s">
        <v>104</v>
      </c>
      <c r="F27" s="60" t="s">
        <v>105</v>
      </c>
      <c r="G27" s="59"/>
      <c r="H27" s="59"/>
      <c r="I27" s="181"/>
      <c r="J27" s="127"/>
      <c r="K27" s="127"/>
      <c r="L27" s="38"/>
      <c r="M27" s="38"/>
      <c r="N27" s="38"/>
      <c r="O27" s="38"/>
      <c r="P27" s="127"/>
      <c r="Q27" s="38"/>
      <c r="R27" s="38"/>
      <c r="S27" s="38"/>
      <c r="T27" s="38"/>
      <c r="U27" s="38"/>
      <c r="V27" s="38"/>
      <c r="W27" s="38"/>
      <c r="X27" s="38"/>
      <c r="Y27" s="38"/>
    </row>
    <row r="28" s="26" customFormat="1" customHeight="1" spans="1:25">
      <c r="A28" s="70"/>
      <c r="B28" s="71" t="s">
        <v>142</v>
      </c>
      <c r="C28" s="77"/>
      <c r="D28" s="78">
        <f>SUM(D21:D26)</f>
        <v>20500</v>
      </c>
      <c r="E28" s="78">
        <f>SUMPRODUCT(D21:D26,E21:E26)</f>
        <v>26650</v>
      </c>
      <c r="F28" s="78">
        <f>SUMPRODUCT(E21:E26,F21:F26,D21:D26)</f>
        <v>24505</v>
      </c>
      <c r="G28" s="59"/>
      <c r="H28" s="59"/>
      <c r="I28" s="181"/>
      <c r="J28" s="127"/>
      <c r="K28" s="127"/>
      <c r="L28" s="38"/>
      <c r="M28" s="38"/>
      <c r="N28" s="38"/>
      <c r="O28" s="38"/>
      <c r="P28" s="127"/>
      <c r="Q28" s="38"/>
      <c r="R28" s="38"/>
      <c r="S28" s="38"/>
      <c r="T28" s="38"/>
      <c r="U28" s="38"/>
      <c r="V28" s="38"/>
      <c r="W28" s="38"/>
      <c r="X28" s="38"/>
      <c r="Y28" s="38"/>
    </row>
    <row r="29" s="26" customFormat="1" customHeight="1" spans="1:25">
      <c r="A29" s="70"/>
      <c r="D29" s="162"/>
      <c r="G29" s="59"/>
      <c r="H29" s="59"/>
      <c r="I29" s="181"/>
      <c r="J29" s="127"/>
      <c r="K29" s="127"/>
      <c r="L29" s="38"/>
      <c r="M29" s="38"/>
      <c r="N29" s="38"/>
      <c r="O29" s="38"/>
      <c r="P29" s="127"/>
      <c r="Q29" s="38"/>
      <c r="R29" s="38"/>
      <c r="S29" s="38"/>
      <c r="T29" s="38"/>
      <c r="U29" s="38"/>
      <c r="V29" s="38"/>
      <c r="W29" s="38"/>
      <c r="X29" s="38"/>
      <c r="Y29" s="38"/>
    </row>
    <row r="30" s="26" customFormat="1" customHeight="1" spans="1:25">
      <c r="A30" s="70"/>
      <c r="G30" s="59"/>
      <c r="H30" s="59"/>
      <c r="I30" s="181"/>
      <c r="J30" s="127"/>
      <c r="K30" s="127"/>
      <c r="L30" s="38"/>
      <c r="M30" s="38"/>
      <c r="N30" s="38"/>
      <c r="O30" s="38"/>
      <c r="P30" s="127"/>
      <c r="Q30" s="38"/>
      <c r="R30" s="38"/>
      <c r="S30" s="38"/>
      <c r="T30" s="38"/>
      <c r="U30" s="38"/>
      <c r="V30" s="38"/>
      <c r="W30" s="38"/>
      <c r="X30" s="38"/>
      <c r="Y30" s="38"/>
    </row>
    <row r="31" s="26" customFormat="1" ht="15.75" spans="1:25">
      <c r="A31" s="65">
        <v>3</v>
      </c>
      <c r="B31" s="163" t="s">
        <v>169</v>
      </c>
      <c r="C31" s="164"/>
      <c r="D31" s="165"/>
      <c r="E31" s="166"/>
      <c r="F31" s="166"/>
      <c r="G31" s="59"/>
      <c r="H31" s="59"/>
      <c r="I31" s="181"/>
      <c r="J31" s="127"/>
      <c r="K31" s="127"/>
      <c r="L31" s="38"/>
      <c r="M31" s="38"/>
      <c r="N31" s="38"/>
      <c r="O31" s="38"/>
      <c r="P31" s="127"/>
      <c r="Q31" s="38"/>
      <c r="R31" s="38"/>
      <c r="S31" s="38"/>
      <c r="T31" s="38"/>
      <c r="U31" s="38"/>
      <c r="V31" s="38"/>
      <c r="W31" s="38"/>
      <c r="X31" s="38"/>
      <c r="Y31" s="38"/>
    </row>
    <row r="32" s="26" customFormat="1" ht="11.25" spans="4:25">
      <c r="D32" s="72" t="s">
        <v>162</v>
      </c>
      <c r="E32" s="44" t="s">
        <v>163</v>
      </c>
      <c r="F32" s="44"/>
      <c r="G32" s="59"/>
      <c r="H32" s="59"/>
      <c r="I32" s="181"/>
      <c r="J32" s="127"/>
      <c r="K32" s="127"/>
      <c r="L32" s="38"/>
      <c r="M32" s="38"/>
      <c r="N32" s="38"/>
      <c r="O32" s="38"/>
      <c r="P32" s="127"/>
      <c r="Q32" s="38"/>
      <c r="R32" s="38"/>
      <c r="S32" s="38"/>
      <c r="T32" s="38"/>
      <c r="U32" s="38"/>
      <c r="V32" s="38"/>
      <c r="W32" s="38"/>
      <c r="X32" s="38"/>
      <c r="Y32" s="38"/>
    </row>
    <row r="33" s="26" customFormat="1" customHeight="1" spans="1:25">
      <c r="A33" s="70"/>
      <c r="D33" s="72" t="s">
        <v>103</v>
      </c>
      <c r="E33" s="72" t="s">
        <v>104</v>
      </c>
      <c r="F33" s="72" t="s">
        <v>105</v>
      </c>
      <c r="G33" s="59"/>
      <c r="H33" s="59"/>
      <c r="I33" s="181"/>
      <c r="J33" s="127"/>
      <c r="K33" s="127"/>
      <c r="L33" s="38"/>
      <c r="M33" s="38"/>
      <c r="N33" s="38"/>
      <c r="O33" s="38"/>
      <c r="P33" s="127"/>
      <c r="Q33" s="38"/>
      <c r="R33" s="38"/>
      <c r="S33" s="38"/>
      <c r="T33" s="38"/>
      <c r="U33" s="38"/>
      <c r="V33" s="38"/>
      <c r="W33" s="38"/>
      <c r="X33" s="38"/>
      <c r="Y33" s="38"/>
    </row>
    <row r="34" s="26" customFormat="1" customHeight="1" spans="1:25">
      <c r="A34" s="70"/>
      <c r="B34" s="73" t="s">
        <v>170</v>
      </c>
      <c r="C34" s="74"/>
      <c r="D34" s="75">
        <v>35000</v>
      </c>
      <c r="E34" s="56">
        <v>0.8</v>
      </c>
      <c r="F34" s="56">
        <v>0.8</v>
      </c>
      <c r="J34" s="38"/>
      <c r="K34" s="38"/>
      <c r="L34" s="38"/>
      <c r="M34" s="38"/>
      <c r="N34" s="38"/>
      <c r="O34" s="38"/>
      <c r="P34" s="127"/>
      <c r="Q34" s="38"/>
      <c r="R34" s="38"/>
      <c r="S34" s="38"/>
      <c r="T34" s="38"/>
      <c r="U34" s="38"/>
      <c r="V34" s="38"/>
      <c r="W34" s="38"/>
      <c r="X34" s="38"/>
      <c r="Y34" s="38"/>
    </row>
    <row r="35" s="26" customFormat="1" customHeight="1" spans="1:25">
      <c r="A35" s="70"/>
      <c r="B35" s="73" t="s">
        <v>171</v>
      </c>
      <c r="C35" s="74"/>
      <c r="D35" s="75">
        <v>3000</v>
      </c>
      <c r="E35" s="56">
        <v>1</v>
      </c>
      <c r="F35" s="56">
        <v>1</v>
      </c>
      <c r="J35" s="38"/>
      <c r="K35" s="38"/>
      <c r="L35" s="38"/>
      <c r="M35" s="38"/>
      <c r="N35" s="38"/>
      <c r="O35" s="38"/>
      <c r="P35" s="127"/>
      <c r="Q35" s="38"/>
      <c r="R35" s="38"/>
      <c r="S35" s="38"/>
      <c r="T35" s="38"/>
      <c r="U35" s="38"/>
      <c r="V35" s="38"/>
      <c r="W35" s="38"/>
      <c r="X35" s="38"/>
      <c r="Y35" s="38"/>
    </row>
    <row r="36" s="26" customFormat="1" customHeight="1" spans="1:25">
      <c r="A36" s="70"/>
      <c r="B36" s="73" t="s">
        <v>1328</v>
      </c>
      <c r="C36" s="74"/>
      <c r="D36" s="75">
        <v>28000</v>
      </c>
      <c r="E36" s="167">
        <v>0.8</v>
      </c>
      <c r="F36" s="167">
        <v>0.8</v>
      </c>
      <c r="J36" s="38"/>
      <c r="K36" s="38"/>
      <c r="L36" s="38"/>
      <c r="M36" s="38"/>
      <c r="N36" s="38"/>
      <c r="O36" s="38"/>
      <c r="P36" s="127"/>
      <c r="Q36" s="38"/>
      <c r="R36" s="38"/>
      <c r="S36" s="38"/>
      <c r="T36" s="38"/>
      <c r="U36" s="38"/>
      <c r="V36" s="38"/>
      <c r="W36" s="38"/>
      <c r="X36" s="38"/>
      <c r="Y36" s="38"/>
    </row>
    <row r="37" s="26" customFormat="1" customHeight="1" spans="1:25">
      <c r="A37" s="70"/>
      <c r="B37" s="73" t="s">
        <v>1329</v>
      </c>
      <c r="C37" s="74"/>
      <c r="D37" s="75">
        <v>15000</v>
      </c>
      <c r="E37" s="167">
        <v>0.9</v>
      </c>
      <c r="F37" s="167">
        <v>0.9</v>
      </c>
      <c r="J37" s="38"/>
      <c r="K37" s="38"/>
      <c r="L37" s="38"/>
      <c r="M37" s="38"/>
      <c r="N37" s="38"/>
      <c r="O37" s="38"/>
      <c r="P37" s="127"/>
      <c r="Q37" s="38"/>
      <c r="R37" s="38"/>
      <c r="S37" s="38"/>
      <c r="T37" s="38"/>
      <c r="U37" s="38"/>
      <c r="V37" s="38"/>
      <c r="W37" s="38"/>
      <c r="X37" s="38"/>
      <c r="Y37" s="38"/>
    </row>
    <row r="38" s="26" customFormat="1" customHeight="1" spans="1:25">
      <c r="A38" s="70"/>
      <c r="B38" s="73" t="s">
        <v>1330</v>
      </c>
      <c r="C38" s="74"/>
      <c r="D38" s="75">
        <v>3000</v>
      </c>
      <c r="E38" s="167">
        <v>0.9</v>
      </c>
      <c r="F38" s="167">
        <v>0.9</v>
      </c>
      <c r="J38" s="38"/>
      <c r="K38" s="38"/>
      <c r="L38" s="38"/>
      <c r="M38" s="38"/>
      <c r="N38" s="38"/>
      <c r="O38" s="38"/>
      <c r="P38" s="127"/>
      <c r="Q38" s="38"/>
      <c r="R38" s="38"/>
      <c r="S38" s="38"/>
      <c r="T38" s="38"/>
      <c r="U38" s="38"/>
      <c r="V38" s="38"/>
      <c r="W38" s="38"/>
      <c r="X38" s="38"/>
      <c r="Y38" s="38"/>
    </row>
    <row r="39" s="26" customFormat="1" customHeight="1" spans="1:25">
      <c r="A39" s="70"/>
      <c r="B39" s="73" t="s">
        <v>1331</v>
      </c>
      <c r="C39" s="74"/>
      <c r="D39" s="75">
        <v>2900</v>
      </c>
      <c r="E39" s="167">
        <v>1.1</v>
      </c>
      <c r="F39" s="167">
        <v>1.1</v>
      </c>
      <c r="J39" s="38"/>
      <c r="K39" s="38"/>
      <c r="L39" s="38"/>
      <c r="M39" s="38"/>
      <c r="N39" s="38"/>
      <c r="O39" s="38"/>
      <c r="P39" s="127"/>
      <c r="Q39" s="38"/>
      <c r="R39" s="38"/>
      <c r="S39" s="38"/>
      <c r="T39" s="38"/>
      <c r="U39" s="38"/>
      <c r="V39" s="38"/>
      <c r="W39" s="38"/>
      <c r="X39" s="38"/>
      <c r="Y39" s="38"/>
    </row>
    <row r="40" s="26" customFormat="1" customHeight="1" spans="1:25">
      <c r="A40" s="70"/>
      <c r="B40" s="126"/>
      <c r="C40" s="38"/>
      <c r="D40" s="161"/>
      <c r="E40" s="128"/>
      <c r="F40" s="128"/>
      <c r="J40" s="38"/>
      <c r="K40" s="38"/>
      <c r="L40" s="38"/>
      <c r="M40" s="38"/>
      <c r="N40" s="38"/>
      <c r="O40" s="38"/>
      <c r="P40" s="127"/>
      <c r="Q40" s="38"/>
      <c r="R40" s="38"/>
      <c r="S40" s="38"/>
      <c r="T40" s="38"/>
      <c r="U40" s="38"/>
      <c r="V40" s="38"/>
      <c r="W40" s="38"/>
      <c r="X40" s="38"/>
      <c r="Y40" s="38"/>
    </row>
    <row r="41" s="26" customFormat="1" customHeight="1" spans="1:25">
      <c r="A41" s="70"/>
      <c r="B41" s="71" t="s">
        <v>142</v>
      </c>
      <c r="C41" s="77"/>
      <c r="D41" s="78">
        <f>SUM(D34:D40)</f>
        <v>86900</v>
      </c>
      <c r="E41" s="78">
        <f>SUMPRODUCT(D34:D40,E34:E40)</f>
        <v>72790</v>
      </c>
      <c r="F41" s="78">
        <f>SUMPRODUCT(D34:D40,E34:E40,F34:F40)</f>
        <v>61409</v>
      </c>
      <c r="J41" s="38"/>
      <c r="K41" s="38"/>
      <c r="L41" s="38"/>
      <c r="M41" s="38"/>
      <c r="N41" s="38"/>
      <c r="O41" s="38"/>
      <c r="P41" s="127"/>
      <c r="Q41" s="38"/>
      <c r="R41" s="38"/>
      <c r="S41" s="38"/>
      <c r="T41" s="38"/>
      <c r="U41" s="38"/>
      <c r="V41" s="38"/>
      <c r="W41" s="38"/>
      <c r="X41" s="38"/>
      <c r="Y41" s="38"/>
    </row>
    <row r="42" s="26" customFormat="1" customHeight="1" spans="1:25">
      <c r="A42" s="70"/>
      <c r="B42" s="126"/>
      <c r="C42" s="38"/>
      <c r="D42" s="161"/>
      <c r="E42" s="128"/>
      <c r="F42" s="128"/>
      <c r="J42" s="38"/>
      <c r="K42" s="38"/>
      <c r="L42" s="38"/>
      <c r="M42" s="38"/>
      <c r="N42" s="38"/>
      <c r="O42" s="38"/>
      <c r="P42" s="127"/>
      <c r="Q42" s="38"/>
      <c r="R42" s="38"/>
      <c r="S42" s="38"/>
      <c r="T42" s="38"/>
      <c r="U42" s="38"/>
      <c r="V42" s="38"/>
      <c r="W42" s="38"/>
      <c r="X42" s="38"/>
      <c r="Y42" s="38"/>
    </row>
    <row r="43" s="26" customFormat="1" customHeight="1" spans="1:25">
      <c r="A43" s="70"/>
      <c r="B43" s="126"/>
      <c r="C43" s="38"/>
      <c r="D43" s="161"/>
      <c r="E43" s="128"/>
      <c r="F43" s="128"/>
      <c r="J43" s="38"/>
      <c r="K43" s="38"/>
      <c r="L43" s="38"/>
      <c r="M43" s="38"/>
      <c r="N43" s="38"/>
      <c r="O43" s="38"/>
      <c r="P43" s="127"/>
      <c r="Q43" s="38"/>
      <c r="R43" s="38"/>
      <c r="S43" s="38"/>
      <c r="T43" s="38"/>
      <c r="U43" s="38"/>
      <c r="V43" s="38"/>
      <c r="W43" s="38"/>
      <c r="X43" s="38"/>
      <c r="Y43" s="38"/>
    </row>
    <row r="44" s="26" customFormat="1" ht="15.75" spans="1:25">
      <c r="A44" s="65">
        <v>4</v>
      </c>
      <c r="B44" s="66" t="s">
        <v>172</v>
      </c>
      <c r="C44" s="79"/>
      <c r="D44" s="79"/>
      <c r="E44" s="79"/>
      <c r="F44" s="79"/>
      <c r="J44" s="38"/>
      <c r="K44" s="182"/>
      <c r="L44" s="38"/>
      <c r="M44" s="38"/>
      <c r="N44" s="38"/>
      <c r="O44" s="38"/>
      <c r="P44" s="127"/>
      <c r="Q44" s="38"/>
      <c r="R44" s="38"/>
      <c r="S44" s="38"/>
      <c r="T44" s="38"/>
      <c r="U44" s="38"/>
      <c r="V44" s="38"/>
      <c r="W44" s="38"/>
      <c r="X44" s="38"/>
      <c r="Y44" s="38"/>
    </row>
    <row r="45" s="26" customFormat="1" customHeight="1" spans="1:25">
      <c r="A45" s="70"/>
      <c r="F45" s="44" t="s">
        <v>163</v>
      </c>
      <c r="G45" s="44"/>
      <c r="L45" s="38"/>
      <c r="M45" s="38"/>
      <c r="N45" s="38"/>
      <c r="O45" s="38"/>
      <c r="P45" s="127"/>
      <c r="Q45" s="38"/>
      <c r="R45" s="38"/>
      <c r="S45" s="38"/>
      <c r="T45" s="38"/>
      <c r="U45" s="38"/>
      <c r="V45" s="38"/>
      <c r="W45" s="38"/>
      <c r="X45" s="38"/>
      <c r="Y45" s="38"/>
    </row>
    <row r="46" s="26" customFormat="1" customHeight="1" spans="1:25">
      <c r="A46" s="70"/>
      <c r="D46" s="50" t="s">
        <v>162</v>
      </c>
      <c r="E46" s="46" t="s">
        <v>173</v>
      </c>
      <c r="F46" s="50" t="s">
        <v>104</v>
      </c>
      <c r="G46" s="50" t="s">
        <v>105</v>
      </c>
      <c r="H46" s="41"/>
      <c r="I46" s="41"/>
      <c r="L46" s="127"/>
      <c r="O46" s="127"/>
      <c r="P46" s="127"/>
      <c r="Q46" s="38"/>
      <c r="R46" s="38"/>
      <c r="S46" s="38"/>
      <c r="T46" s="38"/>
      <c r="U46" s="38"/>
      <c r="V46" s="38"/>
      <c r="W46" s="38"/>
      <c r="X46" s="38"/>
      <c r="Y46" s="38"/>
    </row>
    <row r="47" s="26" customFormat="1" ht="11.25" spans="2:25">
      <c r="B47" s="73" t="s">
        <v>174</v>
      </c>
      <c r="C47" s="74"/>
      <c r="D47" s="75">
        <v>67500</v>
      </c>
      <c r="E47" s="55">
        <v>1500</v>
      </c>
      <c r="F47" s="56">
        <v>1.05</v>
      </c>
      <c r="G47" s="56">
        <v>1.05</v>
      </c>
      <c r="H47" s="59"/>
      <c r="I47" s="181"/>
      <c r="L47" s="127"/>
      <c r="O47" s="127"/>
      <c r="P47" s="127"/>
      <c r="Q47" s="38"/>
      <c r="R47" s="38"/>
      <c r="S47" s="38"/>
      <c r="T47" s="38"/>
      <c r="U47" s="38"/>
      <c r="V47" s="38"/>
      <c r="W47" s="38"/>
      <c r="X47" s="38"/>
      <c r="Y47" s="38"/>
    </row>
    <row r="48" s="26" customFormat="1" ht="11.25" spans="2:25">
      <c r="B48" s="38"/>
      <c r="C48" s="38"/>
      <c r="D48" s="38"/>
      <c r="E48" s="38"/>
      <c r="F48" s="38"/>
      <c r="G48" s="38"/>
      <c r="J48" s="38"/>
      <c r="K48" s="38"/>
      <c r="L48" s="127"/>
      <c r="O48" s="127"/>
      <c r="P48" s="127"/>
      <c r="Q48" s="38"/>
      <c r="R48" s="38"/>
      <c r="S48" s="38"/>
      <c r="T48" s="38"/>
      <c r="U48" s="38"/>
      <c r="V48" s="38"/>
      <c r="W48" s="38"/>
      <c r="X48" s="38"/>
      <c r="Y48" s="38"/>
    </row>
    <row r="49" s="26" customFormat="1" customHeight="1" spans="1:25">
      <c r="A49" s="70"/>
      <c r="B49" s="41"/>
      <c r="C49" s="80"/>
      <c r="D49" s="60" t="s">
        <v>103</v>
      </c>
      <c r="E49" s="60" t="s">
        <v>104</v>
      </c>
      <c r="F49" s="60" t="s">
        <v>105</v>
      </c>
      <c r="O49" s="127"/>
      <c r="P49" s="127"/>
      <c r="Q49" s="38"/>
      <c r="R49" s="38"/>
      <c r="S49" s="38"/>
      <c r="T49" s="38"/>
      <c r="U49" s="38"/>
      <c r="V49" s="38"/>
      <c r="W49" s="38"/>
      <c r="X49" s="38"/>
      <c r="Y49" s="38"/>
    </row>
    <row r="50" s="26" customFormat="1" spans="2:25">
      <c r="B50" s="71" t="s">
        <v>142</v>
      </c>
      <c r="C50" s="77"/>
      <c r="D50" s="62">
        <f>SUM(D47:D48)</f>
        <v>67500</v>
      </c>
      <c r="E50" s="62">
        <f>SUMPRODUCT(D47:D48,F47:F48)</f>
        <v>70875</v>
      </c>
      <c r="F50" s="62">
        <f>SUMPRODUCT(D47:D48,G47:G48,F47:F48)</f>
        <v>74418.75</v>
      </c>
      <c r="I50" s="41"/>
      <c r="J50" s="38"/>
      <c r="K50" s="38"/>
      <c r="L50" s="127"/>
      <c r="O50" s="127"/>
      <c r="P50" s="127"/>
      <c r="Q50" s="38"/>
      <c r="R50" s="38"/>
      <c r="S50" s="38"/>
      <c r="T50" s="38"/>
      <c r="U50" s="38"/>
      <c r="V50" s="38"/>
      <c r="W50" s="38"/>
      <c r="X50" s="38"/>
      <c r="Y50" s="38"/>
    </row>
    <row r="51" s="26" customFormat="1" ht="11.25" spans="9:25">
      <c r="I51" s="41"/>
      <c r="J51" s="38"/>
      <c r="K51" s="38"/>
      <c r="L51" s="127"/>
      <c r="O51" s="127"/>
      <c r="P51" s="127"/>
      <c r="Q51" s="38"/>
      <c r="R51" s="38"/>
      <c r="S51" s="38"/>
      <c r="T51" s="38"/>
      <c r="U51" s="38"/>
      <c r="V51" s="38"/>
      <c r="W51" s="38"/>
      <c r="X51" s="38"/>
      <c r="Y51" s="38"/>
    </row>
    <row r="52" s="26" customFormat="1" ht="11.25" spans="5:25">
      <c r="E52" s="41"/>
      <c r="J52" s="38"/>
      <c r="K52" s="38"/>
      <c r="L52" s="127"/>
      <c r="O52" s="127"/>
      <c r="P52" s="127"/>
      <c r="Q52" s="38"/>
      <c r="R52" s="38"/>
      <c r="S52" s="38"/>
      <c r="T52" s="38"/>
      <c r="U52" s="38"/>
      <c r="V52" s="38"/>
      <c r="W52" s="38"/>
      <c r="X52" s="38"/>
      <c r="Y52" s="38"/>
    </row>
    <row r="53" s="26" customFormat="1" ht="15.75" spans="1:25">
      <c r="A53" s="65">
        <v>5</v>
      </c>
      <c r="B53" s="66" t="s">
        <v>77</v>
      </c>
      <c r="C53" s="79"/>
      <c r="D53" s="79"/>
      <c r="E53" s="79"/>
      <c r="F53" s="79"/>
      <c r="J53" s="38"/>
      <c r="K53" s="183"/>
      <c r="L53" s="127"/>
      <c r="O53" s="127"/>
      <c r="P53" s="127"/>
      <c r="Q53" s="38"/>
      <c r="R53" s="38"/>
      <c r="S53" s="38"/>
      <c r="T53" s="38"/>
      <c r="U53" s="38"/>
      <c r="V53" s="38"/>
      <c r="W53" s="38"/>
      <c r="X53" s="38"/>
      <c r="Y53" s="38"/>
    </row>
    <row r="54" s="26" customFormat="1" ht="11.25" spans="2:25">
      <c r="B54" s="41"/>
      <c r="C54" s="80"/>
      <c r="D54" s="60" t="s">
        <v>103</v>
      </c>
      <c r="E54" s="60" t="s">
        <v>104</v>
      </c>
      <c r="F54" s="60" t="s">
        <v>105</v>
      </c>
      <c r="J54" s="127"/>
      <c r="K54" s="127"/>
      <c r="L54" s="127"/>
      <c r="O54" s="127"/>
      <c r="P54" s="127"/>
      <c r="Q54" s="38"/>
      <c r="R54" s="38"/>
      <c r="S54" s="38"/>
      <c r="T54" s="38"/>
      <c r="U54" s="38"/>
      <c r="V54" s="38"/>
      <c r="W54" s="38"/>
      <c r="X54" s="38"/>
      <c r="Y54" s="38"/>
    </row>
    <row r="55" s="26" customFormat="1" ht="11.25" spans="2:25">
      <c r="B55" s="168" t="s">
        <v>176</v>
      </c>
      <c r="C55" s="169"/>
      <c r="D55" s="50" t="s">
        <v>177</v>
      </c>
      <c r="E55" s="50" t="s">
        <v>178</v>
      </c>
      <c r="F55" s="50" t="s">
        <v>179</v>
      </c>
      <c r="G55" s="50" t="s">
        <v>180</v>
      </c>
      <c r="H55" s="50" t="s">
        <v>181</v>
      </c>
      <c r="I55" s="59"/>
      <c r="J55" s="127"/>
      <c r="K55" s="127"/>
      <c r="L55" s="127"/>
      <c r="O55" s="127"/>
      <c r="P55" s="127"/>
      <c r="Q55" s="38"/>
      <c r="R55" s="38"/>
      <c r="S55" s="38"/>
      <c r="T55" s="38"/>
      <c r="U55" s="38"/>
      <c r="V55" s="38"/>
      <c r="W55" s="38"/>
      <c r="X55" s="38"/>
      <c r="Y55" s="38"/>
    </row>
    <row r="56" s="26" customFormat="1" ht="11.25" spans="2:25">
      <c r="B56" s="170" t="s">
        <v>182</v>
      </c>
      <c r="C56" s="53"/>
      <c r="D56" s="171">
        <v>40000</v>
      </c>
      <c r="E56" s="172">
        <v>0.04</v>
      </c>
      <c r="F56" s="170">
        <v>36</v>
      </c>
      <c r="G56" s="170">
        <v>12</v>
      </c>
      <c r="H56" s="170" t="s">
        <v>183</v>
      </c>
      <c r="I56" s="59"/>
      <c r="J56" s="127"/>
      <c r="K56" s="127"/>
      <c r="L56" s="127"/>
      <c r="O56" s="127"/>
      <c r="P56" s="127"/>
      <c r="Q56" s="38"/>
      <c r="R56" s="38"/>
      <c r="S56" s="38"/>
      <c r="T56" s="38"/>
      <c r="U56" s="38"/>
      <c r="V56" s="38"/>
      <c r="W56" s="38"/>
      <c r="X56" s="38"/>
      <c r="Y56" s="38"/>
    </row>
    <row r="57" s="26" customFormat="1" ht="11.25" spans="2:25">
      <c r="B57" s="38"/>
      <c r="C57" s="38"/>
      <c r="D57" s="39"/>
      <c r="E57" s="173"/>
      <c r="F57" s="38"/>
      <c r="G57" s="38"/>
      <c r="H57" s="38"/>
      <c r="O57" s="127"/>
      <c r="P57" s="127"/>
      <c r="Q57" s="38"/>
      <c r="R57" s="38"/>
      <c r="S57" s="38"/>
      <c r="T57" s="38"/>
      <c r="U57" s="38"/>
      <c r="V57" s="38"/>
      <c r="W57" s="38"/>
      <c r="X57" s="38"/>
      <c r="Y57" s="38"/>
    </row>
    <row r="58" s="26" customFormat="1" spans="2:25">
      <c r="B58" s="71" t="s">
        <v>184</v>
      </c>
      <c r="C58" s="77"/>
      <c r="D58" s="174">
        <f>SUM(D56:D56)</f>
        <v>40000</v>
      </c>
      <c r="E58" s="175"/>
      <c r="F58" s="175"/>
      <c r="O58" s="127"/>
      <c r="P58" s="127"/>
      <c r="Q58" s="38"/>
      <c r="R58" s="38"/>
      <c r="S58" s="38"/>
      <c r="T58" s="38"/>
      <c r="U58" s="38"/>
      <c r="V58" s="38"/>
      <c r="W58" s="38"/>
      <c r="X58" s="38"/>
      <c r="Y58" s="38"/>
    </row>
    <row r="59" s="26" customFormat="1" spans="2:25">
      <c r="B59" s="71" t="s">
        <v>162</v>
      </c>
      <c r="C59" s="77"/>
      <c r="D59" s="174">
        <f>debtAnnualPaymentsFY1(DebtRangeFin)</f>
        <v>14156.2481792543</v>
      </c>
      <c r="E59" s="174">
        <f>debtAnnualPaymentsFY2(DebtRangeFin)</f>
        <v>14156.2481792543</v>
      </c>
      <c r="F59" s="174">
        <f>debtAnnualPaymentsFY3(DebtRangeFin)</f>
        <v>14156.2481792543</v>
      </c>
      <c r="O59" s="127"/>
      <c r="P59" s="127"/>
      <c r="Q59" s="38"/>
      <c r="R59" s="38"/>
      <c r="S59" s="38"/>
      <c r="T59" s="38"/>
      <c r="U59" s="38"/>
      <c r="V59" s="38"/>
      <c r="W59" s="38"/>
      <c r="X59" s="38"/>
      <c r="Y59" s="38"/>
    </row>
    <row r="60" s="26" customFormat="1" spans="2:25">
      <c r="B60" s="71" t="s">
        <v>313</v>
      </c>
      <c r="C60" s="77"/>
      <c r="D60" s="176">
        <v>150000</v>
      </c>
      <c r="E60" s="175"/>
      <c r="F60" s="175"/>
      <c r="O60" s="127"/>
      <c r="P60" s="127"/>
      <c r="Q60" s="38"/>
      <c r="R60" s="38"/>
      <c r="S60" s="38"/>
      <c r="T60" s="38"/>
      <c r="U60" s="38"/>
      <c r="V60" s="38"/>
      <c r="W60" s="38"/>
      <c r="X60" s="38"/>
      <c r="Y60" s="38"/>
    </row>
    <row r="61" s="127" customFormat="1" spans="2:25">
      <c r="B61" s="177"/>
      <c r="C61" s="178"/>
      <c r="D61" s="176"/>
      <c r="E61" s="179"/>
      <c r="F61" s="179"/>
      <c r="Q61" s="38"/>
      <c r="R61" s="38"/>
      <c r="S61" s="38"/>
      <c r="T61" s="38"/>
      <c r="U61" s="38"/>
      <c r="V61" s="38"/>
      <c r="W61" s="38"/>
      <c r="X61" s="38"/>
      <c r="Y61" s="38"/>
    </row>
    <row r="62" s="26" customFormat="1" ht="11.25" spans="15:25">
      <c r="O62" s="127"/>
      <c r="P62" s="127"/>
      <c r="Q62" s="38"/>
      <c r="R62" s="38"/>
      <c r="S62" s="38"/>
      <c r="T62" s="38"/>
      <c r="U62" s="38"/>
      <c r="V62" s="38"/>
      <c r="W62" s="38"/>
      <c r="X62" s="38"/>
      <c r="Y62" s="38"/>
    </row>
    <row r="63" s="26" customFormat="1" ht="15.75" spans="1:25">
      <c r="A63" s="65">
        <v>6</v>
      </c>
      <c r="B63" s="66" t="s">
        <v>192</v>
      </c>
      <c r="C63" s="79"/>
      <c r="D63" s="79"/>
      <c r="E63" s="79"/>
      <c r="F63" s="79"/>
      <c r="O63" s="127"/>
      <c r="P63" s="127"/>
      <c r="Q63" s="38"/>
      <c r="R63" s="38"/>
      <c r="S63" s="38"/>
      <c r="T63" s="38"/>
      <c r="U63" s="38"/>
      <c r="V63" s="38"/>
      <c r="W63" s="38"/>
      <c r="X63" s="38"/>
      <c r="Y63" s="38"/>
    </row>
    <row r="64" s="26" customFormat="1" ht="11.25" spans="2:25">
      <c r="B64" s="46" t="s">
        <v>193</v>
      </c>
      <c r="C64" s="180"/>
      <c r="D64" s="180" t="s">
        <v>188</v>
      </c>
      <c r="O64" s="127"/>
      <c r="P64" s="127"/>
      <c r="Q64" s="38"/>
      <c r="R64" s="38"/>
      <c r="S64" s="38"/>
      <c r="T64" s="38"/>
      <c r="U64" s="38"/>
      <c r="V64" s="38"/>
      <c r="W64" s="38"/>
      <c r="X64" s="38"/>
      <c r="Y64" s="38"/>
    </row>
    <row r="65" s="26" customFormat="1" ht="11.25" spans="2:25">
      <c r="B65" s="74" t="s">
        <v>194</v>
      </c>
      <c r="C65" s="74"/>
      <c r="D65" s="184">
        <v>0.25</v>
      </c>
      <c r="O65" s="127"/>
      <c r="P65" s="127"/>
      <c r="Q65" s="38"/>
      <c r="R65" s="38"/>
      <c r="S65" s="38"/>
      <c r="T65" s="38"/>
      <c r="U65" s="38"/>
      <c r="V65" s="38"/>
      <c r="W65" s="38"/>
      <c r="X65" s="38"/>
      <c r="Y65" s="38"/>
    </row>
    <row r="66" s="26" customFormat="1" customHeight="1" spans="1:25">
      <c r="A66" s="70"/>
      <c r="B66" s="41"/>
      <c r="C66" s="80"/>
      <c r="O66" s="127"/>
      <c r="P66" s="127"/>
      <c r="Q66" s="38"/>
      <c r="R66" s="38"/>
      <c r="S66" s="38"/>
      <c r="T66" s="38"/>
      <c r="U66" s="38"/>
      <c r="V66" s="38"/>
      <c r="W66" s="38"/>
      <c r="X66" s="38"/>
      <c r="Y66" s="38"/>
    </row>
    <row r="67" s="26" customFormat="1" customHeight="1" spans="1:25">
      <c r="A67" s="70"/>
      <c r="B67" s="41"/>
      <c r="C67" s="80"/>
      <c r="O67" s="127"/>
      <c r="P67" s="127"/>
      <c r="Q67" s="38"/>
      <c r="R67" s="38"/>
      <c r="S67" s="38"/>
      <c r="T67" s="38"/>
      <c r="U67" s="38"/>
      <c r="V67" s="38"/>
      <c r="W67" s="38"/>
      <c r="X67" s="38"/>
      <c r="Y67" s="38"/>
    </row>
    <row r="68" s="26" customFormat="1" ht="15.75" hidden="1" spans="1:25">
      <c r="A68" s="65">
        <v>7</v>
      </c>
      <c r="B68" s="156" t="s">
        <v>195</v>
      </c>
      <c r="C68" s="185"/>
      <c r="D68" s="79"/>
      <c r="E68" s="79"/>
      <c r="F68" s="79"/>
      <c r="O68" s="127"/>
      <c r="P68" s="127"/>
      <c r="Q68" s="38"/>
      <c r="R68" s="38"/>
      <c r="S68" s="38"/>
      <c r="T68" s="38"/>
      <c r="U68" s="38"/>
      <c r="V68" s="38"/>
      <c r="W68" s="38"/>
      <c r="X68" s="38"/>
      <c r="Y68" s="38"/>
    </row>
    <row r="69" s="26" customFormat="1" ht="11.25" hidden="1" spans="2:25">
      <c r="B69" s="46" t="s">
        <v>196</v>
      </c>
      <c r="C69" s="180"/>
      <c r="D69" s="186" t="s">
        <v>197</v>
      </c>
      <c r="O69" s="127"/>
      <c r="P69" s="127"/>
      <c r="Q69" s="38"/>
      <c r="R69" s="38"/>
      <c r="S69" s="38"/>
      <c r="T69" s="38"/>
      <c r="U69" s="38"/>
      <c r="V69" s="38"/>
      <c r="W69" s="38"/>
      <c r="X69" s="38"/>
      <c r="Y69" s="38"/>
    </row>
    <row r="70" s="26" customFormat="1" ht="11.25" hidden="1" spans="2:25">
      <c r="B70" s="74"/>
      <c r="C70" s="187"/>
      <c r="D70" s="170"/>
      <c r="O70" s="127"/>
      <c r="P70" s="127"/>
      <c r="Q70" s="38"/>
      <c r="R70" s="38"/>
      <c r="S70" s="38"/>
      <c r="T70" s="38"/>
      <c r="U70" s="38"/>
      <c r="V70" s="38"/>
      <c r="W70" s="38"/>
      <c r="X70" s="38"/>
      <c r="Y70" s="38"/>
    </row>
    <row r="71" s="26" customFormat="1" ht="11.25" hidden="1" spans="15:25">
      <c r="O71" s="127"/>
      <c r="P71" s="127"/>
      <c r="Q71" s="38"/>
      <c r="R71" s="38"/>
      <c r="S71" s="38"/>
      <c r="T71" s="38"/>
      <c r="U71" s="38"/>
      <c r="V71" s="38"/>
      <c r="W71" s="38"/>
      <c r="X71" s="38"/>
      <c r="Y71" s="38"/>
    </row>
    <row r="72" s="26" customFormat="1" hidden="1" spans="2:25">
      <c r="B72" s="71" t="s">
        <v>142</v>
      </c>
      <c r="D72" s="26" t="str">
        <f>IF(SUM(D70:D71)=0,"",SUM(D70:D71))</f>
        <v/>
      </c>
      <c r="O72" s="127"/>
      <c r="P72" s="127"/>
      <c r="Q72" s="38"/>
      <c r="R72" s="38"/>
      <c r="S72" s="38"/>
      <c r="T72" s="38"/>
      <c r="U72" s="38"/>
      <c r="V72" s="38"/>
      <c r="W72" s="38"/>
      <c r="X72" s="38"/>
      <c r="Y72" s="38"/>
    </row>
    <row r="73" s="26" customFormat="1" ht="15.75" spans="1:25">
      <c r="A73" s="65">
        <v>7</v>
      </c>
      <c r="B73" s="66" t="s">
        <v>187</v>
      </c>
      <c r="C73" s="188"/>
      <c r="D73" s="188"/>
      <c r="E73" s="188"/>
      <c r="F73" s="188"/>
      <c r="O73" s="127"/>
      <c r="P73" s="127"/>
      <c r="Q73" s="38"/>
      <c r="R73" s="38"/>
      <c r="S73" s="38"/>
      <c r="T73" s="38"/>
      <c r="U73" s="38"/>
      <c r="V73" s="38"/>
      <c r="W73" s="38"/>
      <c r="X73" s="38"/>
      <c r="Y73" s="38"/>
    </row>
    <row r="74" s="26" customFormat="1" ht="11.25" spans="15:25">
      <c r="O74" s="127"/>
      <c r="P74" s="127"/>
      <c r="Q74" s="38"/>
      <c r="R74" s="38"/>
      <c r="S74" s="38"/>
      <c r="T74" s="38"/>
      <c r="U74" s="38"/>
      <c r="V74" s="38"/>
      <c r="W74" s="38"/>
      <c r="X74" s="38"/>
      <c r="Y74" s="38"/>
    </row>
    <row r="75" s="154" customFormat="1" ht="15.75" spans="1:22">
      <c r="A75" s="189"/>
      <c r="B75" s="190"/>
      <c r="C75" s="191"/>
      <c r="D75" s="191"/>
      <c r="E75" s="38" t="s">
        <v>188</v>
      </c>
      <c r="F75" s="38"/>
      <c r="G75" s="38"/>
      <c r="H75" s="38"/>
      <c r="I75" s="125"/>
      <c r="J75" s="38"/>
      <c r="K75" s="38"/>
      <c r="L75" s="38"/>
      <c r="M75" s="126"/>
      <c r="N75" s="127"/>
      <c r="O75" s="127"/>
      <c r="P75" s="38"/>
      <c r="Q75" s="38"/>
      <c r="R75" s="124"/>
      <c r="S75" s="33"/>
      <c r="T75" s="33"/>
      <c r="U75" s="33"/>
      <c r="V75" s="141"/>
    </row>
    <row r="76" spans="2:22">
      <c r="B76" s="192" t="s">
        <v>668</v>
      </c>
      <c r="C76" s="193"/>
      <c r="D76" s="193"/>
      <c r="E76" s="194">
        <v>0.05</v>
      </c>
      <c r="F76" s="25"/>
      <c r="G76" s="25"/>
      <c r="H76" s="25"/>
      <c r="I76" s="25"/>
      <c r="J76" s="25"/>
      <c r="K76" s="25"/>
      <c r="L76" s="25"/>
      <c r="M76" s="25"/>
      <c r="N76" s="25"/>
      <c r="O76" s="25"/>
      <c r="P76" s="25"/>
      <c r="Q76" s="25"/>
      <c r="R76" s="25"/>
      <c r="S76" s="25"/>
      <c r="T76" s="25"/>
      <c r="U76" s="25"/>
      <c r="V76" s="25"/>
    </row>
    <row r="77" spans="2:22">
      <c r="B77" s="195" t="s">
        <v>669</v>
      </c>
      <c r="C77" s="196"/>
      <c r="D77" s="197"/>
      <c r="E77" s="198">
        <v>0.01</v>
      </c>
      <c r="F77" s="199"/>
      <c r="G77" s="200"/>
      <c r="H77" s="25"/>
      <c r="I77" s="25"/>
      <c r="J77" s="25"/>
      <c r="K77" s="25"/>
      <c r="L77" s="25"/>
      <c r="M77" s="25"/>
      <c r="N77" s="25"/>
      <c r="O77" s="25"/>
      <c r="P77" s="25"/>
      <c r="Q77" s="25"/>
      <c r="R77" s="25"/>
      <c r="S77" s="25"/>
      <c r="T77" s="25"/>
      <c r="U77" s="25"/>
      <c r="V77" s="25"/>
    </row>
    <row r="78" spans="2:22">
      <c r="B78" s="25"/>
      <c r="C78" s="25"/>
      <c r="D78" s="25"/>
      <c r="E78" s="25"/>
      <c r="F78" s="25"/>
      <c r="G78" s="25"/>
      <c r="H78" s="25"/>
      <c r="I78" s="25"/>
      <c r="J78" s="25"/>
      <c r="K78" s="25"/>
      <c r="L78" s="25"/>
      <c r="M78" s="25"/>
      <c r="N78" s="25"/>
      <c r="O78" s="25"/>
      <c r="P78" s="25"/>
      <c r="Q78" s="25"/>
      <c r="R78" s="25"/>
      <c r="S78" s="25"/>
      <c r="T78" s="25"/>
      <c r="U78" s="25"/>
      <c r="V78" s="25"/>
    </row>
    <row r="79" spans="2:22">
      <c r="B79" s="25"/>
      <c r="C79" s="25"/>
      <c r="D79" s="25"/>
      <c r="E79" s="25"/>
      <c r="F79" s="25"/>
      <c r="G79" s="25"/>
      <c r="H79" s="25"/>
      <c r="I79" s="25"/>
      <c r="J79" s="25"/>
      <c r="K79" s="25"/>
      <c r="L79" s="25"/>
      <c r="M79" s="25"/>
      <c r="N79" s="25"/>
      <c r="O79" s="25"/>
      <c r="P79" s="25"/>
      <c r="Q79" s="25"/>
      <c r="R79" s="25"/>
      <c r="S79" s="25"/>
      <c r="T79" s="25"/>
      <c r="U79" s="25"/>
      <c r="V79" s="25"/>
    </row>
    <row r="80" spans="2:22">
      <c r="B80" s="25"/>
      <c r="C80" s="25"/>
      <c r="D80" s="25"/>
      <c r="E80" s="25"/>
      <c r="F80" s="25"/>
      <c r="G80" s="25"/>
      <c r="H80" s="25"/>
      <c r="I80" s="25"/>
      <c r="J80" s="25"/>
      <c r="K80" s="25"/>
      <c r="L80" s="25"/>
      <c r="M80" s="25"/>
      <c r="N80" s="25"/>
      <c r="O80" s="25"/>
      <c r="P80" s="25"/>
      <c r="Q80" s="25"/>
      <c r="R80" s="25"/>
      <c r="S80" s="25"/>
      <c r="T80" s="25"/>
      <c r="U80" s="25"/>
      <c r="V80" s="25"/>
    </row>
    <row r="81" spans="1:21">
      <c r="A81" s="25"/>
      <c r="B81" s="25"/>
      <c r="C81" s="25"/>
      <c r="D81" s="25"/>
      <c r="E81" s="25"/>
      <c r="F81" s="25"/>
      <c r="G81" s="25"/>
      <c r="H81" s="25"/>
      <c r="I81" s="25"/>
      <c r="J81" s="25"/>
      <c r="K81" s="25"/>
      <c r="L81" s="25"/>
      <c r="M81" s="25"/>
      <c r="N81" s="25"/>
      <c r="O81" s="25"/>
      <c r="P81" s="25"/>
      <c r="Q81" s="25"/>
      <c r="R81" s="25"/>
      <c r="S81" s="25"/>
      <c r="T81" s="25"/>
      <c r="U81" s="25"/>
    </row>
    <row r="82" spans="1:21">
      <c r="A82" s="25"/>
      <c r="B82" s="25"/>
      <c r="C82" s="25"/>
      <c r="D82" s="25"/>
      <c r="E82" s="25"/>
      <c r="F82" s="25"/>
      <c r="G82" s="25"/>
      <c r="H82" s="25"/>
      <c r="I82" s="25"/>
      <c r="J82" s="25"/>
      <c r="K82" s="25"/>
      <c r="L82" s="25"/>
      <c r="M82" s="25"/>
      <c r="N82" s="25"/>
      <c r="O82" s="25"/>
      <c r="P82" s="25"/>
      <c r="Q82" s="25"/>
      <c r="R82" s="25"/>
      <c r="S82" s="25"/>
      <c r="T82" s="25"/>
      <c r="U82" s="25"/>
    </row>
    <row r="83" spans="1:21">
      <c r="A83" s="25"/>
      <c r="B83" s="25"/>
      <c r="C83" s="25"/>
      <c r="D83" s="25"/>
      <c r="E83" s="25"/>
      <c r="F83" s="25"/>
      <c r="G83" s="25"/>
      <c r="H83" s="25"/>
      <c r="I83" s="25"/>
      <c r="J83" s="25"/>
      <c r="K83" s="25"/>
      <c r="L83" s="25"/>
      <c r="M83" s="25"/>
      <c r="N83" s="25"/>
      <c r="O83" s="25"/>
      <c r="P83" s="25"/>
      <c r="Q83" s="25"/>
      <c r="R83" s="25"/>
      <c r="S83" s="25"/>
      <c r="T83" s="25"/>
      <c r="U83" s="25"/>
    </row>
    <row r="84" spans="1:21">
      <c r="A84" s="25"/>
      <c r="B84" s="25"/>
      <c r="C84" s="25"/>
      <c r="D84" s="25"/>
      <c r="E84" s="25"/>
      <c r="F84" s="25"/>
      <c r="G84" s="25"/>
      <c r="H84" s="25"/>
      <c r="I84" s="25"/>
      <c r="J84" s="25"/>
      <c r="K84" s="25"/>
      <c r="L84" s="25"/>
      <c r="M84" s="25"/>
      <c r="N84" s="25"/>
      <c r="O84" s="25"/>
      <c r="P84" s="25"/>
      <c r="Q84" s="25"/>
      <c r="R84" s="25"/>
      <c r="S84" s="25"/>
      <c r="T84" s="25"/>
      <c r="U84" s="25"/>
    </row>
    <row r="85" spans="1:21">
      <c r="A85" s="25"/>
      <c r="B85" s="25"/>
      <c r="C85" s="25"/>
      <c r="D85" s="25"/>
      <c r="E85" s="25"/>
      <c r="F85" s="25"/>
      <c r="G85" s="25"/>
      <c r="H85" s="25"/>
      <c r="I85" s="25"/>
      <c r="J85" s="25"/>
      <c r="K85" s="25"/>
      <c r="L85" s="25"/>
      <c r="M85" s="25"/>
      <c r="N85" s="25"/>
      <c r="O85" s="25"/>
      <c r="P85" s="25"/>
      <c r="Q85" s="25"/>
      <c r="R85" s="25"/>
      <c r="S85" s="25"/>
      <c r="T85" s="25"/>
      <c r="U85" s="25"/>
    </row>
    <row r="86" spans="1:21">
      <c r="A86" s="25"/>
      <c r="B86" s="25"/>
      <c r="C86" s="25"/>
      <c r="D86" s="25"/>
      <c r="E86" s="25"/>
      <c r="F86" s="25"/>
      <c r="G86" s="25"/>
      <c r="H86" s="25"/>
      <c r="I86" s="25"/>
      <c r="J86" s="25"/>
      <c r="K86" s="25"/>
      <c r="L86" s="25"/>
      <c r="M86" s="25"/>
      <c r="N86" s="25"/>
      <c r="O86" s="25"/>
      <c r="P86" s="25"/>
      <c r="Q86" s="25"/>
      <c r="R86" s="25"/>
      <c r="S86" s="25"/>
      <c r="T86" s="25"/>
      <c r="U86" s="25"/>
    </row>
    <row r="87" spans="1:21">
      <c r="A87" s="25"/>
      <c r="B87" s="25"/>
      <c r="C87" s="25"/>
      <c r="D87" s="25"/>
      <c r="E87" s="25"/>
      <c r="F87" s="25"/>
      <c r="G87" s="25"/>
      <c r="H87" s="25"/>
      <c r="I87" s="25"/>
      <c r="J87" s="25"/>
      <c r="K87" s="25"/>
      <c r="L87" s="25"/>
      <c r="M87" s="25"/>
      <c r="N87" s="25"/>
      <c r="O87" s="25"/>
      <c r="P87" s="25"/>
      <c r="Q87" s="25"/>
      <c r="R87" s="25"/>
      <c r="S87" s="25"/>
      <c r="T87" s="25"/>
      <c r="U87" s="25"/>
    </row>
    <row r="88" spans="1:21">
      <c r="A88" s="25"/>
      <c r="B88" s="25"/>
      <c r="C88" s="25"/>
      <c r="D88" s="25"/>
      <c r="E88" s="25"/>
      <c r="F88" s="25"/>
      <c r="G88" s="25"/>
      <c r="H88" s="25"/>
      <c r="I88" s="25"/>
      <c r="J88" s="25"/>
      <c r="K88" s="25"/>
      <c r="L88" s="25"/>
      <c r="M88" s="25"/>
      <c r="N88" s="25"/>
      <c r="O88" s="25"/>
      <c r="P88" s="25"/>
      <c r="Q88" s="25"/>
      <c r="R88" s="25"/>
      <c r="S88" s="25"/>
      <c r="T88" s="25"/>
      <c r="U88" s="25"/>
    </row>
    <row r="89" spans="1:21">
      <c r="A89" s="25"/>
      <c r="B89" s="25"/>
      <c r="C89" s="25"/>
      <c r="D89" s="25"/>
      <c r="E89" s="25"/>
      <c r="F89" s="25"/>
      <c r="G89" s="25"/>
      <c r="H89" s="25"/>
      <c r="I89" s="25"/>
      <c r="J89" s="25"/>
      <c r="K89" s="25"/>
      <c r="L89" s="25"/>
      <c r="M89" s="25"/>
      <c r="N89" s="25"/>
      <c r="O89" s="25"/>
      <c r="P89" s="25"/>
      <c r="Q89" s="25"/>
      <c r="R89" s="25"/>
      <c r="S89" s="25"/>
      <c r="T89" s="25"/>
      <c r="U89" s="25"/>
    </row>
    <row r="90" spans="1:21">
      <c r="A90" s="25"/>
      <c r="B90" s="25"/>
      <c r="C90" s="25"/>
      <c r="D90" s="25"/>
      <c r="E90" s="25"/>
      <c r="F90" s="25"/>
      <c r="G90" s="25"/>
      <c r="H90" s="25"/>
      <c r="I90" s="25"/>
      <c r="J90" s="25"/>
      <c r="K90" s="25"/>
      <c r="L90" s="25"/>
      <c r="M90" s="25"/>
      <c r="N90" s="25"/>
      <c r="O90" s="25"/>
      <c r="P90" s="25"/>
      <c r="Q90" s="25"/>
      <c r="R90" s="25"/>
      <c r="S90" s="25"/>
      <c r="T90" s="25"/>
      <c r="U90" s="25"/>
    </row>
    <row r="91" spans="1:21">
      <c r="A91" s="25"/>
      <c r="B91" s="25"/>
      <c r="C91" s="25"/>
      <c r="D91" s="25"/>
      <c r="E91" s="25"/>
      <c r="F91" s="25"/>
      <c r="G91" s="25"/>
      <c r="H91" s="25"/>
      <c r="I91" s="25"/>
      <c r="J91" s="25"/>
      <c r="K91" s="25"/>
      <c r="L91" s="25"/>
      <c r="M91" s="25"/>
      <c r="N91" s="25"/>
      <c r="O91" s="25"/>
      <c r="P91" s="25"/>
      <c r="Q91" s="25"/>
      <c r="R91" s="25"/>
      <c r="S91" s="25"/>
      <c r="T91" s="25"/>
      <c r="U91" s="25"/>
    </row>
    <row r="92" spans="1:21">
      <c r="A92" s="25"/>
      <c r="B92" s="25"/>
      <c r="C92" s="25"/>
      <c r="D92" s="25"/>
      <c r="E92" s="25"/>
      <c r="F92" s="25"/>
      <c r="G92" s="25"/>
      <c r="H92" s="25"/>
      <c r="I92" s="25"/>
      <c r="J92" s="25"/>
      <c r="K92" s="25"/>
      <c r="L92" s="25"/>
      <c r="M92" s="25"/>
      <c r="N92" s="25"/>
      <c r="O92" s="25"/>
      <c r="P92" s="25"/>
      <c r="Q92" s="25"/>
      <c r="R92" s="25"/>
      <c r="S92" s="25"/>
      <c r="T92" s="25"/>
      <c r="U92" s="25"/>
    </row>
    <row r="93" spans="1:21">
      <c r="A93" s="25"/>
      <c r="B93" s="25"/>
      <c r="C93" s="25"/>
      <c r="D93" s="25"/>
      <c r="E93" s="25"/>
      <c r="F93" s="25"/>
      <c r="G93" s="25"/>
      <c r="H93" s="25"/>
      <c r="I93" s="25"/>
      <c r="J93" s="25"/>
      <c r="K93" s="25"/>
      <c r="L93" s="25"/>
      <c r="M93" s="25"/>
      <c r="N93" s="25"/>
      <c r="O93" s="25"/>
      <c r="P93" s="25"/>
      <c r="Q93" s="25"/>
      <c r="R93" s="25"/>
      <c r="S93" s="25"/>
      <c r="T93" s="25"/>
      <c r="U93" s="25"/>
    </row>
    <row r="94" spans="1:21">
      <c r="A94" s="25"/>
      <c r="B94" s="25"/>
      <c r="C94" s="25"/>
      <c r="D94" s="25"/>
      <c r="E94" s="25"/>
      <c r="F94" s="25"/>
      <c r="G94" s="25"/>
      <c r="H94" s="25"/>
      <c r="I94" s="25"/>
      <c r="J94" s="25"/>
      <c r="K94" s="25"/>
      <c r="L94" s="25"/>
      <c r="M94" s="25"/>
      <c r="N94" s="25"/>
      <c r="O94" s="25"/>
      <c r="P94" s="25"/>
      <c r="Q94" s="25"/>
      <c r="R94" s="25"/>
      <c r="S94" s="25"/>
      <c r="T94" s="25"/>
      <c r="U94" s="25"/>
    </row>
    <row r="95" spans="1:21">
      <c r="A95" s="25"/>
      <c r="B95" s="25"/>
      <c r="C95" s="25"/>
      <c r="D95" s="25"/>
      <c r="E95" s="25"/>
      <c r="F95" s="25"/>
      <c r="G95" s="25"/>
      <c r="H95" s="25"/>
      <c r="I95" s="25"/>
      <c r="J95" s="25"/>
      <c r="K95" s="25"/>
      <c r="L95" s="25"/>
      <c r="M95" s="25"/>
      <c r="N95" s="25"/>
      <c r="O95" s="25"/>
      <c r="P95" s="25"/>
      <c r="Q95" s="25"/>
      <c r="R95" s="25"/>
      <c r="S95" s="25"/>
      <c r="T95" s="25"/>
      <c r="U95" s="25"/>
    </row>
    <row r="96" spans="1:21">
      <c r="A96" s="25"/>
      <c r="B96" s="25"/>
      <c r="C96" s="25"/>
      <c r="D96" s="25"/>
      <c r="E96" s="25"/>
      <c r="F96" s="25"/>
      <c r="G96" s="25"/>
      <c r="H96" s="25"/>
      <c r="I96" s="25"/>
      <c r="J96" s="25"/>
      <c r="K96" s="25"/>
      <c r="L96" s="25"/>
      <c r="M96" s="25"/>
      <c r="N96" s="25"/>
      <c r="O96" s="25"/>
      <c r="P96" s="25"/>
      <c r="Q96" s="25"/>
      <c r="R96" s="25"/>
      <c r="S96" s="25"/>
      <c r="T96" s="25"/>
      <c r="U96" s="25"/>
    </row>
    <row r="97" spans="1:21">
      <c r="A97" s="25"/>
      <c r="B97" s="25"/>
      <c r="C97" s="25"/>
      <c r="D97" s="25"/>
      <c r="E97" s="25"/>
      <c r="F97" s="25"/>
      <c r="G97" s="25"/>
      <c r="H97" s="25"/>
      <c r="I97" s="25"/>
      <c r="J97" s="25"/>
      <c r="K97" s="25"/>
      <c r="L97" s="25"/>
      <c r="M97" s="25"/>
      <c r="N97" s="25"/>
      <c r="O97" s="25"/>
      <c r="P97" s="25"/>
      <c r="Q97" s="25"/>
      <c r="R97" s="25"/>
      <c r="S97" s="25"/>
      <c r="T97" s="25"/>
      <c r="U97" s="25"/>
    </row>
    <row r="98" spans="1:21">
      <c r="A98" s="25"/>
      <c r="B98" s="25"/>
      <c r="C98" s="25"/>
      <c r="D98" s="25"/>
      <c r="E98" s="25"/>
      <c r="F98" s="25"/>
      <c r="G98" s="25"/>
      <c r="H98" s="25"/>
      <c r="I98" s="25"/>
      <c r="J98" s="25"/>
      <c r="K98" s="25"/>
      <c r="L98" s="25"/>
      <c r="M98" s="25"/>
      <c r="N98" s="25"/>
      <c r="O98" s="25"/>
      <c r="P98" s="25"/>
      <c r="Q98" s="25"/>
      <c r="R98" s="25"/>
      <c r="S98" s="25"/>
      <c r="T98" s="25"/>
      <c r="U98" s="25"/>
    </row>
    <row r="99" spans="1:21">
      <c r="A99" s="25"/>
      <c r="B99" s="25"/>
      <c r="C99" s="25"/>
      <c r="D99" s="25"/>
      <c r="E99" s="25"/>
      <c r="F99" s="25"/>
      <c r="G99" s="25"/>
      <c r="H99" s="25"/>
      <c r="I99" s="25"/>
      <c r="J99" s="25"/>
      <c r="K99" s="25"/>
      <c r="L99" s="25"/>
      <c r="M99" s="25"/>
      <c r="N99" s="25"/>
      <c r="O99" s="25"/>
      <c r="P99" s="25"/>
      <c r="Q99" s="25"/>
      <c r="R99" s="25"/>
      <c r="S99" s="25"/>
      <c r="T99" s="25"/>
      <c r="U99" s="25"/>
    </row>
    <row r="100" spans="1:21">
      <c r="A100" s="25"/>
      <c r="B100" s="25"/>
      <c r="C100" s="25"/>
      <c r="D100" s="25"/>
      <c r="E100" s="25"/>
      <c r="F100" s="25"/>
      <c r="G100" s="25"/>
      <c r="H100" s="25"/>
      <c r="I100" s="25"/>
      <c r="J100" s="25"/>
      <c r="K100" s="25"/>
      <c r="L100" s="25"/>
      <c r="M100" s="25"/>
      <c r="N100" s="25"/>
      <c r="O100" s="25"/>
      <c r="P100" s="25"/>
      <c r="Q100" s="25"/>
      <c r="R100" s="25"/>
      <c r="S100" s="25"/>
      <c r="T100" s="25"/>
      <c r="U100" s="25"/>
    </row>
    <row r="101" spans="1:21">
      <c r="A101" s="25"/>
      <c r="B101" s="25"/>
      <c r="C101" s="25"/>
      <c r="D101" s="25"/>
      <c r="E101" s="25"/>
      <c r="F101" s="25"/>
      <c r="G101" s="25"/>
      <c r="H101" s="25"/>
      <c r="I101" s="25"/>
      <c r="J101" s="25"/>
      <c r="K101" s="25"/>
      <c r="L101" s="25"/>
      <c r="M101" s="25"/>
      <c r="N101" s="25"/>
      <c r="O101" s="25"/>
      <c r="P101" s="25"/>
      <c r="Q101" s="25"/>
      <c r="R101" s="25"/>
      <c r="S101" s="25"/>
      <c r="T101" s="25"/>
      <c r="U101" s="25"/>
    </row>
    <row r="102" spans="1:21">
      <c r="A102" s="25"/>
      <c r="B102" s="25"/>
      <c r="C102" s="25"/>
      <c r="D102" s="25"/>
      <c r="E102" s="25"/>
      <c r="F102" s="25"/>
      <c r="G102" s="25"/>
      <c r="H102" s="25"/>
      <c r="I102" s="25"/>
      <c r="J102" s="25"/>
      <c r="K102" s="25"/>
      <c r="L102" s="25"/>
      <c r="M102" s="25"/>
      <c r="N102" s="25"/>
      <c r="O102" s="25"/>
      <c r="P102" s="25"/>
      <c r="Q102" s="25"/>
      <c r="R102" s="25"/>
      <c r="S102" s="25"/>
      <c r="T102" s="25"/>
      <c r="U102" s="25"/>
    </row>
    <row r="103" spans="1:21">
      <c r="A103" s="25"/>
      <c r="B103" s="25"/>
      <c r="C103" s="25"/>
      <c r="D103" s="25"/>
      <c r="E103" s="25"/>
      <c r="F103" s="25"/>
      <c r="G103" s="25"/>
      <c r="H103" s="25"/>
      <c r="I103" s="25"/>
      <c r="J103" s="25"/>
      <c r="K103" s="25"/>
      <c r="L103" s="25"/>
      <c r="M103" s="25"/>
      <c r="N103" s="25"/>
      <c r="O103" s="25"/>
      <c r="P103" s="25"/>
      <c r="Q103" s="25"/>
      <c r="R103" s="25"/>
      <c r="S103" s="25"/>
      <c r="T103" s="25"/>
      <c r="U103" s="25"/>
    </row>
    <row r="104" spans="1:21">
      <c r="A104" s="25"/>
      <c r="B104" s="25"/>
      <c r="C104" s="25"/>
      <c r="D104" s="25"/>
      <c r="E104" s="25"/>
      <c r="F104" s="25"/>
      <c r="G104" s="25"/>
      <c r="H104" s="25"/>
      <c r="I104" s="25"/>
      <c r="J104" s="25"/>
      <c r="K104" s="25"/>
      <c r="L104" s="25"/>
      <c r="M104" s="25"/>
      <c r="N104" s="25"/>
      <c r="O104" s="25"/>
      <c r="P104" s="25"/>
      <c r="Q104" s="25"/>
      <c r="R104" s="25"/>
      <c r="S104" s="25"/>
      <c r="T104" s="25"/>
      <c r="U104" s="25"/>
    </row>
    <row r="105" spans="1:21">
      <c r="A105" s="25"/>
      <c r="B105" s="25"/>
      <c r="C105" s="25"/>
      <c r="D105" s="25"/>
      <c r="E105" s="25"/>
      <c r="F105" s="25"/>
      <c r="G105" s="25"/>
      <c r="H105" s="25"/>
      <c r="I105" s="25"/>
      <c r="J105" s="25"/>
      <c r="K105" s="25"/>
      <c r="L105" s="25"/>
      <c r="M105" s="25"/>
      <c r="N105" s="25"/>
      <c r="O105" s="25"/>
      <c r="P105" s="25"/>
      <c r="Q105" s="25"/>
      <c r="R105" s="25"/>
      <c r="S105" s="25"/>
      <c r="T105" s="25"/>
      <c r="U105" s="25"/>
    </row>
    <row r="106" spans="1:21">
      <c r="A106" s="25"/>
      <c r="B106" s="25"/>
      <c r="C106" s="25"/>
      <c r="D106" s="25"/>
      <c r="E106" s="25"/>
      <c r="F106" s="25"/>
      <c r="G106" s="25"/>
      <c r="H106" s="25"/>
      <c r="I106" s="25"/>
      <c r="J106" s="25"/>
      <c r="K106" s="25"/>
      <c r="L106" s="25"/>
      <c r="M106" s="25"/>
      <c r="N106" s="25"/>
      <c r="O106" s="25"/>
      <c r="P106" s="25"/>
      <c r="Q106" s="25"/>
      <c r="R106" s="25"/>
      <c r="S106" s="25"/>
      <c r="T106" s="25"/>
      <c r="U106" s="25"/>
    </row>
    <row r="107" spans="1:21">
      <c r="A107" s="25"/>
      <c r="B107" s="25"/>
      <c r="C107" s="25"/>
      <c r="D107" s="25"/>
      <c r="E107" s="25"/>
      <c r="F107" s="25"/>
      <c r="G107" s="25"/>
      <c r="H107" s="25"/>
      <c r="I107" s="25"/>
      <c r="J107" s="25"/>
      <c r="K107" s="25"/>
      <c r="L107" s="25"/>
      <c r="M107" s="25"/>
      <c r="N107" s="25"/>
      <c r="O107" s="25"/>
      <c r="P107" s="25"/>
      <c r="Q107" s="25"/>
      <c r="R107" s="25"/>
      <c r="S107" s="25"/>
      <c r="T107" s="25"/>
      <c r="U107" s="25"/>
    </row>
    <row r="108" spans="1:21">
      <c r="A108" s="25"/>
      <c r="B108" s="25"/>
      <c r="C108" s="25"/>
      <c r="D108" s="25"/>
      <c r="E108" s="25"/>
      <c r="F108" s="25"/>
      <c r="G108" s="25"/>
      <c r="H108" s="25"/>
      <c r="I108" s="25"/>
      <c r="J108" s="25"/>
      <c r="K108" s="25"/>
      <c r="L108" s="25"/>
      <c r="M108" s="25"/>
      <c r="N108" s="25"/>
      <c r="O108" s="25"/>
      <c r="P108" s="25"/>
      <c r="Q108" s="25"/>
      <c r="R108" s="25"/>
      <c r="S108" s="25"/>
      <c r="T108" s="25"/>
      <c r="U108" s="25"/>
    </row>
    <row r="109" spans="1:21">
      <c r="A109" s="25"/>
      <c r="B109" s="25"/>
      <c r="C109" s="25"/>
      <c r="D109" s="25"/>
      <c r="E109" s="25"/>
      <c r="F109" s="25"/>
      <c r="G109" s="25"/>
      <c r="H109" s="25"/>
      <c r="I109" s="25"/>
      <c r="J109" s="25"/>
      <c r="K109" s="25"/>
      <c r="L109" s="25"/>
      <c r="M109" s="25"/>
      <c r="N109" s="25"/>
      <c r="O109" s="25"/>
      <c r="P109" s="25"/>
      <c r="Q109" s="25"/>
      <c r="R109" s="25"/>
      <c r="S109" s="25"/>
      <c r="T109" s="25"/>
      <c r="U109" s="25"/>
    </row>
    <row r="110" spans="1:21">
      <c r="A110" s="25"/>
      <c r="B110" s="25"/>
      <c r="C110" s="25"/>
      <c r="D110" s="25"/>
      <c r="E110" s="25"/>
      <c r="F110" s="25"/>
      <c r="G110" s="25"/>
      <c r="H110" s="25"/>
      <c r="I110" s="25"/>
      <c r="J110" s="25"/>
      <c r="K110" s="25"/>
      <c r="L110" s="25"/>
      <c r="M110" s="25"/>
      <c r="N110" s="25"/>
      <c r="O110" s="25"/>
      <c r="P110" s="25"/>
      <c r="Q110" s="25"/>
      <c r="R110" s="25"/>
      <c r="S110" s="25"/>
      <c r="T110" s="25"/>
      <c r="U110" s="25"/>
    </row>
    <row r="111" spans="1:21">
      <c r="A111" s="25"/>
      <c r="B111" s="25"/>
      <c r="C111" s="25"/>
      <c r="D111" s="25"/>
      <c r="E111" s="25"/>
      <c r="F111" s="25"/>
      <c r="G111" s="25"/>
      <c r="H111" s="25"/>
      <c r="I111" s="25"/>
      <c r="J111" s="25"/>
      <c r="K111" s="25"/>
      <c r="L111" s="25"/>
      <c r="M111" s="25"/>
      <c r="N111" s="25"/>
      <c r="O111" s="25"/>
      <c r="P111" s="25"/>
      <c r="Q111" s="25"/>
      <c r="R111" s="25"/>
      <c r="S111" s="25"/>
      <c r="T111" s="25"/>
      <c r="U111" s="25"/>
    </row>
    <row r="112" spans="1:21">
      <c r="A112" s="25"/>
      <c r="B112" s="25"/>
      <c r="C112" s="25"/>
      <c r="D112" s="25"/>
      <c r="E112" s="25"/>
      <c r="F112" s="25"/>
      <c r="G112" s="25"/>
      <c r="H112" s="25"/>
      <c r="I112" s="25"/>
      <c r="J112" s="25"/>
      <c r="K112" s="25"/>
      <c r="L112" s="25"/>
      <c r="M112" s="25"/>
      <c r="N112" s="25"/>
      <c r="O112" s="25"/>
      <c r="P112" s="25"/>
      <c r="Q112" s="25"/>
      <c r="R112" s="25"/>
      <c r="S112" s="25"/>
      <c r="T112" s="25"/>
      <c r="U112" s="25"/>
    </row>
    <row r="113" spans="1:21">
      <c r="A113" s="25"/>
      <c r="B113" s="25"/>
      <c r="C113" s="25"/>
      <c r="D113" s="25"/>
      <c r="E113" s="25"/>
      <c r="F113" s="25"/>
      <c r="G113" s="25"/>
      <c r="H113" s="25"/>
      <c r="I113" s="25"/>
      <c r="J113" s="25"/>
      <c r="K113" s="25"/>
      <c r="L113" s="25"/>
      <c r="M113" s="25"/>
      <c r="N113" s="25"/>
      <c r="O113" s="25"/>
      <c r="P113" s="25"/>
      <c r="Q113" s="25"/>
      <c r="R113" s="25"/>
      <c r="S113" s="25"/>
      <c r="T113" s="25"/>
      <c r="U113" s="25"/>
    </row>
    <row r="114" spans="1:21">
      <c r="A114" s="25"/>
      <c r="B114" s="25"/>
      <c r="C114" s="25"/>
      <c r="D114" s="25"/>
      <c r="E114" s="25"/>
      <c r="F114" s="25"/>
      <c r="G114" s="25"/>
      <c r="H114" s="25"/>
      <c r="I114" s="25"/>
      <c r="J114" s="25"/>
      <c r="K114" s="25"/>
      <c r="L114" s="25"/>
      <c r="M114" s="25"/>
      <c r="N114" s="25"/>
      <c r="O114" s="25"/>
      <c r="P114" s="25"/>
      <c r="Q114" s="25"/>
      <c r="R114" s="25"/>
      <c r="S114" s="25"/>
      <c r="T114" s="25"/>
      <c r="U114" s="25"/>
    </row>
    <row r="115" spans="1:21">
      <c r="A115" s="25"/>
      <c r="B115" s="25"/>
      <c r="C115" s="25"/>
      <c r="D115" s="25"/>
      <c r="E115" s="25"/>
      <c r="F115" s="25"/>
      <c r="G115" s="25"/>
      <c r="H115" s="25"/>
      <c r="I115" s="25"/>
      <c r="J115" s="25"/>
      <c r="K115" s="25"/>
      <c r="L115" s="25"/>
      <c r="M115" s="25"/>
      <c r="N115" s="25"/>
      <c r="O115" s="25"/>
      <c r="P115" s="25"/>
      <c r="Q115" s="25"/>
      <c r="R115" s="25"/>
      <c r="S115" s="25"/>
      <c r="T115" s="25"/>
      <c r="U115" s="25"/>
    </row>
    <row r="116" spans="1:21">
      <c r="A116" s="25"/>
      <c r="B116" s="25"/>
      <c r="C116" s="25"/>
      <c r="D116" s="25"/>
      <c r="E116" s="25"/>
      <c r="F116" s="25"/>
      <c r="G116" s="25"/>
      <c r="H116" s="25"/>
      <c r="I116" s="25"/>
      <c r="J116" s="25"/>
      <c r="K116" s="25"/>
      <c r="L116" s="25"/>
      <c r="M116" s="25"/>
      <c r="N116" s="25"/>
      <c r="O116" s="25"/>
      <c r="P116" s="25"/>
      <c r="Q116" s="25"/>
      <c r="R116" s="25"/>
      <c r="S116" s="25"/>
      <c r="T116" s="25"/>
      <c r="U116" s="25"/>
    </row>
    <row r="117" spans="1:20">
      <c r="A117" s="25"/>
      <c r="B117" s="25"/>
      <c r="C117" s="25"/>
      <c r="D117" s="25"/>
      <c r="E117" s="25"/>
      <c r="F117" s="25"/>
      <c r="G117" s="25"/>
      <c r="H117" s="25"/>
      <c r="I117" s="25"/>
      <c r="J117" s="25"/>
      <c r="K117" s="25"/>
      <c r="L117" s="25"/>
      <c r="M117" s="25"/>
      <c r="N117" s="25"/>
      <c r="O117" s="25"/>
      <c r="P117" s="25"/>
      <c r="Q117" s="25"/>
      <c r="R117" s="25"/>
      <c r="S117" s="25"/>
      <c r="T117" s="25"/>
    </row>
    <row r="118" spans="1:20">
      <c r="A118" s="25"/>
      <c r="B118" s="25"/>
      <c r="C118" s="25"/>
      <c r="D118" s="25"/>
      <c r="E118" s="25"/>
      <c r="F118" s="25"/>
      <c r="G118" s="25"/>
      <c r="H118" s="25"/>
      <c r="I118" s="25"/>
      <c r="J118" s="25"/>
      <c r="K118" s="25"/>
      <c r="L118" s="25"/>
      <c r="M118" s="25"/>
      <c r="N118" s="25"/>
      <c r="O118" s="25"/>
      <c r="P118" s="25"/>
      <c r="Q118" s="25"/>
      <c r="R118" s="25"/>
      <c r="S118" s="25"/>
      <c r="T118" s="25"/>
    </row>
    <row r="119" spans="1:20">
      <c r="A119" s="25"/>
      <c r="B119" s="25"/>
      <c r="C119" s="25"/>
      <c r="D119" s="25"/>
      <c r="E119" s="25"/>
      <c r="F119" s="25"/>
      <c r="G119" s="25"/>
      <c r="H119" s="25"/>
      <c r="I119" s="25"/>
      <c r="J119" s="25"/>
      <c r="K119" s="25"/>
      <c r="L119" s="25"/>
      <c r="M119" s="25"/>
      <c r="N119" s="25"/>
      <c r="O119" s="25"/>
      <c r="P119" s="25"/>
      <c r="Q119" s="25"/>
      <c r="R119" s="25"/>
      <c r="S119" s="25"/>
      <c r="T119" s="25"/>
    </row>
    <row r="120" spans="1:20">
      <c r="A120" s="25"/>
      <c r="B120" s="25"/>
      <c r="C120" s="25"/>
      <c r="D120" s="25"/>
      <c r="E120" s="25"/>
      <c r="F120" s="25"/>
      <c r="G120" s="25"/>
      <c r="H120" s="25"/>
      <c r="I120" s="25"/>
      <c r="J120" s="25"/>
      <c r="K120" s="25"/>
      <c r="L120" s="25"/>
      <c r="M120" s="25"/>
      <c r="N120" s="25"/>
      <c r="O120" s="25"/>
      <c r="P120" s="25"/>
      <c r="Q120" s="25"/>
      <c r="R120" s="25"/>
      <c r="S120" s="25"/>
      <c r="T120" s="25"/>
    </row>
    <row r="121" spans="1:20">
      <c r="A121" s="25"/>
      <c r="B121" s="25"/>
      <c r="C121" s="25"/>
      <c r="D121" s="25"/>
      <c r="E121" s="25"/>
      <c r="F121" s="25"/>
      <c r="G121" s="25"/>
      <c r="H121" s="25"/>
      <c r="I121" s="25"/>
      <c r="J121" s="25"/>
      <c r="K121" s="25"/>
      <c r="L121" s="25"/>
      <c r="M121" s="25"/>
      <c r="N121" s="25"/>
      <c r="O121" s="25"/>
      <c r="P121" s="25"/>
      <c r="Q121" s="25"/>
      <c r="R121" s="25"/>
      <c r="S121" s="25"/>
      <c r="T121" s="25"/>
    </row>
    <row r="122" spans="1:20">
      <c r="A122" s="25"/>
      <c r="B122" s="25"/>
      <c r="C122" s="25"/>
      <c r="D122" s="25"/>
      <c r="E122" s="25"/>
      <c r="F122" s="25"/>
      <c r="G122" s="25"/>
      <c r="H122" s="25"/>
      <c r="I122" s="25"/>
      <c r="J122" s="25"/>
      <c r="K122" s="25"/>
      <c r="L122" s="25"/>
      <c r="M122" s="25"/>
      <c r="N122" s="25"/>
      <c r="O122" s="25"/>
      <c r="P122" s="25"/>
      <c r="Q122" s="25"/>
      <c r="R122" s="25"/>
      <c r="S122" s="25"/>
      <c r="T122" s="25"/>
    </row>
    <row r="123" spans="1:20">
      <c r="A123" s="25"/>
      <c r="B123" s="25"/>
      <c r="C123" s="25"/>
      <c r="D123" s="25"/>
      <c r="E123" s="25"/>
      <c r="F123" s="25"/>
      <c r="G123" s="25"/>
      <c r="H123" s="25"/>
      <c r="I123" s="25"/>
      <c r="J123" s="25"/>
      <c r="K123" s="25"/>
      <c r="L123" s="25"/>
      <c r="M123" s="25"/>
      <c r="N123" s="25"/>
      <c r="O123" s="25"/>
      <c r="P123" s="25"/>
      <c r="Q123" s="25"/>
      <c r="R123" s="25"/>
      <c r="S123" s="25"/>
      <c r="T123" s="25"/>
    </row>
    <row r="124" spans="1:20">
      <c r="A124" s="25"/>
      <c r="B124" s="25"/>
      <c r="C124" s="25"/>
      <c r="D124" s="25"/>
      <c r="E124" s="25"/>
      <c r="F124" s="25"/>
      <c r="G124" s="25"/>
      <c r="H124" s="25"/>
      <c r="I124" s="25"/>
      <c r="J124" s="25"/>
      <c r="K124" s="25"/>
      <c r="L124" s="25"/>
      <c r="M124" s="25"/>
      <c r="N124" s="25"/>
      <c r="O124" s="25"/>
      <c r="P124" s="25"/>
      <c r="Q124" s="25"/>
      <c r="R124" s="25"/>
      <c r="S124" s="25"/>
      <c r="T124" s="25"/>
    </row>
    <row r="125" spans="1:20">
      <c r="A125" s="25"/>
      <c r="B125" s="25"/>
      <c r="C125" s="25"/>
      <c r="D125" s="25"/>
      <c r="E125" s="25"/>
      <c r="F125" s="25"/>
      <c r="G125" s="25"/>
      <c r="H125" s="25"/>
      <c r="I125" s="25"/>
      <c r="J125" s="25"/>
      <c r="K125" s="25"/>
      <c r="L125" s="25"/>
      <c r="M125" s="25"/>
      <c r="N125" s="25"/>
      <c r="O125" s="25"/>
      <c r="P125" s="25"/>
      <c r="Q125" s="25"/>
      <c r="R125" s="25"/>
      <c r="S125" s="25"/>
      <c r="T125" s="25"/>
    </row>
    <row r="126" spans="1:20">
      <c r="A126" s="25"/>
      <c r="B126" s="25"/>
      <c r="C126" s="25"/>
      <c r="D126" s="25"/>
      <c r="E126" s="25"/>
      <c r="F126" s="25"/>
      <c r="G126" s="25"/>
      <c r="H126" s="25"/>
      <c r="I126" s="25"/>
      <c r="J126" s="25"/>
      <c r="K126" s="25"/>
      <c r="L126" s="25"/>
      <c r="M126" s="25"/>
      <c r="N126" s="25"/>
      <c r="O126" s="25"/>
      <c r="P126" s="25"/>
      <c r="Q126" s="25"/>
      <c r="R126" s="25"/>
      <c r="S126" s="25"/>
      <c r="T126" s="25"/>
    </row>
    <row r="127" spans="1:20">
      <c r="A127" s="25"/>
      <c r="B127" s="25"/>
      <c r="C127" s="25"/>
      <c r="D127" s="25"/>
      <c r="E127" s="25"/>
      <c r="F127" s="25"/>
      <c r="G127" s="25"/>
      <c r="H127" s="25"/>
      <c r="I127" s="25"/>
      <c r="J127" s="25"/>
      <c r="K127" s="25"/>
      <c r="L127" s="25"/>
      <c r="M127" s="25"/>
      <c r="N127" s="25"/>
      <c r="O127" s="25"/>
      <c r="P127" s="25"/>
      <c r="Q127" s="25"/>
      <c r="R127" s="25"/>
      <c r="S127" s="25"/>
      <c r="T127" s="25"/>
    </row>
    <row r="128" spans="1:20">
      <c r="A128" s="25"/>
      <c r="B128" s="25"/>
      <c r="C128" s="25"/>
      <c r="D128" s="25"/>
      <c r="E128" s="25"/>
      <c r="F128" s="25"/>
      <c r="G128" s="25"/>
      <c r="H128" s="25"/>
      <c r="I128" s="25"/>
      <c r="J128" s="25"/>
      <c r="K128" s="25"/>
      <c r="L128" s="25"/>
      <c r="M128" s="25"/>
      <c r="N128" s="25"/>
      <c r="O128" s="25"/>
      <c r="P128" s="25"/>
      <c r="Q128" s="25"/>
      <c r="R128" s="25"/>
      <c r="S128" s="25"/>
      <c r="T128" s="25"/>
    </row>
    <row r="129" spans="1:20">
      <c r="A129" s="25"/>
      <c r="B129" s="25"/>
      <c r="C129" s="25"/>
      <c r="D129" s="25"/>
      <c r="E129" s="25"/>
      <c r="F129" s="25"/>
      <c r="G129" s="25"/>
      <c r="H129" s="25"/>
      <c r="I129" s="25"/>
      <c r="J129" s="25"/>
      <c r="K129" s="25"/>
      <c r="L129" s="25"/>
      <c r="M129" s="25"/>
      <c r="N129" s="25"/>
      <c r="O129" s="25"/>
      <c r="P129" s="25"/>
      <c r="Q129" s="25"/>
      <c r="R129" s="25"/>
      <c r="S129" s="25"/>
      <c r="T129" s="25"/>
    </row>
    <row r="130" spans="1:20">
      <c r="A130" s="25"/>
      <c r="B130" s="25"/>
      <c r="C130" s="25"/>
      <c r="D130" s="25"/>
      <c r="E130" s="25"/>
      <c r="F130" s="25"/>
      <c r="G130" s="25"/>
      <c r="H130" s="25"/>
      <c r="I130" s="25"/>
      <c r="J130" s="25"/>
      <c r="K130" s="25"/>
      <c r="L130" s="25"/>
      <c r="M130" s="25"/>
      <c r="N130" s="25"/>
      <c r="O130" s="25"/>
      <c r="P130" s="25"/>
      <c r="Q130" s="25"/>
      <c r="R130" s="25"/>
      <c r="S130" s="25"/>
      <c r="T130" s="25"/>
    </row>
    <row r="131" spans="1:20">
      <c r="A131" s="25"/>
      <c r="B131" s="25"/>
      <c r="C131" s="25"/>
      <c r="D131" s="25"/>
      <c r="E131" s="25"/>
      <c r="F131" s="25"/>
      <c r="G131" s="25"/>
      <c r="H131" s="25"/>
      <c r="I131" s="25"/>
      <c r="J131" s="25"/>
      <c r="K131" s="25"/>
      <c r="L131" s="25"/>
      <c r="M131" s="25"/>
      <c r="N131" s="25"/>
      <c r="O131" s="25"/>
      <c r="P131" s="25"/>
      <c r="Q131" s="25"/>
      <c r="R131" s="25"/>
      <c r="S131" s="25"/>
      <c r="T131" s="25"/>
    </row>
    <row r="132" spans="1:20">
      <c r="A132" s="25"/>
      <c r="B132" s="25"/>
      <c r="C132" s="25"/>
      <c r="D132" s="25"/>
      <c r="E132" s="25"/>
      <c r="F132" s="25"/>
      <c r="G132" s="25"/>
      <c r="H132" s="25"/>
      <c r="I132" s="25"/>
      <c r="J132" s="25"/>
      <c r="K132" s="25"/>
      <c r="L132" s="25"/>
      <c r="M132" s="25"/>
      <c r="N132" s="25"/>
      <c r="O132" s="25"/>
      <c r="P132" s="25"/>
      <c r="Q132" s="25"/>
      <c r="R132" s="25"/>
      <c r="S132" s="25"/>
      <c r="T132" s="25"/>
    </row>
    <row r="133" spans="1:20">
      <c r="A133" s="25"/>
      <c r="B133" s="25"/>
      <c r="C133" s="25"/>
      <c r="D133" s="25"/>
      <c r="E133" s="25"/>
      <c r="F133" s="25"/>
      <c r="G133" s="25"/>
      <c r="H133" s="25"/>
      <c r="I133" s="25"/>
      <c r="J133" s="25"/>
      <c r="K133" s="25"/>
      <c r="L133" s="25"/>
      <c r="M133" s="25"/>
      <c r="N133" s="25"/>
      <c r="O133" s="25"/>
      <c r="P133" s="25"/>
      <c r="Q133" s="25"/>
      <c r="R133" s="25"/>
      <c r="S133" s="25"/>
      <c r="T133" s="25"/>
    </row>
    <row r="134" spans="1:20">
      <c r="A134" s="25"/>
      <c r="B134" s="25"/>
      <c r="C134" s="25"/>
      <c r="D134" s="25"/>
      <c r="E134" s="25"/>
      <c r="F134" s="25"/>
      <c r="G134" s="25"/>
      <c r="H134" s="25"/>
      <c r="I134" s="25"/>
      <c r="J134" s="25"/>
      <c r="K134" s="25"/>
      <c r="L134" s="25"/>
      <c r="M134" s="25"/>
      <c r="N134" s="25"/>
      <c r="O134" s="25"/>
      <c r="P134" s="25"/>
      <c r="Q134" s="25"/>
      <c r="R134" s="25"/>
      <c r="S134" s="25"/>
      <c r="T134" s="25"/>
    </row>
    <row r="135" spans="1:20">
      <c r="A135" s="25"/>
      <c r="B135" s="25"/>
      <c r="C135" s="25"/>
      <c r="D135" s="25"/>
      <c r="E135" s="25"/>
      <c r="F135" s="25"/>
      <c r="G135" s="25"/>
      <c r="H135" s="25"/>
      <c r="I135" s="25"/>
      <c r="J135" s="25"/>
      <c r="K135" s="25"/>
      <c r="L135" s="25"/>
      <c r="M135" s="25"/>
      <c r="N135" s="25"/>
      <c r="O135" s="25"/>
      <c r="P135" s="25"/>
      <c r="Q135" s="25"/>
      <c r="R135" s="25"/>
      <c r="S135" s="25"/>
      <c r="T135" s="25"/>
    </row>
    <row r="136" spans="1:20">
      <c r="A136" s="25"/>
      <c r="B136" s="25"/>
      <c r="C136" s="25"/>
      <c r="D136" s="25"/>
      <c r="E136" s="25"/>
      <c r="F136" s="25"/>
      <c r="G136" s="25"/>
      <c r="H136" s="25"/>
      <c r="I136" s="25"/>
      <c r="J136" s="25"/>
      <c r="K136" s="25"/>
      <c r="L136" s="25"/>
      <c r="M136" s="25"/>
      <c r="N136" s="25"/>
      <c r="O136" s="25"/>
      <c r="P136" s="25"/>
      <c r="Q136" s="25"/>
      <c r="R136" s="25"/>
      <c r="S136" s="25"/>
      <c r="T136" s="25"/>
    </row>
    <row r="137" spans="1:20">
      <c r="A137" s="25"/>
      <c r="B137" s="25"/>
      <c r="C137" s="25"/>
      <c r="D137" s="25"/>
      <c r="E137" s="25"/>
      <c r="F137" s="25"/>
      <c r="G137" s="25"/>
      <c r="H137" s="25"/>
      <c r="I137" s="25"/>
      <c r="J137" s="25"/>
      <c r="K137" s="25"/>
      <c r="L137" s="25"/>
      <c r="M137" s="25"/>
      <c r="N137" s="25"/>
      <c r="O137" s="25"/>
      <c r="P137" s="25"/>
      <c r="Q137" s="25"/>
      <c r="R137" s="25"/>
      <c r="S137" s="25"/>
      <c r="T137" s="25"/>
    </row>
    <row r="138" spans="1:20">
      <c r="A138" s="25"/>
      <c r="B138" s="25"/>
      <c r="C138" s="25"/>
      <c r="D138" s="25"/>
      <c r="E138" s="25"/>
      <c r="F138" s="25"/>
      <c r="G138" s="25"/>
      <c r="H138" s="25"/>
      <c r="I138" s="25"/>
      <c r="J138" s="25"/>
      <c r="K138" s="25"/>
      <c r="L138" s="25"/>
      <c r="M138" s="25"/>
      <c r="N138" s="25"/>
      <c r="O138" s="25"/>
      <c r="P138" s="25"/>
      <c r="Q138" s="25"/>
      <c r="R138" s="25"/>
      <c r="S138" s="25"/>
      <c r="T138" s="25"/>
    </row>
    <row r="139" spans="1:20">
      <c r="A139" s="25"/>
      <c r="B139" s="25"/>
      <c r="C139" s="25"/>
      <c r="D139" s="25"/>
      <c r="E139" s="25"/>
      <c r="F139" s="25"/>
      <c r="G139" s="25"/>
      <c r="H139" s="25"/>
      <c r="I139" s="25"/>
      <c r="J139" s="25"/>
      <c r="K139" s="25"/>
      <c r="L139" s="25"/>
      <c r="M139" s="25"/>
      <c r="N139" s="25"/>
      <c r="O139" s="25"/>
      <c r="P139" s="25"/>
      <c r="Q139" s="25"/>
      <c r="R139" s="25"/>
      <c r="S139" s="25"/>
      <c r="T139" s="25"/>
    </row>
    <row r="140" spans="1:20">
      <c r="A140" s="25"/>
      <c r="B140" s="25"/>
      <c r="C140" s="25"/>
      <c r="D140" s="25"/>
      <c r="E140" s="25"/>
      <c r="F140" s="25"/>
      <c r="G140" s="25"/>
      <c r="H140" s="25"/>
      <c r="I140" s="25"/>
      <c r="J140" s="25"/>
      <c r="K140" s="25"/>
      <c r="L140" s="25"/>
      <c r="M140" s="25"/>
      <c r="N140" s="25"/>
      <c r="O140" s="25"/>
      <c r="P140" s="25"/>
      <c r="Q140" s="25"/>
      <c r="R140" s="25"/>
      <c r="S140" s="25"/>
      <c r="T140" s="25"/>
    </row>
    <row r="141" spans="1:20">
      <c r="A141" s="25"/>
      <c r="B141" s="25"/>
      <c r="C141" s="25"/>
      <c r="D141" s="25"/>
      <c r="E141" s="25"/>
      <c r="F141" s="25"/>
      <c r="G141" s="25"/>
      <c r="H141" s="25"/>
      <c r="I141" s="25"/>
      <c r="J141" s="25"/>
      <c r="K141" s="25"/>
      <c r="L141" s="25"/>
      <c r="M141" s="25"/>
      <c r="N141" s="25"/>
      <c r="O141" s="25"/>
      <c r="P141" s="25"/>
      <c r="Q141" s="25"/>
      <c r="R141" s="25"/>
      <c r="S141" s="25"/>
      <c r="T141" s="25"/>
    </row>
    <row r="142" spans="1:20">
      <c r="A142" s="25"/>
      <c r="B142" s="25"/>
      <c r="C142" s="25"/>
      <c r="D142" s="25"/>
      <c r="E142" s="25"/>
      <c r="F142" s="25"/>
      <c r="G142" s="25"/>
      <c r="H142" s="25"/>
      <c r="I142" s="25"/>
      <c r="J142" s="25"/>
      <c r="K142" s="25"/>
      <c r="L142" s="25"/>
      <c r="M142" s="25"/>
      <c r="N142" s="25"/>
      <c r="O142" s="25"/>
      <c r="P142" s="25"/>
      <c r="Q142" s="25"/>
      <c r="R142" s="25"/>
      <c r="S142" s="25"/>
      <c r="T142" s="25"/>
    </row>
    <row r="143" spans="1:20">
      <c r="A143" s="25"/>
      <c r="B143" s="25"/>
      <c r="C143" s="25"/>
      <c r="D143" s="25"/>
      <c r="E143" s="25"/>
      <c r="F143" s="25"/>
      <c r="G143" s="25"/>
      <c r="H143" s="25"/>
      <c r="I143" s="25"/>
      <c r="J143" s="25"/>
      <c r="K143" s="25"/>
      <c r="L143" s="25"/>
      <c r="M143" s="25"/>
      <c r="N143" s="25"/>
      <c r="O143" s="25"/>
      <c r="P143" s="25"/>
      <c r="Q143" s="25"/>
      <c r="R143" s="25"/>
      <c r="S143" s="25"/>
      <c r="T143" s="25"/>
    </row>
    <row r="144" spans="1:20">
      <c r="A144" s="25"/>
      <c r="B144" s="25"/>
      <c r="C144" s="25"/>
      <c r="D144" s="25"/>
      <c r="E144" s="25"/>
      <c r="F144" s="25"/>
      <c r="G144" s="25"/>
      <c r="H144" s="25"/>
      <c r="I144" s="25"/>
      <c r="J144" s="25"/>
      <c r="K144" s="25"/>
      <c r="L144" s="25"/>
      <c r="M144" s="25"/>
      <c r="N144" s="25"/>
      <c r="O144" s="25"/>
      <c r="P144" s="25"/>
      <c r="Q144" s="25"/>
      <c r="R144" s="25"/>
      <c r="S144" s="25"/>
      <c r="T144" s="25"/>
    </row>
    <row r="145" spans="1:20">
      <c r="A145" s="25"/>
      <c r="B145" s="25"/>
      <c r="C145" s="25"/>
      <c r="D145" s="25"/>
      <c r="E145" s="25"/>
      <c r="F145" s="25"/>
      <c r="G145" s="25"/>
      <c r="H145" s="25"/>
      <c r="I145" s="25"/>
      <c r="J145" s="25"/>
      <c r="K145" s="25"/>
      <c r="L145" s="25"/>
      <c r="M145" s="25"/>
      <c r="N145" s="25"/>
      <c r="O145" s="25"/>
      <c r="P145" s="25"/>
      <c r="Q145" s="25"/>
      <c r="R145" s="25"/>
      <c r="S145" s="25"/>
      <c r="T145" s="25"/>
    </row>
    <row r="146" spans="1:20">
      <c r="A146" s="25"/>
      <c r="B146" s="25"/>
      <c r="C146" s="25"/>
      <c r="D146" s="25"/>
      <c r="E146" s="25"/>
      <c r="F146" s="25"/>
      <c r="G146" s="25"/>
      <c r="H146" s="25"/>
      <c r="I146" s="25"/>
      <c r="J146" s="25"/>
      <c r="K146" s="25"/>
      <c r="L146" s="25"/>
      <c r="M146" s="25"/>
      <c r="N146" s="25"/>
      <c r="O146" s="25"/>
      <c r="P146" s="25"/>
      <c r="Q146" s="25"/>
      <c r="R146" s="25"/>
      <c r="S146" s="25"/>
      <c r="T146" s="25"/>
    </row>
    <row r="147" spans="1:20">
      <c r="A147" s="25"/>
      <c r="B147" s="25"/>
      <c r="C147" s="25"/>
      <c r="D147" s="25"/>
      <c r="E147" s="25"/>
      <c r="F147" s="25"/>
      <c r="G147" s="25"/>
      <c r="H147" s="25"/>
      <c r="I147" s="25"/>
      <c r="J147" s="25"/>
      <c r="K147" s="25"/>
      <c r="L147" s="25"/>
      <c r="M147" s="25"/>
      <c r="N147" s="25"/>
      <c r="O147" s="25"/>
      <c r="P147" s="25"/>
      <c r="Q147" s="25"/>
      <c r="R147" s="25"/>
      <c r="S147" s="25"/>
      <c r="T147" s="25"/>
    </row>
    <row r="148" spans="1:20">
      <c r="A148" s="25"/>
      <c r="B148" s="25"/>
      <c r="C148" s="25"/>
      <c r="D148" s="25"/>
      <c r="E148" s="25"/>
      <c r="F148" s="25"/>
      <c r="G148" s="25"/>
      <c r="H148" s="25"/>
      <c r="I148" s="25"/>
      <c r="J148" s="25"/>
      <c r="K148" s="25"/>
      <c r="L148" s="25"/>
      <c r="M148" s="25"/>
      <c r="N148" s="25"/>
      <c r="O148" s="25"/>
      <c r="P148" s="25"/>
      <c r="Q148" s="25"/>
      <c r="R148" s="25"/>
      <c r="S148" s="25"/>
      <c r="T148" s="25"/>
    </row>
    <row r="149" spans="1:20">
      <c r="A149" s="25"/>
      <c r="B149" s="25"/>
      <c r="C149" s="25"/>
      <c r="D149" s="25"/>
      <c r="E149" s="25"/>
      <c r="F149" s="25"/>
      <c r="G149" s="25"/>
      <c r="H149" s="25"/>
      <c r="I149" s="25"/>
      <c r="J149" s="25"/>
      <c r="K149" s="25"/>
      <c r="L149" s="25"/>
      <c r="M149" s="25"/>
      <c r="N149" s="25"/>
      <c r="O149" s="25"/>
      <c r="P149" s="25"/>
      <c r="Q149" s="25"/>
      <c r="R149" s="25"/>
      <c r="S149" s="25"/>
      <c r="T149" s="25"/>
    </row>
    <row r="150" spans="1:20">
      <c r="A150" s="25"/>
      <c r="B150" s="25"/>
      <c r="C150" s="25"/>
      <c r="D150" s="25"/>
      <c r="E150" s="25"/>
      <c r="F150" s="25"/>
      <c r="G150" s="25"/>
      <c r="H150" s="25"/>
      <c r="I150" s="25"/>
      <c r="J150" s="25"/>
      <c r="K150" s="25"/>
      <c r="L150" s="25"/>
      <c r="M150" s="25"/>
      <c r="N150" s="25"/>
      <c r="O150" s="25"/>
      <c r="P150" s="25"/>
      <c r="Q150" s="25"/>
      <c r="R150" s="25"/>
      <c r="S150" s="25"/>
      <c r="T150" s="25"/>
    </row>
    <row r="151" spans="1:20">
      <c r="A151" s="25"/>
      <c r="B151" s="25"/>
      <c r="C151" s="25"/>
      <c r="D151" s="25"/>
      <c r="E151" s="25"/>
      <c r="F151" s="25"/>
      <c r="G151" s="25"/>
      <c r="H151" s="25"/>
      <c r="I151" s="25"/>
      <c r="J151" s="25"/>
      <c r="K151" s="25"/>
      <c r="L151" s="25"/>
      <c r="M151" s="25"/>
      <c r="N151" s="25"/>
      <c r="O151" s="25"/>
      <c r="P151" s="25"/>
      <c r="Q151" s="25"/>
      <c r="R151" s="25"/>
      <c r="S151" s="25"/>
      <c r="T151" s="25"/>
    </row>
    <row r="152" spans="1:20">
      <c r="A152" s="25"/>
      <c r="B152" s="25"/>
      <c r="C152" s="25"/>
      <c r="D152" s="25"/>
      <c r="E152" s="25"/>
      <c r="F152" s="25"/>
      <c r="G152" s="25"/>
      <c r="H152" s="25"/>
      <c r="I152" s="25"/>
      <c r="J152" s="25"/>
      <c r="K152" s="25"/>
      <c r="L152" s="25"/>
      <c r="M152" s="25"/>
      <c r="N152" s="25"/>
      <c r="O152" s="25"/>
      <c r="P152" s="25"/>
      <c r="Q152" s="25"/>
      <c r="R152" s="25"/>
      <c r="S152" s="25"/>
      <c r="T152" s="25"/>
    </row>
    <row r="153" spans="1:20">
      <c r="A153" s="25"/>
      <c r="B153" s="25"/>
      <c r="C153" s="25"/>
      <c r="D153" s="25"/>
      <c r="E153" s="25"/>
      <c r="F153" s="25"/>
      <c r="G153" s="25"/>
      <c r="H153" s="25"/>
      <c r="I153" s="25"/>
      <c r="J153" s="25"/>
      <c r="K153" s="25"/>
      <c r="L153" s="25"/>
      <c r="M153" s="25"/>
      <c r="N153" s="25"/>
      <c r="O153" s="25"/>
      <c r="P153" s="25"/>
      <c r="Q153" s="25"/>
      <c r="R153" s="25"/>
      <c r="S153" s="25"/>
      <c r="T153" s="25"/>
    </row>
    <row r="154" spans="1:20">
      <c r="A154" s="25"/>
      <c r="B154" s="25"/>
      <c r="C154" s="25"/>
      <c r="D154" s="25"/>
      <c r="E154" s="25"/>
      <c r="F154" s="25"/>
      <c r="G154" s="25"/>
      <c r="H154" s="25"/>
      <c r="I154" s="25"/>
      <c r="J154" s="25"/>
      <c r="K154" s="25"/>
      <c r="L154" s="25"/>
      <c r="M154" s="25"/>
      <c r="N154" s="25"/>
      <c r="O154" s="25"/>
      <c r="P154" s="25"/>
      <c r="Q154" s="25"/>
      <c r="R154" s="25"/>
      <c r="S154" s="25"/>
      <c r="T154" s="25"/>
    </row>
    <row r="155" spans="1:20">
      <c r="A155" s="25"/>
      <c r="B155" s="25"/>
      <c r="C155" s="25"/>
      <c r="D155" s="25"/>
      <c r="E155" s="25"/>
      <c r="F155" s="25"/>
      <c r="G155" s="25"/>
      <c r="H155" s="25"/>
      <c r="I155" s="25"/>
      <c r="J155" s="25"/>
      <c r="K155" s="25"/>
      <c r="L155" s="25"/>
      <c r="M155" s="25"/>
      <c r="N155" s="25"/>
      <c r="O155" s="25"/>
      <c r="P155" s="25"/>
      <c r="Q155" s="25"/>
      <c r="R155" s="25"/>
      <c r="S155" s="25"/>
      <c r="T155" s="25"/>
    </row>
    <row r="156" spans="1:20">
      <c r="A156" s="25"/>
      <c r="B156" s="25"/>
      <c r="C156" s="25"/>
      <c r="D156" s="25"/>
      <c r="E156" s="25"/>
      <c r="F156" s="25"/>
      <c r="G156" s="25"/>
      <c r="H156" s="25"/>
      <c r="I156" s="25"/>
      <c r="J156" s="25"/>
      <c r="K156" s="25"/>
      <c r="L156" s="25"/>
      <c r="M156" s="25"/>
      <c r="N156" s="25"/>
      <c r="O156" s="25"/>
      <c r="P156" s="25"/>
      <c r="Q156" s="25"/>
      <c r="R156" s="25"/>
      <c r="S156" s="25"/>
      <c r="T156" s="25"/>
    </row>
    <row r="157" spans="1:20">
      <c r="A157" s="25"/>
      <c r="B157" s="25"/>
      <c r="C157" s="25"/>
      <c r="D157" s="25"/>
      <c r="E157" s="25"/>
      <c r="F157" s="25"/>
      <c r="G157" s="25"/>
      <c r="H157" s="25"/>
      <c r="I157" s="25"/>
      <c r="J157" s="25"/>
      <c r="K157" s="25"/>
      <c r="L157" s="25"/>
      <c r="M157" s="25"/>
      <c r="N157" s="25"/>
      <c r="O157" s="25"/>
      <c r="P157" s="25"/>
      <c r="Q157" s="25"/>
      <c r="R157" s="25"/>
      <c r="S157" s="25"/>
      <c r="T157" s="25"/>
    </row>
    <row r="158" spans="1:20">
      <c r="A158" s="25"/>
      <c r="B158" s="25"/>
      <c r="C158" s="25"/>
      <c r="D158" s="25"/>
      <c r="E158" s="25"/>
      <c r="F158" s="25"/>
      <c r="G158" s="25"/>
      <c r="H158" s="25"/>
      <c r="I158" s="25"/>
      <c r="J158" s="25"/>
      <c r="K158" s="25"/>
      <c r="L158" s="25"/>
      <c r="M158" s="25"/>
      <c r="N158" s="25"/>
      <c r="O158" s="25"/>
      <c r="P158" s="25"/>
      <c r="Q158" s="25"/>
      <c r="R158" s="25"/>
      <c r="S158" s="25"/>
      <c r="T158" s="25"/>
    </row>
    <row r="159" spans="1:20">
      <c r="A159" s="25"/>
      <c r="B159" s="25"/>
      <c r="C159" s="25"/>
      <c r="D159" s="25"/>
      <c r="E159" s="25"/>
      <c r="F159" s="25"/>
      <c r="G159" s="25"/>
      <c r="H159" s="25"/>
      <c r="I159" s="25"/>
      <c r="J159" s="25"/>
      <c r="K159" s="25"/>
      <c r="L159" s="25"/>
      <c r="M159" s="25"/>
      <c r="N159" s="25"/>
      <c r="O159" s="25"/>
      <c r="P159" s="25"/>
      <c r="Q159" s="25"/>
      <c r="R159" s="25"/>
      <c r="S159" s="25"/>
      <c r="T159" s="25"/>
    </row>
    <row r="160" spans="1:20">
      <c r="A160" s="25"/>
      <c r="B160" s="25"/>
      <c r="C160" s="25"/>
      <c r="D160" s="25"/>
      <c r="E160" s="25"/>
      <c r="F160" s="25"/>
      <c r="G160" s="25"/>
      <c r="H160" s="25"/>
      <c r="I160" s="25"/>
      <c r="J160" s="25"/>
      <c r="K160" s="25"/>
      <c r="L160" s="25"/>
      <c r="M160" s="25"/>
      <c r="N160" s="25"/>
      <c r="O160" s="25"/>
      <c r="P160" s="25"/>
      <c r="Q160" s="25"/>
      <c r="R160" s="25"/>
      <c r="S160" s="25"/>
      <c r="T160" s="25"/>
    </row>
    <row r="161" spans="1:20">
      <c r="A161" s="25"/>
      <c r="B161" s="25"/>
      <c r="C161" s="25"/>
      <c r="D161" s="25"/>
      <c r="E161" s="25"/>
      <c r="F161" s="25"/>
      <c r="G161" s="25"/>
      <c r="H161" s="25"/>
      <c r="I161" s="25"/>
      <c r="J161" s="25"/>
      <c r="K161" s="25"/>
      <c r="L161" s="25"/>
      <c r="M161" s="25"/>
      <c r="N161" s="25"/>
      <c r="O161" s="25"/>
      <c r="P161" s="25"/>
      <c r="Q161" s="25"/>
      <c r="R161" s="25"/>
      <c r="S161" s="25"/>
      <c r="T161" s="25"/>
    </row>
    <row r="162" spans="1:20">
      <c r="A162" s="25"/>
      <c r="B162" s="25"/>
      <c r="C162" s="25"/>
      <c r="D162" s="25"/>
      <c r="E162" s="25"/>
      <c r="F162" s="25"/>
      <c r="G162" s="25"/>
      <c r="H162" s="25"/>
      <c r="I162" s="25"/>
      <c r="J162" s="25"/>
      <c r="K162" s="25"/>
      <c r="L162" s="25"/>
      <c r="M162" s="25"/>
      <c r="N162" s="25"/>
      <c r="O162" s="25"/>
      <c r="P162" s="25"/>
      <c r="Q162" s="25"/>
      <c r="R162" s="25"/>
      <c r="S162" s="25"/>
      <c r="T162" s="25"/>
    </row>
    <row r="163" spans="1:20">
      <c r="A163" s="25"/>
      <c r="B163" s="25"/>
      <c r="C163" s="25"/>
      <c r="D163" s="25"/>
      <c r="E163" s="25"/>
      <c r="F163" s="25"/>
      <c r="G163" s="25"/>
      <c r="H163" s="25"/>
      <c r="I163" s="25"/>
      <c r="J163" s="25"/>
      <c r="K163" s="25"/>
      <c r="L163" s="25"/>
      <c r="M163" s="25"/>
      <c r="N163" s="25"/>
      <c r="O163" s="25"/>
      <c r="P163" s="25"/>
      <c r="Q163" s="25"/>
      <c r="R163" s="25"/>
      <c r="S163" s="25"/>
      <c r="T163" s="25"/>
    </row>
    <row r="164" spans="1:20">
      <c r="A164" s="25"/>
      <c r="B164" s="25"/>
      <c r="C164" s="25"/>
      <c r="D164" s="25"/>
      <c r="E164" s="25"/>
      <c r="F164" s="25"/>
      <c r="G164" s="25"/>
      <c r="H164" s="25"/>
      <c r="I164" s="25"/>
      <c r="J164" s="25"/>
      <c r="K164" s="25"/>
      <c r="L164" s="25"/>
      <c r="M164" s="25"/>
      <c r="N164" s="25"/>
      <c r="O164" s="25"/>
      <c r="P164" s="25"/>
      <c r="Q164" s="25"/>
      <c r="R164" s="25"/>
      <c r="S164" s="25"/>
      <c r="T164" s="25"/>
    </row>
    <row r="165" spans="1:20">
      <c r="A165" s="25"/>
      <c r="B165" s="25"/>
      <c r="C165" s="25"/>
      <c r="D165" s="25"/>
      <c r="E165" s="25"/>
      <c r="F165" s="25"/>
      <c r="G165" s="25"/>
      <c r="H165" s="25"/>
      <c r="I165" s="25"/>
      <c r="J165" s="25"/>
      <c r="K165" s="25"/>
      <c r="L165" s="25"/>
      <c r="M165" s="25"/>
      <c r="N165" s="25"/>
      <c r="O165" s="25"/>
      <c r="P165" s="25"/>
      <c r="Q165" s="25"/>
      <c r="R165" s="25"/>
      <c r="S165" s="25"/>
      <c r="T165" s="25"/>
    </row>
    <row r="166" spans="1:20">
      <c r="A166" s="25"/>
      <c r="B166" s="25"/>
      <c r="C166" s="25"/>
      <c r="D166" s="25"/>
      <c r="E166" s="25"/>
      <c r="F166" s="25"/>
      <c r="G166" s="25"/>
      <c r="H166" s="25"/>
      <c r="I166" s="25"/>
      <c r="J166" s="25"/>
      <c r="K166" s="25"/>
      <c r="L166" s="25"/>
      <c r="M166" s="25"/>
      <c r="N166" s="25"/>
      <c r="O166" s="25"/>
      <c r="P166" s="25"/>
      <c r="Q166" s="25"/>
      <c r="R166" s="25"/>
      <c r="S166" s="25"/>
      <c r="T166" s="25"/>
    </row>
    <row r="167" spans="1:20">
      <c r="A167" s="25"/>
      <c r="B167" s="25"/>
      <c r="C167" s="25"/>
      <c r="D167" s="25"/>
      <c r="E167" s="25"/>
      <c r="F167" s="25"/>
      <c r="G167" s="25"/>
      <c r="H167" s="25"/>
      <c r="I167" s="25"/>
      <c r="J167" s="25"/>
      <c r="K167" s="25"/>
      <c r="L167" s="25"/>
      <c r="M167" s="25"/>
      <c r="N167" s="25"/>
      <c r="O167" s="25"/>
      <c r="P167" s="25"/>
      <c r="Q167" s="25"/>
      <c r="R167" s="25"/>
      <c r="S167" s="25"/>
      <c r="T167" s="25"/>
    </row>
    <row r="168" spans="1:20">
      <c r="A168" s="25"/>
      <c r="B168" s="25"/>
      <c r="C168" s="25"/>
      <c r="D168" s="25"/>
      <c r="E168" s="25"/>
      <c r="F168" s="25"/>
      <c r="G168" s="25"/>
      <c r="H168" s="25"/>
      <c r="I168" s="25"/>
      <c r="J168" s="25"/>
      <c r="K168" s="25"/>
      <c r="L168" s="25"/>
      <c r="M168" s="25"/>
      <c r="N168" s="25"/>
      <c r="O168" s="25"/>
      <c r="P168" s="25"/>
      <c r="Q168" s="25"/>
      <c r="R168" s="25"/>
      <c r="S168" s="25"/>
      <c r="T168" s="25"/>
    </row>
    <row r="169" spans="1:20">
      <c r="A169" s="25"/>
      <c r="B169" s="25"/>
      <c r="C169" s="25"/>
      <c r="D169" s="25"/>
      <c r="E169" s="25"/>
      <c r="F169" s="25"/>
      <c r="G169" s="25"/>
      <c r="H169" s="25"/>
      <c r="I169" s="25"/>
      <c r="J169" s="25"/>
      <c r="K169" s="25"/>
      <c r="L169" s="25"/>
      <c r="M169" s="25"/>
      <c r="N169" s="25"/>
      <c r="O169" s="25"/>
      <c r="P169" s="25"/>
      <c r="Q169" s="25"/>
      <c r="R169" s="25"/>
      <c r="S169" s="25"/>
      <c r="T169" s="25"/>
    </row>
    <row r="170" spans="1:20">
      <c r="A170" s="25"/>
      <c r="B170" s="25"/>
      <c r="C170" s="25"/>
      <c r="D170" s="25"/>
      <c r="E170" s="25"/>
      <c r="F170" s="25"/>
      <c r="G170" s="25"/>
      <c r="H170" s="25"/>
      <c r="I170" s="25"/>
      <c r="J170" s="25"/>
      <c r="K170" s="25"/>
      <c r="L170" s="25"/>
      <c r="M170" s="25"/>
      <c r="N170" s="25"/>
      <c r="O170" s="25"/>
      <c r="P170" s="25"/>
      <c r="Q170" s="25"/>
      <c r="R170" s="25"/>
      <c r="S170" s="25"/>
      <c r="T170" s="25"/>
    </row>
    <row r="171" spans="1:20">
      <c r="A171" s="25"/>
      <c r="B171" s="25"/>
      <c r="C171" s="25"/>
      <c r="D171" s="25"/>
      <c r="E171" s="25"/>
      <c r="F171" s="25"/>
      <c r="G171" s="25"/>
      <c r="H171" s="25"/>
      <c r="I171" s="25"/>
      <c r="J171" s="25"/>
      <c r="K171" s="25"/>
      <c r="L171" s="25"/>
      <c r="M171" s="25"/>
      <c r="N171" s="25"/>
      <c r="O171" s="25"/>
      <c r="P171" s="25"/>
      <c r="Q171" s="25"/>
      <c r="R171" s="25"/>
      <c r="S171" s="25"/>
      <c r="T171" s="25"/>
    </row>
    <row r="172" spans="1:20">
      <c r="A172" s="25"/>
      <c r="B172" s="25"/>
      <c r="C172" s="25"/>
      <c r="D172" s="25"/>
      <c r="E172" s="25"/>
      <c r="F172" s="25"/>
      <c r="G172" s="25"/>
      <c r="H172" s="25"/>
      <c r="I172" s="25"/>
      <c r="J172" s="25"/>
      <c r="K172" s="25"/>
      <c r="L172" s="25"/>
      <c r="M172" s="25"/>
      <c r="N172" s="25"/>
      <c r="O172" s="25"/>
      <c r="P172" s="25"/>
      <c r="Q172" s="25"/>
      <c r="R172" s="25"/>
      <c r="S172" s="25"/>
      <c r="T172" s="25"/>
    </row>
    <row r="173" spans="1:20">
      <c r="A173" s="25"/>
      <c r="B173" s="25"/>
      <c r="C173" s="25"/>
      <c r="D173" s="25"/>
      <c r="E173" s="25"/>
      <c r="F173" s="25"/>
      <c r="G173" s="25"/>
      <c r="H173" s="25"/>
      <c r="I173" s="25"/>
      <c r="J173" s="25"/>
      <c r="K173" s="25"/>
      <c r="L173" s="25"/>
      <c r="M173" s="25"/>
      <c r="N173" s="25"/>
      <c r="O173" s="25"/>
      <c r="P173" s="25"/>
      <c r="Q173" s="25"/>
      <c r="R173" s="25"/>
      <c r="S173" s="25"/>
      <c r="T173" s="25"/>
    </row>
    <row r="174" spans="1:20">
      <c r="A174" s="25"/>
      <c r="B174" s="25"/>
      <c r="C174" s="25"/>
      <c r="D174" s="25"/>
      <c r="E174" s="25"/>
      <c r="F174" s="25"/>
      <c r="G174" s="25"/>
      <c r="H174" s="25"/>
      <c r="I174" s="25"/>
      <c r="J174" s="25"/>
      <c r="K174" s="25"/>
      <c r="L174" s="25"/>
      <c r="M174" s="25"/>
      <c r="N174" s="25"/>
      <c r="O174" s="25"/>
      <c r="P174" s="25"/>
      <c r="Q174" s="25"/>
      <c r="R174" s="25"/>
      <c r="S174" s="25"/>
      <c r="T174" s="25"/>
    </row>
    <row r="175" spans="1:20">
      <c r="A175" s="25"/>
      <c r="B175" s="25"/>
      <c r="C175" s="25"/>
      <c r="D175" s="25"/>
      <c r="E175" s="25"/>
      <c r="F175" s="25"/>
      <c r="G175" s="25"/>
      <c r="H175" s="25"/>
      <c r="I175" s="25"/>
      <c r="J175" s="25"/>
      <c r="K175" s="25"/>
      <c r="L175" s="25"/>
      <c r="M175" s="25"/>
      <c r="N175" s="25"/>
      <c r="O175" s="25"/>
      <c r="P175" s="25"/>
      <c r="Q175" s="25"/>
      <c r="R175" s="25"/>
      <c r="S175" s="25"/>
      <c r="T175" s="25"/>
    </row>
    <row r="176" spans="1:20">
      <c r="A176" s="25"/>
      <c r="B176" s="25"/>
      <c r="C176" s="25"/>
      <c r="D176" s="25"/>
      <c r="E176" s="25"/>
      <c r="F176" s="25"/>
      <c r="G176" s="25"/>
      <c r="H176" s="25"/>
      <c r="I176" s="25"/>
      <c r="J176" s="25"/>
      <c r="K176" s="25"/>
      <c r="L176" s="25"/>
      <c r="M176" s="25"/>
      <c r="N176" s="25"/>
      <c r="O176" s="25"/>
      <c r="P176" s="25"/>
      <c r="Q176" s="25"/>
      <c r="R176" s="25"/>
      <c r="S176" s="25"/>
      <c r="T176" s="25"/>
    </row>
    <row r="177" spans="1:20">
      <c r="A177" s="25"/>
      <c r="B177" s="25"/>
      <c r="C177" s="25"/>
      <c r="D177" s="25"/>
      <c r="E177" s="25"/>
      <c r="F177" s="25"/>
      <c r="G177" s="25"/>
      <c r="H177" s="25"/>
      <c r="I177" s="25"/>
      <c r="J177" s="25"/>
      <c r="K177" s="25"/>
      <c r="L177" s="25"/>
      <c r="M177" s="25"/>
      <c r="N177" s="25"/>
      <c r="O177" s="25"/>
      <c r="P177" s="25"/>
      <c r="Q177" s="25"/>
      <c r="R177" s="25"/>
      <c r="S177" s="25"/>
      <c r="T177" s="25"/>
    </row>
    <row r="178" spans="1:20">
      <c r="A178" s="25"/>
      <c r="B178" s="25"/>
      <c r="C178" s="25"/>
      <c r="D178" s="25"/>
      <c r="E178" s="25"/>
      <c r="F178" s="25"/>
      <c r="G178" s="25"/>
      <c r="H178" s="25"/>
      <c r="I178" s="25"/>
      <c r="J178" s="25"/>
      <c r="K178" s="25"/>
      <c r="L178" s="25"/>
      <c r="M178" s="25"/>
      <c r="N178" s="25"/>
      <c r="O178" s="25"/>
      <c r="P178" s="25"/>
      <c r="Q178" s="25"/>
      <c r="R178" s="25"/>
      <c r="S178" s="25"/>
      <c r="T178" s="25"/>
    </row>
    <row r="179" spans="1:20">
      <c r="A179" s="25"/>
      <c r="B179" s="25"/>
      <c r="C179" s="25"/>
      <c r="D179" s="25"/>
      <c r="E179" s="25"/>
      <c r="F179" s="25"/>
      <c r="G179" s="25"/>
      <c r="H179" s="25"/>
      <c r="I179" s="25"/>
      <c r="J179" s="25"/>
      <c r="K179" s="25"/>
      <c r="L179" s="25"/>
      <c r="M179" s="25"/>
      <c r="N179" s="25"/>
      <c r="O179" s="25"/>
      <c r="P179" s="25"/>
      <c r="Q179" s="25"/>
      <c r="R179" s="25"/>
      <c r="S179" s="25"/>
      <c r="T179" s="25"/>
    </row>
    <row r="180" spans="1:20">
      <c r="A180" s="25"/>
      <c r="B180" s="25"/>
      <c r="C180" s="25"/>
      <c r="D180" s="25"/>
      <c r="E180" s="25"/>
      <c r="F180" s="25"/>
      <c r="G180" s="25"/>
      <c r="H180" s="25"/>
      <c r="I180" s="25"/>
      <c r="J180" s="25"/>
      <c r="K180" s="25"/>
      <c r="L180" s="25"/>
      <c r="M180" s="25"/>
      <c r="N180" s="25"/>
      <c r="O180" s="25"/>
      <c r="P180" s="25"/>
      <c r="Q180" s="25"/>
      <c r="R180" s="25"/>
      <c r="S180" s="25"/>
      <c r="T180" s="25"/>
    </row>
    <row r="181" spans="1:20">
      <c r="A181" s="25"/>
      <c r="B181" s="25"/>
      <c r="C181" s="25"/>
      <c r="D181" s="25"/>
      <c r="E181" s="25"/>
      <c r="F181" s="25"/>
      <c r="G181" s="25"/>
      <c r="H181" s="25"/>
      <c r="I181" s="25"/>
      <c r="J181" s="25"/>
      <c r="K181" s="25"/>
      <c r="L181" s="25"/>
      <c r="M181" s="25"/>
      <c r="N181" s="25"/>
      <c r="O181" s="25"/>
      <c r="P181" s="25"/>
      <c r="Q181" s="25"/>
      <c r="R181" s="25"/>
      <c r="S181" s="25"/>
      <c r="T181" s="25"/>
    </row>
    <row r="182" spans="1:20">
      <c r="A182" s="25"/>
      <c r="B182" s="25"/>
      <c r="C182" s="25"/>
      <c r="D182" s="25"/>
      <c r="E182" s="25"/>
      <c r="F182" s="25"/>
      <c r="G182" s="25"/>
      <c r="H182" s="25"/>
      <c r="I182" s="25"/>
      <c r="J182" s="25"/>
      <c r="K182" s="25"/>
      <c r="L182" s="25"/>
      <c r="M182" s="25"/>
      <c r="N182" s="25"/>
      <c r="O182" s="25"/>
      <c r="P182" s="25"/>
      <c r="Q182" s="25"/>
      <c r="R182" s="25"/>
      <c r="S182" s="25"/>
      <c r="T182" s="25"/>
    </row>
    <row r="183" spans="1:20">
      <c r="A183" s="25"/>
      <c r="B183" s="25"/>
      <c r="C183" s="25"/>
      <c r="D183" s="25"/>
      <c r="E183" s="25"/>
      <c r="F183" s="25"/>
      <c r="G183" s="25"/>
      <c r="H183" s="25"/>
      <c r="I183" s="25"/>
      <c r="J183" s="25"/>
      <c r="K183" s="25"/>
      <c r="L183" s="25"/>
      <c r="M183" s="25"/>
      <c r="N183" s="25"/>
      <c r="O183" s="25"/>
      <c r="P183" s="25"/>
      <c r="Q183" s="25"/>
      <c r="R183" s="25"/>
      <c r="S183" s="25"/>
      <c r="T183" s="25"/>
    </row>
    <row r="184" spans="1:20">
      <c r="A184" s="25"/>
      <c r="B184" s="25"/>
      <c r="C184" s="25"/>
      <c r="D184" s="25"/>
      <c r="E184" s="25"/>
      <c r="F184" s="25"/>
      <c r="G184" s="25"/>
      <c r="H184" s="25"/>
      <c r="I184" s="25"/>
      <c r="J184" s="25"/>
      <c r="K184" s="25"/>
      <c r="L184" s="25"/>
      <c r="M184" s="25"/>
      <c r="N184" s="25"/>
      <c r="O184" s="25"/>
      <c r="P184" s="25"/>
      <c r="Q184" s="25"/>
      <c r="R184" s="25"/>
      <c r="S184" s="25"/>
      <c r="T184" s="25"/>
    </row>
    <row r="185" spans="1:20">
      <c r="A185" s="25"/>
      <c r="B185" s="25"/>
      <c r="C185" s="25"/>
      <c r="D185" s="25"/>
      <c r="E185" s="25"/>
      <c r="F185" s="25"/>
      <c r="G185" s="25"/>
      <c r="H185" s="25"/>
      <c r="I185" s="25"/>
      <c r="J185" s="25"/>
      <c r="K185" s="25"/>
      <c r="L185" s="25"/>
      <c r="M185" s="25"/>
      <c r="N185" s="25"/>
      <c r="O185" s="25"/>
      <c r="P185" s="25"/>
      <c r="Q185" s="25"/>
      <c r="R185" s="25"/>
      <c r="S185" s="25"/>
      <c r="T185" s="25"/>
    </row>
    <row r="186" spans="1:20">
      <c r="A186" s="25"/>
      <c r="B186" s="25"/>
      <c r="C186" s="25"/>
      <c r="D186" s="25"/>
      <c r="E186" s="25"/>
      <c r="F186" s="25"/>
      <c r="G186" s="25"/>
      <c r="H186" s="25"/>
      <c r="I186" s="25"/>
      <c r="J186" s="25"/>
      <c r="K186" s="25"/>
      <c r="L186" s="25"/>
      <c r="M186" s="25"/>
      <c r="N186" s="25"/>
      <c r="O186" s="25"/>
      <c r="P186" s="25"/>
      <c r="Q186" s="25"/>
      <c r="R186" s="25"/>
      <c r="S186" s="25"/>
      <c r="T186" s="25"/>
    </row>
    <row r="187" spans="1:20">
      <c r="A187" s="25"/>
      <c r="B187" s="25"/>
      <c r="C187" s="25"/>
      <c r="D187" s="25"/>
      <c r="E187" s="25"/>
      <c r="F187" s="25"/>
      <c r="G187" s="25"/>
      <c r="H187" s="25"/>
      <c r="I187" s="25"/>
      <c r="J187" s="25"/>
      <c r="K187" s="25"/>
      <c r="L187" s="25"/>
      <c r="M187" s="25"/>
      <c r="N187" s="25"/>
      <c r="O187" s="25"/>
      <c r="P187" s="25"/>
      <c r="Q187" s="25"/>
      <c r="R187" s="25"/>
      <c r="S187" s="25"/>
      <c r="T187" s="25"/>
    </row>
    <row r="188" spans="1:20">
      <c r="A188" s="25"/>
      <c r="B188" s="25"/>
      <c r="C188" s="25"/>
      <c r="D188" s="25"/>
      <c r="E188" s="25"/>
      <c r="F188" s="25"/>
      <c r="G188" s="25"/>
      <c r="H188" s="25"/>
      <c r="I188" s="25"/>
      <c r="J188" s="25"/>
      <c r="K188" s="25"/>
      <c r="L188" s="25"/>
      <c r="M188" s="25"/>
      <c r="N188" s="25"/>
      <c r="O188" s="25"/>
      <c r="P188" s="25"/>
      <c r="Q188" s="25"/>
      <c r="R188" s="25"/>
      <c r="S188" s="25"/>
      <c r="T188" s="25"/>
    </row>
    <row r="189" spans="1:20">
      <c r="A189" s="25"/>
      <c r="B189" s="25"/>
      <c r="C189" s="25"/>
      <c r="D189" s="25"/>
      <c r="E189" s="25"/>
      <c r="F189" s="25"/>
      <c r="G189" s="25"/>
      <c r="H189" s="25"/>
      <c r="I189" s="25"/>
      <c r="J189" s="25"/>
      <c r="K189" s="25"/>
      <c r="L189" s="25"/>
      <c r="M189" s="25"/>
      <c r="N189" s="25"/>
      <c r="O189" s="25"/>
      <c r="P189" s="25"/>
      <c r="Q189" s="25"/>
      <c r="R189" s="25"/>
      <c r="S189" s="25"/>
      <c r="T189" s="25"/>
    </row>
    <row r="190" spans="1:20">
      <c r="A190" s="25"/>
      <c r="B190" s="25"/>
      <c r="C190" s="25"/>
      <c r="D190" s="25"/>
      <c r="E190" s="25"/>
      <c r="F190" s="25"/>
      <c r="G190" s="25"/>
      <c r="H190" s="25"/>
      <c r="I190" s="25"/>
      <c r="J190" s="25"/>
      <c r="K190" s="25"/>
      <c r="L190" s="25"/>
      <c r="M190" s="25"/>
      <c r="N190" s="25"/>
      <c r="O190" s="25"/>
      <c r="P190" s="25"/>
      <c r="Q190" s="25"/>
      <c r="R190" s="25"/>
      <c r="S190" s="25"/>
      <c r="T190" s="25"/>
    </row>
    <row r="191" spans="1:20">
      <c r="A191" s="25"/>
      <c r="B191" s="25"/>
      <c r="C191" s="25"/>
      <c r="D191" s="25"/>
      <c r="E191" s="25"/>
      <c r="F191" s="25"/>
      <c r="G191" s="25"/>
      <c r="H191" s="25"/>
      <c r="I191" s="25"/>
      <c r="J191" s="25"/>
      <c r="K191" s="25"/>
      <c r="L191" s="25"/>
      <c r="M191" s="25"/>
      <c r="N191" s="25"/>
      <c r="O191" s="25"/>
      <c r="P191" s="25"/>
      <c r="Q191" s="25"/>
      <c r="R191" s="25"/>
      <c r="S191" s="25"/>
      <c r="T191" s="25"/>
    </row>
    <row r="192" spans="1:20">
      <c r="A192" s="25"/>
      <c r="B192" s="25"/>
      <c r="C192" s="25"/>
      <c r="D192" s="25"/>
      <c r="E192" s="25"/>
      <c r="F192" s="25"/>
      <c r="G192" s="25"/>
      <c r="H192" s="25"/>
      <c r="I192" s="25"/>
      <c r="J192" s="25"/>
      <c r="K192" s="25"/>
      <c r="L192" s="25"/>
      <c r="M192" s="25"/>
      <c r="N192" s="25"/>
      <c r="O192" s="25"/>
      <c r="P192" s="25"/>
      <c r="Q192" s="25"/>
      <c r="R192" s="25"/>
      <c r="S192" s="25"/>
      <c r="T192" s="25"/>
    </row>
    <row r="193" spans="1:20">
      <c r="A193" s="25"/>
      <c r="B193" s="25"/>
      <c r="C193" s="25"/>
      <c r="D193" s="25"/>
      <c r="E193" s="25"/>
      <c r="F193" s="25"/>
      <c r="G193" s="25"/>
      <c r="H193" s="25"/>
      <c r="I193" s="25"/>
      <c r="J193" s="25"/>
      <c r="K193" s="25"/>
      <c r="L193" s="25"/>
      <c r="M193" s="25"/>
      <c r="N193" s="25"/>
      <c r="O193" s="25"/>
      <c r="P193" s="25"/>
      <c r="Q193" s="25"/>
      <c r="R193" s="25"/>
      <c r="S193" s="25"/>
      <c r="T193" s="25"/>
    </row>
    <row r="194" spans="1:20">
      <c r="A194" s="25"/>
      <c r="B194" s="25"/>
      <c r="C194" s="25"/>
      <c r="D194" s="25"/>
      <c r="E194" s="25"/>
      <c r="F194" s="25"/>
      <c r="G194" s="25"/>
      <c r="H194" s="25"/>
      <c r="I194" s="25"/>
      <c r="J194" s="25"/>
      <c r="K194" s="25"/>
      <c r="L194" s="25"/>
      <c r="M194" s="25"/>
      <c r="N194" s="25"/>
      <c r="O194" s="25"/>
      <c r="P194" s="25"/>
      <c r="Q194" s="25"/>
      <c r="R194" s="25"/>
      <c r="S194" s="25"/>
      <c r="T194" s="25"/>
    </row>
    <row r="195" spans="1:20">
      <c r="A195" s="25"/>
      <c r="B195" s="25"/>
      <c r="C195" s="25"/>
      <c r="D195" s="25"/>
      <c r="E195" s="25"/>
      <c r="F195" s="25"/>
      <c r="G195" s="25"/>
      <c r="H195" s="25"/>
      <c r="I195" s="25"/>
      <c r="J195" s="25"/>
      <c r="K195" s="25"/>
      <c r="L195" s="25"/>
      <c r="M195" s="25"/>
      <c r="N195" s="25"/>
      <c r="O195" s="25"/>
      <c r="P195" s="25"/>
      <c r="Q195" s="25"/>
      <c r="R195" s="25"/>
      <c r="S195" s="25"/>
      <c r="T195" s="25"/>
    </row>
    <row r="196" spans="1:20">
      <c r="A196" s="25"/>
      <c r="B196" s="25"/>
      <c r="C196" s="25"/>
      <c r="D196" s="25"/>
      <c r="E196" s="25"/>
      <c r="F196" s="25"/>
      <c r="G196" s="25"/>
      <c r="H196" s="25"/>
      <c r="I196" s="25"/>
      <c r="J196" s="25"/>
      <c r="K196" s="25"/>
      <c r="L196" s="25"/>
      <c r="M196" s="25"/>
      <c r="N196" s="25"/>
      <c r="O196" s="25"/>
      <c r="P196" s="25"/>
      <c r="Q196" s="25"/>
      <c r="R196" s="25"/>
      <c r="S196" s="25"/>
      <c r="T196" s="25"/>
    </row>
    <row r="197" spans="1:20">
      <c r="A197" s="25"/>
      <c r="B197" s="25"/>
      <c r="C197" s="25"/>
      <c r="D197" s="25"/>
      <c r="E197" s="25"/>
      <c r="F197" s="25"/>
      <c r="G197" s="25"/>
      <c r="H197" s="25"/>
      <c r="I197" s="25"/>
      <c r="J197" s="25"/>
      <c r="K197" s="25"/>
      <c r="L197" s="25"/>
      <c r="M197" s="25"/>
      <c r="N197" s="25"/>
      <c r="O197" s="25"/>
      <c r="P197" s="25"/>
      <c r="Q197" s="25"/>
      <c r="R197" s="25"/>
      <c r="S197" s="25"/>
      <c r="T197" s="25"/>
    </row>
    <row r="198" spans="1:20">
      <c r="A198" s="25"/>
      <c r="B198" s="25"/>
      <c r="C198" s="25"/>
      <c r="D198" s="25"/>
      <c r="E198" s="25"/>
      <c r="F198" s="25"/>
      <c r="G198" s="25"/>
      <c r="H198" s="25"/>
      <c r="I198" s="25"/>
      <c r="J198" s="25"/>
      <c r="K198" s="25"/>
      <c r="L198" s="25"/>
      <c r="M198" s="25"/>
      <c r="N198" s="25"/>
      <c r="O198" s="25"/>
      <c r="P198" s="25"/>
      <c r="Q198" s="25"/>
      <c r="R198" s="25"/>
      <c r="S198" s="25"/>
      <c r="T198" s="25"/>
    </row>
    <row r="199" spans="1:20">
      <c r="A199" s="25"/>
      <c r="B199" s="25"/>
      <c r="C199" s="25"/>
      <c r="D199" s="25"/>
      <c r="E199" s="25"/>
      <c r="F199" s="25"/>
      <c r="G199" s="25"/>
      <c r="H199" s="25"/>
      <c r="I199" s="25"/>
      <c r="J199" s="25"/>
      <c r="K199" s="25"/>
      <c r="L199" s="25"/>
      <c r="M199" s="25"/>
      <c r="N199" s="25"/>
      <c r="O199" s="25"/>
      <c r="P199" s="25"/>
      <c r="Q199" s="25"/>
      <c r="R199" s="25"/>
      <c r="S199" s="25"/>
      <c r="T199" s="25"/>
    </row>
    <row r="200" spans="1:20">
      <c r="A200" s="25"/>
      <c r="B200" s="25"/>
      <c r="C200" s="25"/>
      <c r="D200" s="25"/>
      <c r="E200" s="25"/>
      <c r="F200" s="25"/>
      <c r="G200" s="25"/>
      <c r="H200" s="25"/>
      <c r="I200" s="25"/>
      <c r="J200" s="25"/>
      <c r="K200" s="25"/>
      <c r="L200" s="25"/>
      <c r="M200" s="25"/>
      <c r="N200" s="25"/>
      <c r="O200" s="25"/>
      <c r="P200" s="25"/>
      <c r="Q200" s="25"/>
      <c r="R200" s="25"/>
      <c r="S200" s="25"/>
      <c r="T200" s="25"/>
    </row>
    <row r="201" spans="1:20">
      <c r="A201" s="25"/>
      <c r="B201" s="25"/>
      <c r="C201" s="25"/>
      <c r="D201" s="25"/>
      <c r="E201" s="25"/>
      <c r="F201" s="25"/>
      <c r="G201" s="25"/>
      <c r="H201" s="25"/>
      <c r="I201" s="25"/>
      <c r="J201" s="25"/>
      <c r="K201" s="25"/>
      <c r="L201" s="25"/>
      <c r="M201" s="25"/>
      <c r="N201" s="25"/>
      <c r="O201" s="25"/>
      <c r="P201" s="25"/>
      <c r="Q201" s="25"/>
      <c r="R201" s="25"/>
      <c r="S201" s="25"/>
      <c r="T201" s="25"/>
    </row>
    <row r="202" spans="1:20">
      <c r="A202" s="25"/>
      <c r="B202" s="25"/>
      <c r="C202" s="25"/>
      <c r="D202" s="25"/>
      <c r="E202" s="25"/>
      <c r="F202" s="25"/>
      <c r="G202" s="25"/>
      <c r="H202" s="25"/>
      <c r="I202" s="25"/>
      <c r="J202" s="25"/>
      <c r="K202" s="25"/>
      <c r="L202" s="25"/>
      <c r="M202" s="25"/>
      <c r="N202" s="25"/>
      <c r="O202" s="25"/>
      <c r="P202" s="25"/>
      <c r="Q202" s="25"/>
      <c r="R202" s="25"/>
      <c r="S202" s="25"/>
      <c r="T202" s="25"/>
    </row>
    <row r="203" spans="1:20">
      <c r="A203" s="25"/>
      <c r="B203" s="25"/>
      <c r="C203" s="25"/>
      <c r="D203" s="25"/>
      <c r="E203" s="25"/>
      <c r="F203" s="25"/>
      <c r="G203" s="25"/>
      <c r="H203" s="25"/>
      <c r="I203" s="25"/>
      <c r="J203" s="25"/>
      <c r="K203" s="25"/>
      <c r="L203" s="25"/>
      <c r="M203" s="25"/>
      <c r="N203" s="25"/>
      <c r="O203" s="25"/>
      <c r="P203" s="25"/>
      <c r="Q203" s="25"/>
      <c r="R203" s="25"/>
      <c r="S203" s="25"/>
      <c r="T203" s="25"/>
    </row>
    <row r="204" spans="1:20">
      <c r="A204" s="25"/>
      <c r="B204" s="25"/>
      <c r="C204" s="25"/>
      <c r="D204" s="25"/>
      <c r="E204" s="25"/>
      <c r="F204" s="25"/>
      <c r="G204" s="25"/>
      <c r="H204" s="25"/>
      <c r="I204" s="25"/>
      <c r="J204" s="25"/>
      <c r="K204" s="25"/>
      <c r="L204" s="25"/>
      <c r="M204" s="25"/>
      <c r="N204" s="25"/>
      <c r="O204" s="25"/>
      <c r="P204" s="25"/>
      <c r="Q204" s="25"/>
      <c r="R204" s="25"/>
      <c r="S204" s="25"/>
      <c r="T204" s="25"/>
    </row>
    <row r="205" spans="1:20">
      <c r="A205" s="25"/>
      <c r="B205" s="25"/>
      <c r="C205" s="25"/>
      <c r="D205" s="25"/>
      <c r="E205" s="25"/>
      <c r="F205" s="25"/>
      <c r="G205" s="25"/>
      <c r="H205" s="25"/>
      <c r="I205" s="25"/>
      <c r="J205" s="25"/>
      <c r="K205" s="25"/>
      <c r="L205" s="25"/>
      <c r="M205" s="25"/>
      <c r="N205" s="25"/>
      <c r="O205" s="25"/>
      <c r="P205" s="25"/>
      <c r="Q205" s="25"/>
      <c r="R205" s="25"/>
      <c r="S205" s="25"/>
      <c r="T205" s="25"/>
    </row>
    <row r="206" spans="1:20">
      <c r="A206" s="25"/>
      <c r="B206" s="25"/>
      <c r="C206" s="25"/>
      <c r="D206" s="25"/>
      <c r="E206" s="25"/>
      <c r="F206" s="25"/>
      <c r="G206" s="25"/>
      <c r="H206" s="25"/>
      <c r="I206" s="25"/>
      <c r="J206" s="25"/>
      <c r="K206" s="25"/>
      <c r="L206" s="25"/>
      <c r="M206" s="25"/>
      <c r="N206" s="25"/>
      <c r="O206" s="25"/>
      <c r="P206" s="25"/>
      <c r="Q206" s="25"/>
      <c r="R206" s="25"/>
      <c r="S206" s="25"/>
      <c r="T206" s="25"/>
    </row>
    <row r="207" spans="1:20">
      <c r="A207" s="25"/>
      <c r="B207" s="25"/>
      <c r="C207" s="25"/>
      <c r="D207" s="25"/>
      <c r="E207" s="25"/>
      <c r="F207" s="25"/>
      <c r="G207" s="25"/>
      <c r="H207" s="25"/>
      <c r="I207" s="25"/>
      <c r="J207" s="25"/>
      <c r="K207" s="25"/>
      <c r="L207" s="25"/>
      <c r="M207" s="25"/>
      <c r="N207" s="25"/>
      <c r="O207" s="25"/>
      <c r="P207" s="25"/>
      <c r="Q207" s="25"/>
      <c r="R207" s="25"/>
      <c r="S207" s="25"/>
      <c r="T207" s="25"/>
    </row>
    <row r="208" spans="1:20">
      <c r="A208" s="25"/>
      <c r="B208" s="25"/>
      <c r="C208" s="25"/>
      <c r="D208" s="25"/>
      <c r="E208" s="25"/>
      <c r="F208" s="25"/>
      <c r="G208" s="25"/>
      <c r="H208" s="25"/>
      <c r="I208" s="25"/>
      <c r="J208" s="25"/>
      <c r="K208" s="25"/>
      <c r="L208" s="25"/>
      <c r="M208" s="25"/>
      <c r="N208" s="25"/>
      <c r="O208" s="25"/>
      <c r="P208" s="25"/>
      <c r="Q208" s="25"/>
      <c r="R208" s="25"/>
      <c r="S208" s="25"/>
      <c r="T208" s="25"/>
    </row>
    <row r="209" spans="1:20">
      <c r="A209" s="25"/>
      <c r="B209" s="25"/>
      <c r="C209" s="25"/>
      <c r="D209" s="25"/>
      <c r="E209" s="25"/>
      <c r="F209" s="25"/>
      <c r="G209" s="25"/>
      <c r="H209" s="25"/>
      <c r="I209" s="25"/>
      <c r="J209" s="25"/>
      <c r="K209" s="25"/>
      <c r="L209" s="25"/>
      <c r="M209" s="25"/>
      <c r="N209" s="25"/>
      <c r="O209" s="25"/>
      <c r="P209" s="25"/>
      <c r="Q209" s="25"/>
      <c r="R209" s="25"/>
      <c r="S209" s="25"/>
      <c r="T209" s="25"/>
    </row>
    <row r="210" spans="1:20">
      <c r="A210" s="25"/>
      <c r="B210" s="25"/>
      <c r="C210" s="25"/>
      <c r="D210" s="25"/>
      <c r="E210" s="25"/>
      <c r="F210" s="25"/>
      <c r="G210" s="25"/>
      <c r="H210" s="25"/>
      <c r="I210" s="25"/>
      <c r="J210" s="25"/>
      <c r="K210" s="25"/>
      <c r="L210" s="25"/>
      <c r="M210" s="25"/>
      <c r="N210" s="25"/>
      <c r="O210" s="25"/>
      <c r="P210" s="25"/>
      <c r="Q210" s="25"/>
      <c r="R210" s="25"/>
      <c r="S210" s="25"/>
      <c r="T210" s="25"/>
    </row>
    <row r="211" spans="1:20">
      <c r="A211" s="25"/>
      <c r="B211" s="25"/>
      <c r="C211" s="25"/>
      <c r="D211" s="25"/>
      <c r="E211" s="25"/>
      <c r="F211" s="25"/>
      <c r="G211" s="25"/>
      <c r="H211" s="25"/>
      <c r="I211" s="25"/>
      <c r="J211" s="25"/>
      <c r="K211" s="25"/>
      <c r="L211" s="25"/>
      <c r="M211" s="25"/>
      <c r="N211" s="25"/>
      <c r="O211" s="25"/>
      <c r="P211" s="25"/>
      <c r="Q211" s="25"/>
      <c r="R211" s="25"/>
      <c r="S211" s="25"/>
      <c r="T211" s="25"/>
    </row>
    <row r="212" spans="1:20">
      <c r="A212" s="25"/>
      <c r="B212" s="25"/>
      <c r="C212" s="25"/>
      <c r="D212" s="25"/>
      <c r="E212" s="25"/>
      <c r="F212" s="25"/>
      <c r="G212" s="25"/>
      <c r="H212" s="25"/>
      <c r="I212" s="25"/>
      <c r="J212" s="25"/>
      <c r="K212" s="25"/>
      <c r="L212" s="25"/>
      <c r="M212" s="25"/>
      <c r="N212" s="25"/>
      <c r="O212" s="25"/>
      <c r="P212" s="25"/>
      <c r="Q212" s="25"/>
      <c r="R212" s="25"/>
      <c r="S212" s="25"/>
      <c r="T212" s="25"/>
    </row>
    <row r="213" spans="1:20">
      <c r="A213" s="25"/>
      <c r="B213" s="25"/>
      <c r="C213" s="25"/>
      <c r="D213" s="25"/>
      <c r="E213" s="25"/>
      <c r="F213" s="25"/>
      <c r="G213" s="25"/>
      <c r="H213" s="25"/>
      <c r="I213" s="25"/>
      <c r="J213" s="25"/>
      <c r="K213" s="25"/>
      <c r="L213" s="25"/>
      <c r="M213" s="25"/>
      <c r="N213" s="25"/>
      <c r="O213" s="25"/>
      <c r="P213" s="25"/>
      <c r="Q213" s="25"/>
      <c r="R213" s="25"/>
      <c r="S213" s="25"/>
      <c r="T213" s="25"/>
    </row>
    <row r="214" spans="1:20">
      <c r="A214" s="25"/>
      <c r="B214" s="25"/>
      <c r="C214" s="25"/>
      <c r="D214" s="25"/>
      <c r="E214" s="25"/>
      <c r="F214" s="25"/>
      <c r="G214" s="25"/>
      <c r="H214" s="25"/>
      <c r="I214" s="25"/>
      <c r="J214" s="25"/>
      <c r="K214" s="25"/>
      <c r="L214" s="25"/>
      <c r="M214" s="25"/>
      <c r="N214" s="25"/>
      <c r="O214" s="25"/>
      <c r="P214" s="25"/>
      <c r="Q214" s="25"/>
      <c r="R214" s="25"/>
      <c r="S214" s="25"/>
      <c r="T214" s="25"/>
    </row>
    <row r="215" spans="1:20">
      <c r="A215" s="25"/>
      <c r="B215" s="25"/>
      <c r="C215" s="25"/>
      <c r="D215" s="25"/>
      <c r="E215" s="25"/>
      <c r="F215" s="25"/>
      <c r="G215" s="25"/>
      <c r="H215" s="25"/>
      <c r="I215" s="25"/>
      <c r="J215" s="25"/>
      <c r="K215" s="25"/>
      <c r="L215" s="25"/>
      <c r="M215" s="25"/>
      <c r="N215" s="25"/>
      <c r="O215" s="25"/>
      <c r="P215" s="25"/>
      <c r="Q215" s="25"/>
      <c r="R215" s="25"/>
      <c r="S215" s="25"/>
      <c r="T215" s="25"/>
    </row>
    <row r="216" spans="1:20">
      <c r="A216" s="25"/>
      <c r="B216" s="25"/>
      <c r="C216" s="25"/>
      <c r="D216" s="25"/>
      <c r="E216" s="25"/>
      <c r="F216" s="25"/>
      <c r="G216" s="25"/>
      <c r="H216" s="25"/>
      <c r="I216" s="25"/>
      <c r="J216" s="25"/>
      <c r="K216" s="25"/>
      <c r="L216" s="25"/>
      <c r="M216" s="25"/>
      <c r="N216" s="25"/>
      <c r="O216" s="25"/>
      <c r="P216" s="25"/>
      <c r="Q216" s="25"/>
      <c r="R216" s="25"/>
      <c r="S216" s="25"/>
      <c r="T216" s="25"/>
    </row>
    <row r="217" spans="1:20">
      <c r="A217" s="25"/>
      <c r="B217" s="25"/>
      <c r="C217" s="25"/>
      <c r="D217" s="25"/>
      <c r="E217" s="25"/>
      <c r="F217" s="25"/>
      <c r="G217" s="25"/>
      <c r="H217" s="25"/>
      <c r="I217" s="25"/>
      <c r="J217" s="25"/>
      <c r="K217" s="25"/>
      <c r="L217" s="25"/>
      <c r="M217" s="25"/>
      <c r="N217" s="25"/>
      <c r="O217" s="25"/>
      <c r="P217" s="25"/>
      <c r="Q217" s="25"/>
      <c r="R217" s="25"/>
      <c r="S217" s="25"/>
      <c r="T217" s="25"/>
    </row>
    <row r="218" spans="1:20">
      <c r="A218" s="25"/>
      <c r="B218" s="25"/>
      <c r="C218" s="25"/>
      <c r="D218" s="25"/>
      <c r="E218" s="25"/>
      <c r="F218" s="25"/>
      <c r="G218" s="25"/>
      <c r="H218" s="25"/>
      <c r="I218" s="25"/>
      <c r="J218" s="25"/>
      <c r="K218" s="25"/>
      <c r="L218" s="25"/>
      <c r="M218" s="25"/>
      <c r="N218" s="25"/>
      <c r="O218" s="25"/>
      <c r="P218" s="25"/>
      <c r="Q218" s="25"/>
      <c r="R218" s="25"/>
      <c r="S218" s="25"/>
      <c r="T218" s="25"/>
    </row>
    <row r="219" spans="1:20">
      <c r="A219" s="25"/>
      <c r="B219" s="25"/>
      <c r="C219" s="25"/>
      <c r="D219" s="25"/>
      <c r="E219" s="25"/>
      <c r="F219" s="25"/>
      <c r="G219" s="25"/>
      <c r="H219" s="25"/>
      <c r="I219" s="25"/>
      <c r="J219" s="25"/>
      <c r="K219" s="25"/>
      <c r="L219" s="25"/>
      <c r="M219" s="25"/>
      <c r="N219" s="25"/>
      <c r="O219" s="25"/>
      <c r="P219" s="25"/>
      <c r="Q219" s="25"/>
      <c r="R219" s="25"/>
      <c r="S219" s="25"/>
      <c r="T219" s="25"/>
    </row>
    <row r="220" spans="1:20">
      <c r="A220" s="25"/>
      <c r="B220" s="25"/>
      <c r="C220" s="25"/>
      <c r="D220" s="25"/>
      <c r="E220" s="25"/>
      <c r="F220" s="25"/>
      <c r="G220" s="25"/>
      <c r="H220" s="25"/>
      <c r="I220" s="25"/>
      <c r="J220" s="25"/>
      <c r="K220" s="25"/>
      <c r="L220" s="25"/>
      <c r="M220" s="25"/>
      <c r="N220" s="25"/>
      <c r="O220" s="25"/>
      <c r="P220" s="25"/>
      <c r="Q220" s="25"/>
      <c r="R220" s="25"/>
      <c r="S220" s="25"/>
      <c r="T220" s="25"/>
    </row>
    <row r="221" spans="1:20">
      <c r="A221" s="25"/>
      <c r="B221" s="25"/>
      <c r="C221" s="25"/>
      <c r="D221" s="25"/>
      <c r="E221" s="25"/>
      <c r="F221" s="25"/>
      <c r="G221" s="25"/>
      <c r="H221" s="25"/>
      <c r="I221" s="25"/>
      <c r="J221" s="25"/>
      <c r="K221" s="25"/>
      <c r="L221" s="25"/>
      <c r="M221" s="25"/>
      <c r="N221" s="25"/>
      <c r="O221" s="25"/>
      <c r="P221" s="25"/>
      <c r="Q221" s="25"/>
      <c r="R221" s="25"/>
      <c r="S221" s="25"/>
      <c r="T221" s="25"/>
    </row>
    <row r="222" spans="1:20">
      <c r="A222" s="25"/>
      <c r="B222" s="25"/>
      <c r="C222" s="25"/>
      <c r="D222" s="25"/>
      <c r="E222" s="25"/>
      <c r="F222" s="25"/>
      <c r="G222" s="25"/>
      <c r="H222" s="25"/>
      <c r="I222" s="25"/>
      <c r="J222" s="25"/>
      <c r="K222" s="25"/>
      <c r="L222" s="25"/>
      <c r="M222" s="25"/>
      <c r="N222" s="25"/>
      <c r="O222" s="25"/>
      <c r="P222" s="25"/>
      <c r="Q222" s="25"/>
      <c r="R222" s="25"/>
      <c r="S222" s="25"/>
      <c r="T222" s="25"/>
    </row>
    <row r="223" spans="1:20">
      <c r="A223" s="25"/>
      <c r="B223" s="25"/>
      <c r="C223" s="25"/>
      <c r="D223" s="25"/>
      <c r="E223" s="25"/>
      <c r="F223" s="25"/>
      <c r="G223" s="25"/>
      <c r="H223" s="25"/>
      <c r="I223" s="25"/>
      <c r="J223" s="25"/>
      <c r="K223" s="25"/>
      <c r="L223" s="25"/>
      <c r="M223" s="25"/>
      <c r="N223" s="25"/>
      <c r="O223" s="25"/>
      <c r="P223" s="25"/>
      <c r="Q223" s="25"/>
      <c r="R223" s="25"/>
      <c r="S223" s="25"/>
      <c r="T223" s="25"/>
    </row>
    <row r="224" spans="1:20">
      <c r="A224" s="25"/>
      <c r="B224" s="25"/>
      <c r="C224" s="25"/>
      <c r="D224" s="25"/>
      <c r="E224" s="25"/>
      <c r="F224" s="25"/>
      <c r="G224" s="25"/>
      <c r="H224" s="25"/>
      <c r="I224" s="25"/>
      <c r="J224" s="25"/>
      <c r="K224" s="25"/>
      <c r="L224" s="25"/>
      <c r="M224" s="25"/>
      <c r="N224" s="25"/>
      <c r="O224" s="25"/>
      <c r="P224" s="25"/>
      <c r="Q224" s="25"/>
      <c r="R224" s="25"/>
      <c r="S224" s="25"/>
      <c r="T224" s="25"/>
    </row>
    <row r="225" spans="1:20">
      <c r="A225" s="25"/>
      <c r="B225" s="25"/>
      <c r="C225" s="25"/>
      <c r="D225" s="25"/>
      <c r="E225" s="25"/>
      <c r="F225" s="25"/>
      <c r="G225" s="25"/>
      <c r="H225" s="25"/>
      <c r="I225" s="25"/>
      <c r="J225" s="25"/>
      <c r="K225" s="25"/>
      <c r="L225" s="25"/>
      <c r="M225" s="25"/>
      <c r="N225" s="25"/>
      <c r="O225" s="25"/>
      <c r="P225" s="25"/>
      <c r="Q225" s="25"/>
      <c r="R225" s="25"/>
      <c r="S225" s="25"/>
      <c r="T225" s="25"/>
    </row>
    <row r="226" spans="1:20">
      <c r="A226" s="25"/>
      <c r="B226" s="25"/>
      <c r="C226" s="25"/>
      <c r="D226" s="25"/>
      <c r="E226" s="25"/>
      <c r="F226" s="25"/>
      <c r="G226" s="25"/>
      <c r="H226" s="25"/>
      <c r="I226" s="25"/>
      <c r="J226" s="25"/>
      <c r="K226" s="25"/>
      <c r="L226" s="25"/>
      <c r="M226" s="25"/>
      <c r="N226" s="25"/>
      <c r="O226" s="25"/>
      <c r="P226" s="25"/>
      <c r="Q226" s="25"/>
      <c r="R226" s="25"/>
      <c r="S226" s="25"/>
      <c r="T226" s="25"/>
    </row>
    <row r="227" spans="1:20">
      <c r="A227" s="25"/>
      <c r="B227" s="25"/>
      <c r="C227" s="25"/>
      <c r="D227" s="25"/>
      <c r="E227" s="25"/>
      <c r="F227" s="25"/>
      <c r="G227" s="25"/>
      <c r="H227" s="25"/>
      <c r="I227" s="25"/>
      <c r="J227" s="25"/>
      <c r="K227" s="25"/>
      <c r="L227" s="25"/>
      <c r="M227" s="25"/>
      <c r="N227" s="25"/>
      <c r="O227" s="25"/>
      <c r="P227" s="25"/>
      <c r="Q227" s="25"/>
      <c r="R227" s="25"/>
      <c r="S227" s="25"/>
      <c r="T227" s="25"/>
    </row>
    <row r="228" spans="1:20">
      <c r="A228" s="25"/>
      <c r="B228" s="25"/>
      <c r="C228" s="25"/>
      <c r="D228" s="25"/>
      <c r="E228" s="25"/>
      <c r="F228" s="25"/>
      <c r="G228" s="25"/>
      <c r="H228" s="25"/>
      <c r="I228" s="25"/>
      <c r="J228" s="25"/>
      <c r="K228" s="25"/>
      <c r="L228" s="25"/>
      <c r="M228" s="25"/>
      <c r="N228" s="25"/>
      <c r="O228" s="25"/>
      <c r="P228" s="25"/>
      <c r="Q228" s="25"/>
      <c r="R228" s="25"/>
      <c r="S228" s="25"/>
      <c r="T228" s="25"/>
    </row>
    <row r="229" spans="1:20">
      <c r="A229" s="25"/>
      <c r="B229" s="25"/>
      <c r="C229" s="25"/>
      <c r="D229" s="25"/>
      <c r="E229" s="25"/>
      <c r="F229" s="25"/>
      <c r="G229" s="25"/>
      <c r="H229" s="25"/>
      <c r="I229" s="25"/>
      <c r="J229" s="25"/>
      <c r="K229" s="25"/>
      <c r="L229" s="25"/>
      <c r="M229" s="25"/>
      <c r="N229" s="25"/>
      <c r="O229" s="25"/>
      <c r="P229" s="25"/>
      <c r="Q229" s="25"/>
      <c r="R229" s="25"/>
      <c r="S229" s="25"/>
      <c r="T229" s="25"/>
    </row>
    <row r="230" spans="1:20">
      <c r="A230" s="25"/>
      <c r="B230" s="25"/>
      <c r="C230" s="25"/>
      <c r="D230" s="25"/>
      <c r="E230" s="25"/>
      <c r="F230" s="25"/>
      <c r="G230" s="25"/>
      <c r="H230" s="25"/>
      <c r="I230" s="25"/>
      <c r="J230" s="25"/>
      <c r="K230" s="25"/>
      <c r="L230" s="25"/>
      <c r="M230" s="25"/>
      <c r="N230" s="25"/>
      <c r="O230" s="25"/>
      <c r="P230" s="25"/>
      <c r="Q230" s="25"/>
      <c r="R230" s="25"/>
      <c r="S230" s="25"/>
      <c r="T230" s="25"/>
    </row>
    <row r="231" spans="1:20">
      <c r="A231" s="25"/>
      <c r="B231" s="25"/>
      <c r="C231" s="25"/>
      <c r="D231" s="25"/>
      <c r="E231" s="25"/>
      <c r="F231" s="25"/>
      <c r="G231" s="25"/>
      <c r="H231" s="25"/>
      <c r="I231" s="25"/>
      <c r="J231" s="25"/>
      <c r="K231" s="25"/>
      <c r="L231" s="25"/>
      <c r="M231" s="25"/>
      <c r="N231" s="25"/>
      <c r="O231" s="25"/>
      <c r="P231" s="25"/>
      <c r="Q231" s="25"/>
      <c r="R231" s="25"/>
      <c r="S231" s="25"/>
      <c r="T231" s="25"/>
    </row>
    <row r="232" spans="1:20">
      <c r="A232" s="25"/>
      <c r="B232" s="25"/>
      <c r="C232" s="25"/>
      <c r="D232" s="25"/>
      <c r="E232" s="25"/>
      <c r="F232" s="25"/>
      <c r="G232" s="25"/>
      <c r="H232" s="25"/>
      <c r="I232" s="25"/>
      <c r="J232" s="25"/>
      <c r="K232" s="25"/>
      <c r="L232" s="25"/>
      <c r="M232" s="25"/>
      <c r="N232" s="25"/>
      <c r="O232" s="25"/>
      <c r="P232" s="25"/>
      <c r="Q232" s="25"/>
      <c r="R232" s="25"/>
      <c r="S232" s="25"/>
      <c r="T232" s="25"/>
    </row>
    <row r="233" spans="1:20">
      <c r="A233" s="25"/>
      <c r="B233" s="25"/>
      <c r="C233" s="25"/>
      <c r="D233" s="25"/>
      <c r="E233" s="25"/>
      <c r="F233" s="25"/>
      <c r="G233" s="25"/>
      <c r="H233" s="25"/>
      <c r="I233" s="25"/>
      <c r="J233" s="25"/>
      <c r="K233" s="25"/>
      <c r="L233" s="25"/>
      <c r="M233" s="25"/>
      <c r="N233" s="25"/>
      <c r="O233" s="25"/>
      <c r="P233" s="25"/>
      <c r="Q233" s="25"/>
      <c r="R233" s="25"/>
      <c r="S233" s="25"/>
      <c r="T233" s="25"/>
    </row>
    <row r="234" spans="1:20">
      <c r="A234" s="25"/>
      <c r="B234" s="25"/>
      <c r="C234" s="25"/>
      <c r="D234" s="25"/>
      <c r="E234" s="25"/>
      <c r="F234" s="25"/>
      <c r="G234" s="25"/>
      <c r="H234" s="25"/>
      <c r="I234" s="25"/>
      <c r="J234" s="25"/>
      <c r="K234" s="25"/>
      <c r="L234" s="25"/>
      <c r="M234" s="25"/>
      <c r="N234" s="25"/>
      <c r="O234" s="25"/>
      <c r="P234" s="25"/>
      <c r="Q234" s="25"/>
      <c r="R234" s="25"/>
      <c r="S234" s="25"/>
      <c r="T234" s="25"/>
    </row>
    <row r="235" spans="1:20">
      <c r="A235" s="25"/>
      <c r="B235" s="25"/>
      <c r="C235" s="25"/>
      <c r="D235" s="25"/>
      <c r="E235" s="25"/>
      <c r="F235" s="25"/>
      <c r="G235" s="25"/>
      <c r="H235" s="25"/>
      <c r="I235" s="25"/>
      <c r="J235" s="25"/>
      <c r="K235" s="25"/>
      <c r="L235" s="25"/>
      <c r="M235" s="25"/>
      <c r="N235" s="25"/>
      <c r="O235" s="25"/>
      <c r="P235" s="25"/>
      <c r="Q235" s="25"/>
      <c r="R235" s="25"/>
      <c r="S235" s="25"/>
      <c r="T235" s="25"/>
    </row>
    <row r="236" spans="1:20">
      <c r="A236" s="25"/>
      <c r="B236" s="25"/>
      <c r="C236" s="25"/>
      <c r="D236" s="25"/>
      <c r="E236" s="25"/>
      <c r="F236" s="25"/>
      <c r="G236" s="25"/>
      <c r="H236" s="25"/>
      <c r="I236" s="25"/>
      <c r="J236" s="25"/>
      <c r="K236" s="25"/>
      <c r="L236" s="25"/>
      <c r="M236" s="25"/>
      <c r="N236" s="25"/>
      <c r="O236" s="25"/>
      <c r="P236" s="25"/>
      <c r="Q236" s="25"/>
      <c r="R236" s="25"/>
      <c r="S236" s="25"/>
      <c r="T236" s="25"/>
    </row>
    <row r="237" spans="1:20">
      <c r="A237" s="25"/>
      <c r="B237" s="25"/>
      <c r="C237" s="25"/>
      <c r="D237" s="25"/>
      <c r="E237" s="25"/>
      <c r="F237" s="25"/>
      <c r="G237" s="25"/>
      <c r="H237" s="25"/>
      <c r="I237" s="25"/>
      <c r="J237" s="25"/>
      <c r="K237" s="25"/>
      <c r="L237" s="25"/>
      <c r="M237" s="25"/>
      <c r="N237" s="25"/>
      <c r="O237" s="25"/>
      <c r="P237" s="25"/>
      <c r="Q237" s="25"/>
      <c r="R237" s="25"/>
      <c r="S237" s="25"/>
      <c r="T237" s="25"/>
    </row>
    <row r="238" spans="1:20">
      <c r="A238" s="25"/>
      <c r="B238" s="25"/>
      <c r="C238" s="25"/>
      <c r="D238" s="25"/>
      <c r="E238" s="25"/>
      <c r="F238" s="25"/>
      <c r="G238" s="25"/>
      <c r="H238" s="25"/>
      <c r="I238" s="25"/>
      <c r="J238" s="25"/>
      <c r="K238" s="25"/>
      <c r="L238" s="25"/>
      <c r="M238" s="25"/>
      <c r="N238" s="25"/>
      <c r="O238" s="25"/>
      <c r="P238" s="25"/>
      <c r="Q238" s="25"/>
      <c r="R238" s="25"/>
      <c r="S238" s="25"/>
      <c r="T238" s="25"/>
    </row>
    <row r="239" spans="1:20">
      <c r="A239" s="25"/>
      <c r="B239" s="25"/>
      <c r="C239" s="25"/>
      <c r="D239" s="25"/>
      <c r="E239" s="25"/>
      <c r="F239" s="25"/>
      <c r="G239" s="25"/>
      <c r="H239" s="25"/>
      <c r="I239" s="25"/>
      <c r="J239" s="25"/>
      <c r="K239" s="25"/>
      <c r="L239" s="25"/>
      <c r="M239" s="25"/>
      <c r="N239" s="25"/>
      <c r="O239" s="25"/>
      <c r="P239" s="25"/>
      <c r="Q239" s="25"/>
      <c r="R239" s="25"/>
      <c r="S239" s="25"/>
      <c r="T239" s="25"/>
    </row>
    <row r="240" spans="1:20">
      <c r="A240" s="25"/>
      <c r="B240" s="25"/>
      <c r="C240" s="25"/>
      <c r="D240" s="25"/>
      <c r="E240" s="25"/>
      <c r="F240" s="25"/>
      <c r="G240" s="25"/>
      <c r="H240" s="25"/>
      <c r="I240" s="25"/>
      <c r="J240" s="25"/>
      <c r="K240" s="25"/>
      <c r="L240" s="25"/>
      <c r="M240" s="25"/>
      <c r="N240" s="25"/>
      <c r="O240" s="25"/>
      <c r="P240" s="25"/>
      <c r="Q240" s="25"/>
      <c r="R240" s="25"/>
      <c r="S240" s="25"/>
      <c r="T240" s="25"/>
    </row>
    <row r="241" spans="1:20">
      <c r="A241" s="25"/>
      <c r="B241" s="25"/>
      <c r="C241" s="25"/>
      <c r="D241" s="25"/>
      <c r="E241" s="25"/>
      <c r="F241" s="25"/>
      <c r="G241" s="25"/>
      <c r="H241" s="25"/>
      <c r="I241" s="25"/>
      <c r="J241" s="25"/>
      <c r="K241" s="25"/>
      <c r="L241" s="25"/>
      <c r="M241" s="25"/>
      <c r="N241" s="25"/>
      <c r="O241" s="25"/>
      <c r="P241" s="25"/>
      <c r="Q241" s="25"/>
      <c r="R241" s="25"/>
      <c r="S241" s="25"/>
      <c r="T241" s="25"/>
    </row>
    <row r="242" spans="1:20">
      <c r="A242" s="25"/>
      <c r="B242" s="25"/>
      <c r="C242" s="25"/>
      <c r="D242" s="25"/>
      <c r="E242" s="25"/>
      <c r="F242" s="25"/>
      <c r="G242" s="25"/>
      <c r="H242" s="25"/>
      <c r="I242" s="25"/>
      <c r="J242" s="25"/>
      <c r="K242" s="25"/>
      <c r="L242" s="25"/>
      <c r="M242" s="25"/>
      <c r="N242" s="25"/>
      <c r="O242" s="25"/>
      <c r="P242" s="25"/>
      <c r="Q242" s="25"/>
      <c r="R242" s="25"/>
      <c r="S242" s="25"/>
      <c r="T242" s="25"/>
    </row>
    <row r="243" spans="1:20">
      <c r="A243" s="25"/>
      <c r="B243" s="25"/>
      <c r="C243" s="25"/>
      <c r="D243" s="25"/>
      <c r="E243" s="25"/>
      <c r="F243" s="25"/>
      <c r="G243" s="25"/>
      <c r="H243" s="25"/>
      <c r="I243" s="25"/>
      <c r="J243" s="25"/>
      <c r="K243" s="25"/>
      <c r="L243" s="25"/>
      <c r="M243" s="25"/>
      <c r="N243" s="25"/>
      <c r="O243" s="25"/>
      <c r="P243" s="25"/>
      <c r="Q243" s="25"/>
      <c r="R243" s="25"/>
      <c r="S243" s="25"/>
      <c r="T243" s="25"/>
    </row>
    <row r="244" spans="1:20">
      <c r="A244" s="25"/>
      <c r="B244" s="25"/>
      <c r="C244" s="25"/>
      <c r="D244" s="25"/>
      <c r="E244" s="25"/>
      <c r="F244" s="25"/>
      <c r="G244" s="25"/>
      <c r="H244" s="25"/>
      <c r="I244" s="25"/>
      <c r="J244" s="25"/>
      <c r="K244" s="25"/>
      <c r="L244" s="25"/>
      <c r="M244" s="25"/>
      <c r="N244" s="25"/>
      <c r="O244" s="25"/>
      <c r="P244" s="25"/>
      <c r="Q244" s="25"/>
      <c r="R244" s="25"/>
      <c r="S244" s="25"/>
      <c r="T244" s="25"/>
    </row>
    <row r="245" spans="1:20">
      <c r="A245" s="25"/>
      <c r="B245" s="25"/>
      <c r="C245" s="25"/>
      <c r="D245" s="25"/>
      <c r="E245" s="25"/>
      <c r="F245" s="25"/>
      <c r="G245" s="25"/>
      <c r="H245" s="25"/>
      <c r="I245" s="25"/>
      <c r="J245" s="25"/>
      <c r="K245" s="25"/>
      <c r="L245" s="25"/>
      <c r="M245" s="25"/>
      <c r="N245" s="25"/>
      <c r="O245" s="25"/>
      <c r="P245" s="25"/>
      <c r="Q245" s="25"/>
      <c r="R245" s="25"/>
      <c r="S245" s="25"/>
      <c r="T245" s="25"/>
    </row>
    <row r="246" spans="1:20">
      <c r="A246" s="25"/>
      <c r="B246" s="25"/>
      <c r="C246" s="25"/>
      <c r="D246" s="25"/>
      <c r="E246" s="25"/>
      <c r="F246" s="25"/>
      <c r="G246" s="25"/>
      <c r="H246" s="25"/>
      <c r="I246" s="25"/>
      <c r="J246" s="25"/>
      <c r="K246" s="25"/>
      <c r="L246" s="25"/>
      <c r="M246" s="25"/>
      <c r="N246" s="25"/>
      <c r="O246" s="25"/>
      <c r="P246" s="25"/>
      <c r="Q246" s="25"/>
      <c r="R246" s="25"/>
      <c r="S246" s="25"/>
      <c r="T246" s="25"/>
    </row>
    <row r="247" spans="1:20">
      <c r="A247" s="25"/>
      <c r="B247" s="25"/>
      <c r="C247" s="25"/>
      <c r="D247" s="25"/>
      <c r="E247" s="25"/>
      <c r="F247" s="25"/>
      <c r="G247" s="25"/>
      <c r="H247" s="25"/>
      <c r="I247" s="25"/>
      <c r="J247" s="25"/>
      <c r="K247" s="25"/>
      <c r="L247" s="25"/>
      <c r="M247" s="25"/>
      <c r="N247" s="25"/>
      <c r="O247" s="25"/>
      <c r="P247" s="25"/>
      <c r="Q247" s="25"/>
      <c r="R247" s="25"/>
      <c r="S247" s="25"/>
      <c r="T247" s="25"/>
    </row>
    <row r="248" spans="1:20">
      <c r="A248" s="25"/>
      <c r="B248" s="25"/>
      <c r="C248" s="25"/>
      <c r="D248" s="25"/>
      <c r="E248" s="25"/>
      <c r="F248" s="25"/>
      <c r="G248" s="25"/>
      <c r="H248" s="25"/>
      <c r="I248" s="25"/>
      <c r="J248" s="25"/>
      <c r="K248" s="25"/>
      <c r="L248" s="25"/>
      <c r="M248" s="25"/>
      <c r="N248" s="25"/>
      <c r="O248" s="25"/>
      <c r="P248" s="25"/>
      <c r="Q248" s="25"/>
      <c r="R248" s="25"/>
      <c r="S248" s="25"/>
      <c r="T248" s="25"/>
    </row>
    <row r="249" spans="1:20">
      <c r="A249" s="25"/>
      <c r="B249" s="25"/>
      <c r="C249" s="25"/>
      <c r="D249" s="25"/>
      <c r="E249" s="25"/>
      <c r="F249" s="25"/>
      <c r="G249" s="25"/>
      <c r="H249" s="25"/>
      <c r="I249" s="25"/>
      <c r="J249" s="25"/>
      <c r="K249" s="25"/>
      <c r="L249" s="25"/>
      <c r="M249" s="25"/>
      <c r="N249" s="25"/>
      <c r="O249" s="25"/>
      <c r="P249" s="25"/>
      <c r="Q249" s="25"/>
      <c r="R249" s="25"/>
      <c r="S249" s="25"/>
      <c r="T249" s="25"/>
    </row>
    <row r="250" spans="1:20">
      <c r="A250" s="25"/>
      <c r="B250" s="25"/>
      <c r="C250" s="25"/>
      <c r="D250" s="25"/>
      <c r="E250" s="25"/>
      <c r="F250" s="25"/>
      <c r="G250" s="25"/>
      <c r="H250" s="25"/>
      <c r="I250" s="25"/>
      <c r="J250" s="25"/>
      <c r="K250" s="25"/>
      <c r="L250" s="25"/>
      <c r="M250" s="25"/>
      <c r="N250" s="25"/>
      <c r="O250" s="25"/>
      <c r="P250" s="25"/>
      <c r="Q250" s="25"/>
      <c r="R250" s="25"/>
      <c r="S250" s="25"/>
      <c r="T250" s="25"/>
    </row>
    <row r="251" spans="1:20">
      <c r="A251" s="25"/>
      <c r="B251" s="25"/>
      <c r="C251" s="25"/>
      <c r="D251" s="25"/>
      <c r="E251" s="25"/>
      <c r="F251" s="25"/>
      <c r="G251" s="25"/>
      <c r="H251" s="25"/>
      <c r="I251" s="25"/>
      <c r="J251" s="25"/>
      <c r="K251" s="25"/>
      <c r="L251" s="25"/>
      <c r="M251" s="25"/>
      <c r="N251" s="25"/>
      <c r="O251" s="25"/>
      <c r="P251" s="25"/>
      <c r="Q251" s="25"/>
      <c r="R251" s="25"/>
      <c r="S251" s="25"/>
      <c r="T251" s="25"/>
    </row>
    <row r="252" spans="1:20">
      <c r="A252" s="25"/>
      <c r="B252" s="25"/>
      <c r="C252" s="25"/>
      <c r="D252" s="25"/>
      <c r="E252" s="25"/>
      <c r="F252" s="25"/>
      <c r="G252" s="25"/>
      <c r="H252" s="25"/>
      <c r="I252" s="25"/>
      <c r="J252" s="25"/>
      <c r="K252" s="25"/>
      <c r="L252" s="25"/>
      <c r="M252" s="25"/>
      <c r="N252" s="25"/>
      <c r="O252" s="25"/>
      <c r="P252" s="25"/>
      <c r="Q252" s="25"/>
      <c r="R252" s="25"/>
      <c r="S252" s="25"/>
      <c r="T252" s="25"/>
    </row>
    <row r="253" spans="1:20">
      <c r="A253" s="25"/>
      <c r="B253" s="25"/>
      <c r="C253" s="25"/>
      <c r="D253" s="25"/>
      <c r="E253" s="25"/>
      <c r="F253" s="25"/>
      <c r="G253" s="25"/>
      <c r="H253" s="25"/>
      <c r="I253" s="25"/>
      <c r="J253" s="25"/>
      <c r="K253" s="25"/>
      <c r="L253" s="25"/>
      <c r="M253" s="25"/>
      <c r="N253" s="25"/>
      <c r="O253" s="25"/>
      <c r="P253" s="25"/>
      <c r="Q253" s="25"/>
      <c r="R253" s="25"/>
      <c r="S253" s="25"/>
      <c r="T253" s="25"/>
    </row>
    <row r="254" spans="1:20">
      <c r="A254" s="25"/>
      <c r="B254" s="25"/>
      <c r="C254" s="25"/>
      <c r="D254" s="25"/>
      <c r="E254" s="25"/>
      <c r="F254" s="25"/>
      <c r="G254" s="25"/>
      <c r="H254" s="25"/>
      <c r="I254" s="25"/>
      <c r="J254" s="25"/>
      <c r="K254" s="25"/>
      <c r="L254" s="25"/>
      <c r="M254" s="25"/>
      <c r="N254" s="25"/>
      <c r="O254" s="25"/>
      <c r="P254" s="25"/>
      <c r="Q254" s="25"/>
      <c r="R254" s="25"/>
      <c r="S254" s="25"/>
      <c r="T254" s="25"/>
    </row>
    <row r="255" spans="1:20">
      <c r="A255" s="25"/>
      <c r="B255" s="25"/>
      <c r="C255" s="25"/>
      <c r="D255" s="25"/>
      <c r="E255" s="25"/>
      <c r="F255" s="25"/>
      <c r="G255" s="25"/>
      <c r="H255" s="25"/>
      <c r="I255" s="25"/>
      <c r="J255" s="25"/>
      <c r="K255" s="25"/>
      <c r="L255" s="25"/>
      <c r="M255" s="25"/>
      <c r="N255" s="25"/>
      <c r="O255" s="25"/>
      <c r="P255" s="25"/>
      <c r="Q255" s="25"/>
      <c r="R255" s="25"/>
      <c r="S255" s="25"/>
      <c r="T255" s="25"/>
    </row>
    <row r="256" spans="1:20">
      <c r="A256" s="25"/>
      <c r="B256" s="25"/>
      <c r="C256" s="25"/>
      <c r="D256" s="25"/>
      <c r="E256" s="25"/>
      <c r="F256" s="25"/>
      <c r="G256" s="25"/>
      <c r="H256" s="25"/>
      <c r="I256" s="25"/>
      <c r="J256" s="25"/>
      <c r="K256" s="25"/>
      <c r="L256" s="25"/>
      <c r="M256" s="25"/>
      <c r="N256" s="25"/>
      <c r="O256" s="25"/>
      <c r="P256" s="25"/>
      <c r="Q256" s="25"/>
      <c r="R256" s="25"/>
      <c r="S256" s="25"/>
      <c r="T256" s="25"/>
    </row>
    <row r="257" spans="1:20">
      <c r="A257" s="25"/>
      <c r="B257" s="25"/>
      <c r="C257" s="25"/>
      <c r="D257" s="25"/>
      <c r="E257" s="25"/>
      <c r="F257" s="25"/>
      <c r="G257" s="25"/>
      <c r="H257" s="25"/>
      <c r="I257" s="25"/>
      <c r="J257" s="25"/>
      <c r="K257" s="25"/>
      <c r="L257" s="25"/>
      <c r="M257" s="25"/>
      <c r="N257" s="25"/>
      <c r="O257" s="25"/>
      <c r="P257" s="25"/>
      <c r="Q257" s="25"/>
      <c r="R257" s="25"/>
      <c r="S257" s="25"/>
      <c r="T257" s="25"/>
    </row>
    <row r="258" spans="1:20">
      <c r="A258" s="25"/>
      <c r="B258" s="25"/>
      <c r="C258" s="25"/>
      <c r="D258" s="25"/>
      <c r="E258" s="25"/>
      <c r="F258" s="25"/>
      <c r="G258" s="25"/>
      <c r="H258" s="25"/>
      <c r="I258" s="25"/>
      <c r="J258" s="25"/>
      <c r="K258" s="25"/>
      <c r="L258" s="25"/>
      <c r="M258" s="25"/>
      <c r="N258" s="25"/>
      <c r="O258" s="25"/>
      <c r="P258" s="25"/>
      <c r="Q258" s="25"/>
      <c r="R258" s="25"/>
      <c r="S258" s="25"/>
      <c r="T258" s="25"/>
    </row>
    <row r="259" spans="1:20">
      <c r="A259" s="25"/>
      <c r="B259" s="25"/>
      <c r="C259" s="25"/>
      <c r="D259" s="25"/>
      <c r="E259" s="25"/>
      <c r="F259" s="25"/>
      <c r="G259" s="25"/>
      <c r="H259" s="25"/>
      <c r="I259" s="25"/>
      <c r="J259" s="25"/>
      <c r="K259" s="25"/>
      <c r="L259" s="25"/>
      <c r="M259" s="25"/>
      <c r="N259" s="25"/>
      <c r="O259" s="25"/>
      <c r="P259" s="25"/>
      <c r="Q259" s="25"/>
      <c r="R259" s="25"/>
      <c r="S259" s="25"/>
      <c r="T259" s="25"/>
    </row>
    <row r="260" spans="1:20">
      <c r="A260" s="25"/>
      <c r="B260" s="25"/>
      <c r="C260" s="25"/>
      <c r="D260" s="25"/>
      <c r="E260" s="25"/>
      <c r="F260" s="25"/>
      <c r="G260" s="25"/>
      <c r="H260" s="25"/>
      <c r="I260" s="25"/>
      <c r="J260" s="25"/>
      <c r="K260" s="25"/>
      <c r="L260" s="25"/>
      <c r="M260" s="25"/>
      <c r="N260" s="25"/>
      <c r="O260" s="25"/>
      <c r="P260" s="25"/>
      <c r="Q260" s="25"/>
      <c r="R260" s="25"/>
      <c r="S260" s="25"/>
      <c r="T260" s="25"/>
    </row>
    <row r="261" spans="1:20">
      <c r="A261" s="25"/>
      <c r="B261" s="25"/>
      <c r="C261" s="25"/>
      <c r="D261" s="25"/>
      <c r="E261" s="25"/>
      <c r="F261" s="25"/>
      <c r="G261" s="25"/>
      <c r="H261" s="25"/>
      <c r="I261" s="25"/>
      <c r="J261" s="25"/>
      <c r="K261" s="25"/>
      <c r="L261" s="25"/>
      <c r="M261" s="25"/>
      <c r="N261" s="25"/>
      <c r="O261" s="25"/>
      <c r="P261" s="25"/>
      <c r="Q261" s="25"/>
      <c r="R261" s="25"/>
      <c r="S261" s="25"/>
      <c r="T261" s="25"/>
    </row>
    <row r="262" spans="1:20">
      <c r="A262" s="25"/>
      <c r="B262" s="25"/>
      <c r="C262" s="25"/>
      <c r="D262" s="25"/>
      <c r="E262" s="25"/>
      <c r="F262" s="25"/>
      <c r="G262" s="25"/>
      <c r="H262" s="25"/>
      <c r="I262" s="25"/>
      <c r="J262" s="25"/>
      <c r="K262" s="25"/>
      <c r="L262" s="25"/>
      <c r="M262" s="25"/>
      <c r="N262" s="25"/>
      <c r="O262" s="25"/>
      <c r="P262" s="25"/>
      <c r="Q262" s="25"/>
      <c r="R262" s="25"/>
      <c r="S262" s="25"/>
      <c r="T262" s="25"/>
    </row>
    <row r="263" spans="1:20">
      <c r="A263" s="25"/>
      <c r="B263" s="25"/>
      <c r="C263" s="25"/>
      <c r="D263" s="25"/>
      <c r="E263" s="25"/>
      <c r="F263" s="25"/>
      <c r="G263" s="25"/>
      <c r="H263" s="25"/>
      <c r="I263" s="25"/>
      <c r="J263" s="25"/>
      <c r="K263" s="25"/>
      <c r="L263" s="25"/>
      <c r="M263" s="25"/>
      <c r="N263" s="25"/>
      <c r="O263" s="25"/>
      <c r="P263" s="25"/>
      <c r="Q263" s="25"/>
      <c r="R263" s="25"/>
      <c r="S263" s="25"/>
      <c r="T263" s="25"/>
    </row>
    <row r="264" spans="1:20">
      <c r="A264" s="25"/>
      <c r="B264" s="25"/>
      <c r="C264" s="25"/>
      <c r="D264" s="25"/>
      <c r="E264" s="25"/>
      <c r="F264" s="25"/>
      <c r="G264" s="25"/>
      <c r="H264" s="25"/>
      <c r="I264" s="25"/>
      <c r="J264" s="25"/>
      <c r="K264" s="25"/>
      <c r="L264" s="25"/>
      <c r="M264" s="25"/>
      <c r="N264" s="25"/>
      <c r="O264" s="25"/>
      <c r="P264" s="25"/>
      <c r="Q264" s="25"/>
      <c r="R264" s="25"/>
      <c r="S264" s="25"/>
      <c r="T264" s="25"/>
    </row>
    <row r="265" spans="1:20">
      <c r="A265" s="25"/>
      <c r="B265" s="25"/>
      <c r="C265" s="25"/>
      <c r="D265" s="25"/>
      <c r="E265" s="25"/>
      <c r="F265" s="25"/>
      <c r="G265" s="25"/>
      <c r="H265" s="25"/>
      <c r="I265" s="25"/>
      <c r="J265" s="25"/>
      <c r="K265" s="25"/>
      <c r="L265" s="25"/>
      <c r="M265" s="25"/>
      <c r="N265" s="25"/>
      <c r="O265" s="25"/>
      <c r="P265" s="25"/>
      <c r="Q265" s="25"/>
      <c r="R265" s="25"/>
      <c r="S265" s="25"/>
      <c r="T265" s="25"/>
    </row>
    <row r="266" spans="1:20">
      <c r="A266" s="25"/>
      <c r="B266" s="25"/>
      <c r="C266" s="25"/>
      <c r="D266" s="25"/>
      <c r="E266" s="25"/>
      <c r="F266" s="25"/>
      <c r="G266" s="25"/>
      <c r="H266" s="25"/>
      <c r="I266" s="25"/>
      <c r="J266" s="25"/>
      <c r="K266" s="25"/>
      <c r="L266" s="25"/>
      <c r="M266" s="25"/>
      <c r="N266" s="25"/>
      <c r="O266" s="25"/>
      <c r="P266" s="25"/>
      <c r="Q266" s="25"/>
      <c r="R266" s="25"/>
      <c r="S266" s="25"/>
      <c r="T266" s="25"/>
    </row>
    <row r="267" spans="1:20">
      <c r="A267" s="25"/>
      <c r="B267" s="25"/>
      <c r="C267" s="25"/>
      <c r="D267" s="25"/>
      <c r="E267" s="25"/>
      <c r="F267" s="25"/>
      <c r="G267" s="25"/>
      <c r="H267" s="25"/>
      <c r="I267" s="25"/>
      <c r="J267" s="25"/>
      <c r="K267" s="25"/>
      <c r="L267" s="25"/>
      <c r="M267" s="25"/>
      <c r="N267" s="25"/>
      <c r="O267" s="25"/>
      <c r="P267" s="25"/>
      <c r="Q267" s="25"/>
      <c r="R267" s="25"/>
      <c r="S267" s="25"/>
      <c r="T267" s="25"/>
    </row>
    <row r="268" spans="1:20">
      <c r="A268" s="25"/>
      <c r="B268" s="25"/>
      <c r="C268" s="25"/>
      <c r="D268" s="25"/>
      <c r="E268" s="25"/>
      <c r="F268" s="25"/>
      <c r="G268" s="25"/>
      <c r="H268" s="25"/>
      <c r="I268" s="25"/>
      <c r="J268" s="25"/>
      <c r="K268" s="25"/>
      <c r="L268" s="25"/>
      <c r="M268" s="25"/>
      <c r="N268" s="25"/>
      <c r="O268" s="25"/>
      <c r="P268" s="25"/>
      <c r="Q268" s="25"/>
      <c r="R268" s="25"/>
      <c r="S268" s="25"/>
      <c r="T268" s="25"/>
    </row>
    <row r="269" spans="1:20">
      <c r="A269" s="25"/>
      <c r="B269" s="25"/>
      <c r="C269" s="25"/>
      <c r="D269" s="25"/>
      <c r="E269" s="25"/>
      <c r="F269" s="25"/>
      <c r="G269" s="25"/>
      <c r="H269" s="25"/>
      <c r="I269" s="25"/>
      <c r="J269" s="25"/>
      <c r="K269" s="25"/>
      <c r="L269" s="25"/>
      <c r="M269" s="25"/>
      <c r="N269" s="25"/>
      <c r="O269" s="25"/>
      <c r="P269" s="25"/>
      <c r="Q269" s="25"/>
      <c r="R269" s="25"/>
      <c r="S269" s="25"/>
      <c r="T269" s="25"/>
    </row>
    <row r="270" spans="1:20">
      <c r="A270" s="25"/>
      <c r="B270" s="25"/>
      <c r="C270" s="25"/>
      <c r="D270" s="25"/>
      <c r="E270" s="25"/>
      <c r="F270" s="25"/>
      <c r="G270" s="25"/>
      <c r="H270" s="25"/>
      <c r="I270" s="25"/>
      <c r="J270" s="25"/>
      <c r="K270" s="25"/>
      <c r="L270" s="25"/>
      <c r="M270" s="25"/>
      <c r="N270" s="25"/>
      <c r="O270" s="25"/>
      <c r="P270" s="25"/>
      <c r="Q270" s="25"/>
      <c r="R270" s="25"/>
      <c r="S270" s="25"/>
      <c r="T270" s="25"/>
    </row>
    <row r="271" spans="1:20">
      <c r="A271" s="25"/>
      <c r="B271" s="25"/>
      <c r="C271" s="25"/>
      <c r="D271" s="25"/>
      <c r="E271" s="25"/>
      <c r="F271" s="25"/>
      <c r="G271" s="25"/>
      <c r="H271" s="25"/>
      <c r="I271" s="25"/>
      <c r="J271" s="25"/>
      <c r="K271" s="25"/>
      <c r="L271" s="25"/>
      <c r="M271" s="25"/>
      <c r="N271" s="25"/>
      <c r="O271" s="25"/>
      <c r="P271" s="25"/>
      <c r="Q271" s="25"/>
      <c r="R271" s="25"/>
      <c r="S271" s="25"/>
      <c r="T271" s="25"/>
    </row>
    <row r="272" spans="1:20">
      <c r="A272" s="25"/>
      <c r="B272" s="25"/>
      <c r="C272" s="25"/>
      <c r="D272" s="25"/>
      <c r="E272" s="25"/>
      <c r="F272" s="25"/>
      <c r="G272" s="25"/>
      <c r="H272" s="25"/>
      <c r="I272" s="25"/>
      <c r="J272" s="25"/>
      <c r="K272" s="25"/>
      <c r="L272" s="25"/>
      <c r="M272" s="25"/>
      <c r="N272" s="25"/>
      <c r="O272" s="25"/>
      <c r="P272" s="25"/>
      <c r="Q272" s="25"/>
      <c r="R272" s="25"/>
      <c r="S272" s="25"/>
      <c r="T272" s="25"/>
    </row>
    <row r="273" spans="1:20">
      <c r="A273" s="25"/>
      <c r="B273" s="25"/>
      <c r="C273" s="25"/>
      <c r="D273" s="25"/>
      <c r="E273" s="25"/>
      <c r="F273" s="25"/>
      <c r="G273" s="25"/>
      <c r="H273" s="25"/>
      <c r="I273" s="25"/>
      <c r="J273" s="25"/>
      <c r="K273" s="25"/>
      <c r="L273" s="25"/>
      <c r="M273" s="25"/>
      <c r="N273" s="25"/>
      <c r="O273" s="25"/>
      <c r="P273" s="25"/>
      <c r="Q273" s="25"/>
      <c r="R273" s="25"/>
      <c r="S273" s="25"/>
      <c r="T273" s="25"/>
    </row>
    <row r="274" spans="1:20">
      <c r="A274" s="25"/>
      <c r="B274" s="25"/>
      <c r="C274" s="25"/>
      <c r="D274" s="25"/>
      <c r="E274" s="25"/>
      <c r="F274" s="25"/>
      <c r="G274" s="25"/>
      <c r="H274" s="25"/>
      <c r="I274" s="25"/>
      <c r="J274" s="25"/>
      <c r="K274" s="25"/>
      <c r="L274" s="25"/>
      <c r="M274" s="25"/>
      <c r="N274" s="25"/>
      <c r="O274" s="25"/>
      <c r="P274" s="25"/>
      <c r="Q274" s="25"/>
      <c r="R274" s="25"/>
      <c r="S274" s="25"/>
      <c r="T274" s="25"/>
    </row>
    <row r="275" spans="1:20">
      <c r="A275" s="25"/>
      <c r="B275" s="25"/>
      <c r="C275" s="25"/>
      <c r="D275" s="25"/>
      <c r="E275" s="25"/>
      <c r="F275" s="25"/>
      <c r="G275" s="25"/>
      <c r="H275" s="25"/>
      <c r="I275" s="25"/>
      <c r="J275" s="25"/>
      <c r="K275" s="25"/>
      <c r="L275" s="25"/>
      <c r="M275" s="25"/>
      <c r="N275" s="25"/>
      <c r="O275" s="25"/>
      <c r="P275" s="25"/>
      <c r="Q275" s="25"/>
      <c r="R275" s="25"/>
      <c r="S275" s="25"/>
      <c r="T275" s="25"/>
    </row>
    <row r="276" spans="1:20">
      <c r="A276" s="25"/>
      <c r="B276" s="25"/>
      <c r="C276" s="25"/>
      <c r="D276" s="25"/>
      <c r="E276" s="25"/>
      <c r="F276" s="25"/>
      <c r="G276" s="25"/>
      <c r="H276" s="25"/>
      <c r="I276" s="25"/>
      <c r="J276" s="25"/>
      <c r="K276" s="25"/>
      <c r="L276" s="25"/>
      <c r="M276" s="25"/>
      <c r="N276" s="25"/>
      <c r="O276" s="25"/>
      <c r="P276" s="25"/>
      <c r="Q276" s="25"/>
      <c r="R276" s="25"/>
      <c r="S276" s="25"/>
      <c r="T276" s="25"/>
    </row>
    <row r="277" spans="1:20">
      <c r="A277" s="25"/>
      <c r="B277" s="25"/>
      <c r="C277" s="25"/>
      <c r="D277" s="25"/>
      <c r="E277" s="25"/>
      <c r="F277" s="25"/>
      <c r="G277" s="25"/>
      <c r="H277" s="25"/>
      <c r="I277" s="25"/>
      <c r="J277" s="25"/>
      <c r="K277" s="25"/>
      <c r="L277" s="25"/>
      <c r="M277" s="25"/>
      <c r="N277" s="25"/>
      <c r="O277" s="25"/>
      <c r="P277" s="25"/>
      <c r="Q277" s="25"/>
      <c r="R277" s="25"/>
      <c r="S277" s="25"/>
      <c r="T277" s="25"/>
    </row>
    <row r="278" spans="1:20">
      <c r="A278" s="25"/>
      <c r="B278" s="25"/>
      <c r="C278" s="25"/>
      <c r="D278" s="25"/>
      <c r="E278" s="25"/>
      <c r="F278" s="25"/>
      <c r="G278" s="25"/>
      <c r="H278" s="25"/>
      <c r="I278" s="25"/>
      <c r="J278" s="25"/>
      <c r="K278" s="25"/>
      <c r="L278" s="25"/>
      <c r="M278" s="25"/>
      <c r="N278" s="25"/>
      <c r="O278" s="25"/>
      <c r="P278" s="25"/>
      <c r="Q278" s="25"/>
      <c r="R278" s="25"/>
      <c r="S278" s="25"/>
      <c r="T278" s="25"/>
    </row>
    <row r="279" spans="1:20">
      <c r="A279" s="25"/>
      <c r="B279" s="25"/>
      <c r="C279" s="25"/>
      <c r="D279" s="25"/>
      <c r="E279" s="25"/>
      <c r="F279" s="25"/>
      <c r="G279" s="25"/>
      <c r="H279" s="25"/>
      <c r="I279" s="25"/>
      <c r="J279" s="25"/>
      <c r="K279" s="25"/>
      <c r="L279" s="25"/>
      <c r="M279" s="25"/>
      <c r="N279" s="25"/>
      <c r="O279" s="25"/>
      <c r="P279" s="25"/>
      <c r="Q279" s="25"/>
      <c r="R279" s="25"/>
      <c r="S279" s="25"/>
      <c r="T279" s="25"/>
    </row>
    <row r="280" spans="1:20">
      <c r="A280" s="25"/>
      <c r="B280" s="25"/>
      <c r="C280" s="25"/>
      <c r="D280" s="25"/>
      <c r="E280" s="25"/>
      <c r="F280" s="25"/>
      <c r="G280" s="25"/>
      <c r="H280" s="25"/>
      <c r="I280" s="25"/>
      <c r="J280" s="25"/>
      <c r="K280" s="25"/>
      <c r="L280" s="25"/>
      <c r="M280" s="25"/>
      <c r="N280" s="25"/>
      <c r="O280" s="25"/>
      <c r="P280" s="25"/>
      <c r="Q280" s="25"/>
      <c r="R280" s="25"/>
      <c r="S280" s="25"/>
      <c r="T280" s="25"/>
    </row>
    <row r="281" spans="1:20">
      <c r="A281" s="25"/>
      <c r="B281" s="25"/>
      <c r="C281" s="25"/>
      <c r="D281" s="25"/>
      <c r="E281" s="25"/>
      <c r="F281" s="25"/>
      <c r="G281" s="25"/>
      <c r="H281" s="25"/>
      <c r="I281" s="25"/>
      <c r="J281" s="25"/>
      <c r="K281" s="25"/>
      <c r="L281" s="25"/>
      <c r="M281" s="25"/>
      <c r="N281" s="25"/>
      <c r="O281" s="25"/>
      <c r="P281" s="25"/>
      <c r="Q281" s="25"/>
      <c r="R281" s="25"/>
      <c r="S281" s="25"/>
      <c r="T281" s="25"/>
    </row>
    <row r="282" spans="1:20">
      <c r="A282" s="25"/>
      <c r="B282" s="25"/>
      <c r="C282" s="25"/>
      <c r="D282" s="25"/>
      <c r="E282" s="25"/>
      <c r="F282" s="25"/>
      <c r="G282" s="25"/>
      <c r="H282" s="25"/>
      <c r="I282" s="25"/>
      <c r="J282" s="25"/>
      <c r="K282" s="25"/>
      <c r="L282" s="25"/>
      <c r="M282" s="25"/>
      <c r="N282" s="25"/>
      <c r="O282" s="25"/>
      <c r="P282" s="25"/>
      <c r="Q282" s="25"/>
      <c r="R282" s="25"/>
      <c r="S282" s="25"/>
      <c r="T282" s="25"/>
    </row>
    <row r="283" spans="1:20">
      <c r="A283" s="25"/>
      <c r="B283" s="25"/>
      <c r="C283" s="25"/>
      <c r="D283" s="25"/>
      <c r="E283" s="25"/>
      <c r="F283" s="25"/>
      <c r="G283" s="25"/>
      <c r="H283" s="25"/>
      <c r="I283" s="25"/>
      <c r="J283" s="25"/>
      <c r="K283" s="25"/>
      <c r="L283" s="25"/>
      <c r="M283" s="25"/>
      <c r="N283" s="25"/>
      <c r="O283" s="25"/>
      <c r="P283" s="25"/>
      <c r="Q283" s="25"/>
      <c r="R283" s="25"/>
      <c r="S283" s="25"/>
      <c r="T283" s="25"/>
    </row>
    <row r="284" spans="1:20">
      <c r="A284" s="25"/>
      <c r="B284" s="25"/>
      <c r="C284" s="25"/>
      <c r="D284" s="25"/>
      <c r="E284" s="25"/>
      <c r="F284" s="25"/>
      <c r="G284" s="25"/>
      <c r="H284" s="25"/>
      <c r="I284" s="25"/>
      <c r="J284" s="25"/>
      <c r="K284" s="25"/>
      <c r="L284" s="25"/>
      <c r="M284" s="25"/>
      <c r="N284" s="25"/>
      <c r="O284" s="25"/>
      <c r="P284" s="25"/>
      <c r="Q284" s="25"/>
      <c r="R284" s="25"/>
      <c r="S284" s="25"/>
      <c r="T284" s="25"/>
    </row>
    <row r="285" spans="1:20">
      <c r="A285" s="25"/>
      <c r="B285" s="25"/>
      <c r="C285" s="25"/>
      <c r="D285" s="25"/>
      <c r="E285" s="25"/>
      <c r="F285" s="25"/>
      <c r="G285" s="25"/>
      <c r="H285" s="25"/>
      <c r="I285" s="25"/>
      <c r="J285" s="25"/>
      <c r="K285" s="25"/>
      <c r="L285" s="25"/>
      <c r="M285" s="25"/>
      <c r="N285" s="25"/>
      <c r="O285" s="25"/>
      <c r="P285" s="25"/>
      <c r="Q285" s="25"/>
      <c r="R285" s="25"/>
      <c r="S285" s="25"/>
      <c r="T285" s="25"/>
    </row>
    <row r="286" spans="1:20">
      <c r="A286" s="25"/>
      <c r="B286" s="25"/>
      <c r="C286" s="25"/>
      <c r="D286" s="25"/>
      <c r="E286" s="25"/>
      <c r="F286" s="25"/>
      <c r="G286" s="25"/>
      <c r="H286" s="25"/>
      <c r="I286" s="25"/>
      <c r="J286" s="25"/>
      <c r="K286" s="25"/>
      <c r="L286" s="25"/>
      <c r="M286" s="25"/>
      <c r="N286" s="25"/>
      <c r="O286" s="25"/>
      <c r="P286" s="25"/>
      <c r="Q286" s="25"/>
      <c r="R286" s="25"/>
      <c r="S286" s="25"/>
      <c r="T286" s="25"/>
    </row>
    <row r="287" spans="1:20">
      <c r="A287" s="25"/>
      <c r="B287" s="25"/>
      <c r="C287" s="25"/>
      <c r="D287" s="25"/>
      <c r="E287" s="25"/>
      <c r="F287" s="25"/>
      <c r="G287" s="25"/>
      <c r="H287" s="25"/>
      <c r="I287" s="25"/>
      <c r="J287" s="25"/>
      <c r="K287" s="25"/>
      <c r="L287" s="25"/>
      <c r="M287" s="25"/>
      <c r="N287" s="25"/>
      <c r="O287" s="25"/>
      <c r="P287" s="25"/>
      <c r="Q287" s="25"/>
      <c r="R287" s="25"/>
      <c r="S287" s="25"/>
      <c r="T287" s="25"/>
    </row>
    <row r="288" spans="1:20">
      <c r="A288" s="25"/>
      <c r="B288" s="25"/>
      <c r="C288" s="25"/>
      <c r="D288" s="25"/>
      <c r="E288" s="25"/>
      <c r="F288" s="25"/>
      <c r="G288" s="25"/>
      <c r="H288" s="25"/>
      <c r="I288" s="25"/>
      <c r="J288" s="25"/>
      <c r="K288" s="25"/>
      <c r="L288" s="25"/>
      <c r="M288" s="25"/>
      <c r="N288" s="25"/>
      <c r="O288" s="25"/>
      <c r="P288" s="25"/>
      <c r="Q288" s="25"/>
      <c r="R288" s="25"/>
      <c r="S288" s="25"/>
      <c r="T288" s="25"/>
    </row>
    <row r="289" spans="1:20">
      <c r="A289" s="25"/>
      <c r="B289" s="25"/>
      <c r="C289" s="25"/>
      <c r="D289" s="25"/>
      <c r="E289" s="25"/>
      <c r="F289" s="25"/>
      <c r="G289" s="25"/>
      <c r="H289" s="25"/>
      <c r="I289" s="25"/>
      <c r="J289" s="25"/>
      <c r="K289" s="25"/>
      <c r="L289" s="25"/>
      <c r="M289" s="25"/>
      <c r="N289" s="25"/>
      <c r="O289" s="25"/>
      <c r="P289" s="25"/>
      <c r="Q289" s="25"/>
      <c r="R289" s="25"/>
      <c r="S289" s="25"/>
      <c r="T289" s="25"/>
    </row>
    <row r="290" spans="1:20">
      <c r="A290" s="25"/>
      <c r="B290" s="25"/>
      <c r="C290" s="25"/>
      <c r="D290" s="25"/>
      <c r="E290" s="25"/>
      <c r="F290" s="25"/>
      <c r="G290" s="25"/>
      <c r="H290" s="25"/>
      <c r="I290" s="25"/>
      <c r="J290" s="25"/>
      <c r="K290" s="25"/>
      <c r="L290" s="25"/>
      <c r="M290" s="25"/>
      <c r="N290" s="25"/>
      <c r="O290" s="25"/>
      <c r="P290" s="25"/>
      <c r="Q290" s="25"/>
      <c r="R290" s="25"/>
      <c r="S290" s="25"/>
      <c r="T290" s="25"/>
    </row>
    <row r="291" spans="1:20">
      <c r="A291" s="25"/>
      <c r="B291" s="25"/>
      <c r="C291" s="25"/>
      <c r="D291" s="25"/>
      <c r="E291" s="25"/>
      <c r="F291" s="25"/>
      <c r="G291" s="25"/>
      <c r="H291" s="25"/>
      <c r="I291" s="25"/>
      <c r="J291" s="25"/>
      <c r="K291" s="25"/>
      <c r="L291" s="25"/>
      <c r="M291" s="25"/>
      <c r="N291" s="25"/>
      <c r="O291" s="25"/>
      <c r="P291" s="25"/>
      <c r="Q291" s="25"/>
      <c r="R291" s="25"/>
      <c r="S291" s="25"/>
      <c r="T291" s="25"/>
    </row>
    <row r="292" spans="1:20">
      <c r="A292" s="25"/>
      <c r="B292" s="25"/>
      <c r="C292" s="25"/>
      <c r="D292" s="25"/>
      <c r="E292" s="25"/>
      <c r="F292" s="25"/>
      <c r="G292" s="25"/>
      <c r="H292" s="25"/>
      <c r="I292" s="25"/>
      <c r="J292" s="25"/>
      <c r="K292" s="25"/>
      <c r="L292" s="25"/>
      <c r="M292" s="25"/>
      <c r="N292" s="25"/>
      <c r="O292" s="25"/>
      <c r="P292" s="25"/>
      <c r="Q292" s="25"/>
      <c r="R292" s="25"/>
      <c r="S292" s="25"/>
      <c r="T292" s="25"/>
    </row>
    <row r="293" spans="1:20">
      <c r="A293" s="25"/>
      <c r="B293" s="25"/>
      <c r="C293" s="25"/>
      <c r="D293" s="25"/>
      <c r="E293" s="25"/>
      <c r="F293" s="25"/>
      <c r="G293" s="25"/>
      <c r="H293" s="25"/>
      <c r="I293" s="25"/>
      <c r="J293" s="25"/>
      <c r="K293" s="25"/>
      <c r="L293" s="25"/>
      <c r="M293" s="25"/>
      <c r="N293" s="25"/>
      <c r="O293" s="25"/>
      <c r="P293" s="25"/>
      <c r="Q293" s="25"/>
      <c r="R293" s="25"/>
      <c r="S293" s="25"/>
      <c r="T293" s="25"/>
    </row>
    <row r="294" spans="1:20">
      <c r="A294" s="25"/>
      <c r="B294" s="25"/>
      <c r="C294" s="25"/>
      <c r="D294" s="25"/>
      <c r="E294" s="25"/>
      <c r="F294" s="25"/>
      <c r="G294" s="25"/>
      <c r="H294" s="25"/>
      <c r="I294" s="25"/>
      <c r="J294" s="25"/>
      <c r="K294" s="25"/>
      <c r="L294" s="25"/>
      <c r="M294" s="25"/>
      <c r="N294" s="25"/>
      <c r="O294" s="25"/>
      <c r="P294" s="25"/>
      <c r="Q294" s="25"/>
      <c r="R294" s="25"/>
      <c r="S294" s="25"/>
      <c r="T294" s="25"/>
    </row>
    <row r="295" spans="1:20">
      <c r="A295" s="25"/>
      <c r="B295" s="25"/>
      <c r="C295" s="25"/>
      <c r="D295" s="25"/>
      <c r="E295" s="25"/>
      <c r="F295" s="25"/>
      <c r="G295" s="25"/>
      <c r="H295" s="25"/>
      <c r="I295" s="25"/>
      <c r="J295" s="25"/>
      <c r="K295" s="25"/>
      <c r="L295" s="25"/>
      <c r="M295" s="25"/>
      <c r="N295" s="25"/>
      <c r="O295" s="25"/>
      <c r="P295" s="25"/>
      <c r="Q295" s="25"/>
      <c r="R295" s="25"/>
      <c r="S295" s="25"/>
      <c r="T295" s="25"/>
    </row>
    <row r="296" spans="1:20">
      <c r="A296" s="25"/>
      <c r="B296" s="25"/>
      <c r="C296" s="25"/>
      <c r="D296" s="25"/>
      <c r="E296" s="25"/>
      <c r="F296" s="25"/>
      <c r="G296" s="25"/>
      <c r="H296" s="25"/>
      <c r="I296" s="25"/>
      <c r="J296" s="25"/>
      <c r="K296" s="25"/>
      <c r="L296" s="25"/>
      <c r="M296" s="25"/>
      <c r="N296" s="25"/>
      <c r="O296" s="25"/>
      <c r="P296" s="25"/>
      <c r="Q296" s="25"/>
      <c r="R296" s="25"/>
      <c r="S296" s="25"/>
      <c r="T296" s="25"/>
    </row>
  </sheetData>
  <sheetProtection password="C036" sheet="1" objects="1"/>
  <mergeCells count="6">
    <mergeCell ref="F7:G7"/>
    <mergeCell ref="B13:C13"/>
    <mergeCell ref="E19:F19"/>
    <mergeCell ref="E32:F32"/>
    <mergeCell ref="F45:G45"/>
    <mergeCell ref="B55:C55"/>
  </mergeCells>
  <pageMargins left="0.7" right="0.7" top="0.75" bottom="0.75" header="0.3" footer="0.3"/>
  <pageSetup paperSize="1" scale="63" orientation="landscape"/>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1"/>
  <legacyDrawing r:id="rId2"/>
  <controls>
    <mc:AlternateContent xmlns:mc="http://schemas.openxmlformats.org/markup-compatibility/2006">
      <mc:Choice Requires="x14">
        <control shapeId="15362" r:id="rId3" name="ComboBox1">
          <controlPr defaultSize="0" r:id="rId4">
            <anchor moveWithCells="1">
              <from>
                <xdr:col>3</xdr:col>
                <xdr:colOff>397510</xdr:colOff>
                <xdr:row>0</xdr:row>
                <xdr:rowOff>76835</xdr:rowOff>
              </from>
              <to>
                <xdr:col>7</xdr:col>
                <xdr:colOff>257175</xdr:colOff>
                <xdr:row>0</xdr:row>
                <xdr:rowOff>329565</xdr:rowOff>
              </to>
            </anchor>
          </controlPr>
        </control>
      </mc:Choice>
      <mc:Fallback>
        <control shapeId="15362" r:id="rId3" name="ComboBox1"/>
      </mc:Fallback>
    </mc:AlternateContent>
    <mc:AlternateContent xmlns:mc="http://schemas.openxmlformats.org/markup-compatibility/2006">
      <mc:Choice Requires="x14">
        <control shapeId="15363" name="Check Box 3" r:id="rId5">
          <controlPr defaultSize="0">
            <anchor moveWithCells="1">
              <from>
                <xdr:col>1</xdr:col>
                <xdr:colOff>455295</xdr:colOff>
                <xdr:row>1</xdr:row>
                <xdr:rowOff>31750</xdr:rowOff>
              </from>
              <to>
                <xdr:col>1</xdr:col>
                <xdr:colOff>624205</xdr:colOff>
                <xdr:row>1</xdr:row>
                <xdr:rowOff>250190</xdr:rowOff>
              </to>
            </anchor>
          </controlPr>
        </control>
      </mc:Choice>
    </mc:AlternateContent>
    <mc:AlternateContent xmlns:mc="http://schemas.openxmlformats.org/markup-compatibility/2006">
      <mc:Choice Requires="x14">
        <control shapeId="15364" name="Check Box 4" r:id="rId6">
          <controlPr defaultSize="0">
            <anchor moveWithCells="1">
              <from>
                <xdr:col>1</xdr:col>
                <xdr:colOff>455295</xdr:colOff>
                <xdr:row>1</xdr:row>
                <xdr:rowOff>212725</xdr:rowOff>
              </from>
              <to>
                <xdr:col>1</xdr:col>
                <xdr:colOff>624205</xdr:colOff>
                <xdr:row>1</xdr:row>
                <xdr:rowOff>431800</xdr:rowOff>
              </to>
            </anchor>
          </controlPr>
        </control>
      </mc:Choice>
    </mc:AlternateContent>
    <mc:AlternateContent xmlns:mc="http://schemas.openxmlformats.org/markup-compatibility/2006">
      <mc:Choice Requires="x14">
        <control shapeId="15365" name="Check Box 5" r:id="rId7">
          <controlPr defaultSize="0">
            <anchor moveWithCells="1">
              <from>
                <xdr:col>1</xdr:col>
                <xdr:colOff>455295</xdr:colOff>
                <xdr:row>1</xdr:row>
                <xdr:rowOff>393700</xdr:rowOff>
              </from>
              <to>
                <xdr:col>1</xdr:col>
                <xdr:colOff>624205</xdr:colOff>
                <xdr:row>2</xdr:row>
                <xdr:rowOff>88900</xdr:rowOff>
              </to>
            </anchor>
          </controlPr>
        </control>
      </mc:Choice>
    </mc:AlternateContent>
    <mc:AlternateContent xmlns:mc="http://schemas.openxmlformats.org/markup-compatibility/2006">
      <mc:Choice Requires="x14">
        <control shapeId="15366" name="Check Box 6" r:id="rId8">
          <controlPr defaultSize="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name="Check Box 7" r:id="rId9">
          <controlPr defaultSize="0">
            <anchor moveWithCells="1">
              <from>
                <xdr:col>5</xdr:col>
                <xdr:colOff>531495</xdr:colOff>
                <xdr:row>1</xdr:row>
                <xdr:rowOff>41275</xdr:rowOff>
              </from>
              <to>
                <xdr:col>5</xdr:col>
                <xdr:colOff>700405</xdr:colOff>
                <xdr:row>1</xdr:row>
                <xdr:rowOff>259715</xdr:rowOff>
              </to>
            </anchor>
          </controlPr>
        </control>
      </mc:Choice>
    </mc:AlternateContent>
    <mc:AlternateContent xmlns:mc="http://schemas.openxmlformats.org/markup-compatibility/2006">
      <mc:Choice Requires="x14">
        <control shapeId="15368" name="Check Box 8" r:id="rId10">
          <controlPr defaultSize="0">
            <anchor moveWithCells="1">
              <from>
                <xdr:col>5</xdr:col>
                <xdr:colOff>531495</xdr:colOff>
                <xdr:row>1</xdr:row>
                <xdr:rowOff>222250</xdr:rowOff>
              </from>
              <to>
                <xdr:col>5</xdr:col>
                <xdr:colOff>700405</xdr:colOff>
                <xdr:row>1</xdr:row>
                <xdr:rowOff>441325</xdr:rowOff>
              </to>
            </anchor>
          </controlPr>
        </control>
      </mc:Choice>
    </mc:AlternateContent>
    <mc:AlternateContent xmlns:mc="http://schemas.openxmlformats.org/markup-compatibility/2006">
      <mc:Choice Requires="x14">
        <control shapeId="15369" name="Check Box 9" r:id="rId11">
          <controlPr defaultSize="0">
            <anchor moveWithCells="1">
              <from>
                <xdr:col>5</xdr:col>
                <xdr:colOff>531495</xdr:colOff>
                <xdr:row>1</xdr:row>
                <xdr:rowOff>403225</xdr:rowOff>
              </from>
              <to>
                <xdr:col>5</xdr:col>
                <xdr:colOff>700405</xdr:colOff>
                <xdr:row>2</xdr:row>
                <xdr:rowOff>98425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00FF00"/>
  </sheetPr>
  <dimension ref="A1:Y99"/>
  <sheetViews>
    <sheetView showGridLines="0" showRowColHeaders="0" workbookViewId="0">
      <pane ySplit="1" topLeftCell="A2" activePane="bottomLeft" state="frozen"/>
      <selection/>
      <selection pane="bottomLeft" activeCell="E44" sqref="E44"/>
    </sheetView>
  </sheetViews>
  <sheetFormatPr defaultColWidth="9.14166666666667" defaultRowHeight="12.75"/>
  <cols>
    <col min="1" max="1" width="9.14166666666667" style="27"/>
    <col min="2" max="2" width="16" style="27" customWidth="1"/>
    <col min="3" max="3" width="15.5666666666667" style="27" customWidth="1"/>
    <col min="4" max="4" width="12.425" style="27" customWidth="1"/>
    <col min="5" max="5" width="9.56666666666667" style="27" customWidth="1"/>
    <col min="6" max="6" width="11.5666666666667" style="27" customWidth="1"/>
    <col min="7" max="7" width="12.5666666666667" style="27" customWidth="1"/>
    <col min="8" max="8" width="10.5666666666667" style="28" customWidth="1"/>
    <col min="9" max="9" width="12.5666666666667" style="27" customWidth="1"/>
    <col min="10" max="10" width="10.5666666666667" style="28" customWidth="1"/>
    <col min="11" max="11" width="12.5666666666667" style="27" customWidth="1"/>
    <col min="12" max="12" width="10.5666666666667" style="28" customWidth="1"/>
    <col min="13" max="13" width="10.8583333333333" style="27" customWidth="1"/>
    <col min="14" max="14" width="9.14166666666667" style="27"/>
    <col min="15" max="15" width="13.425" style="27" customWidth="1"/>
    <col min="16" max="18" width="5" style="27" customWidth="1"/>
    <col min="19" max="16384" width="9.14166666666667" style="27"/>
  </cols>
  <sheetData>
    <row r="1" s="25" customFormat="1" ht="32.1" customHeight="1" spans="1:25">
      <c r="A1" s="29"/>
      <c r="B1" s="29"/>
      <c r="C1" s="29"/>
      <c r="D1" s="29"/>
      <c r="E1" s="29"/>
      <c r="F1" s="29"/>
      <c r="G1" s="29"/>
      <c r="H1" s="30"/>
      <c r="I1" s="29"/>
      <c r="J1" s="30"/>
      <c r="K1" s="29"/>
      <c r="L1" s="123"/>
      <c r="M1" s="29"/>
      <c r="Q1" s="140"/>
      <c r="R1" s="140"/>
      <c r="S1" s="140"/>
      <c r="T1" s="140"/>
      <c r="U1" s="140"/>
      <c r="V1" s="140"/>
      <c r="W1" s="140"/>
      <c r="X1" s="140"/>
      <c r="Y1" s="140"/>
    </row>
    <row r="2" s="25" customFormat="1" ht="41.25" customHeight="1" spans="8:25">
      <c r="H2" s="28"/>
      <c r="J2" s="28"/>
      <c r="L2" s="123"/>
      <c r="Q2" s="140"/>
      <c r="R2" s="140"/>
      <c r="S2" s="140"/>
      <c r="T2" s="140"/>
      <c r="U2" s="140"/>
      <c r="V2" s="140"/>
      <c r="W2" s="140"/>
      <c r="X2" s="140"/>
      <c r="Y2" s="140"/>
    </row>
    <row r="3" s="25" customFormat="1" customHeight="1" spans="8:25">
      <c r="H3" s="28"/>
      <c r="J3" s="28"/>
      <c r="L3" s="28"/>
      <c r="Q3" s="140"/>
      <c r="R3" s="140"/>
      <c r="S3" s="140"/>
      <c r="T3" s="140"/>
      <c r="U3" s="140"/>
      <c r="V3" s="140"/>
      <c r="W3" s="140"/>
      <c r="X3" s="140"/>
      <c r="Y3" s="140"/>
    </row>
    <row r="4" spans="1:20">
      <c r="A4" s="25"/>
      <c r="B4" s="25"/>
      <c r="C4" s="25"/>
      <c r="D4" s="25"/>
      <c r="E4" s="25"/>
      <c r="F4" s="25"/>
      <c r="G4" s="25"/>
      <c r="I4" s="25"/>
      <c r="K4" s="25"/>
      <c r="M4" s="25"/>
      <c r="N4" s="25"/>
      <c r="O4" s="25"/>
      <c r="P4" s="25"/>
      <c r="Q4" s="25"/>
      <c r="R4" s="25"/>
      <c r="S4" s="25"/>
      <c r="T4" s="25"/>
    </row>
    <row r="5" ht="18" spans="1:22">
      <c r="A5" s="31" t="s">
        <v>1337</v>
      </c>
      <c r="B5" s="32"/>
      <c r="C5" s="33"/>
      <c r="D5" s="33"/>
      <c r="E5" s="33"/>
      <c r="F5" s="33"/>
      <c r="G5" s="33"/>
      <c r="H5" s="34"/>
      <c r="I5" s="33"/>
      <c r="J5" s="34"/>
      <c r="K5" s="33"/>
      <c r="L5" s="34"/>
      <c r="M5" s="33"/>
      <c r="N5" s="33"/>
      <c r="O5" s="124"/>
      <c r="P5" s="33"/>
      <c r="Q5" s="33"/>
      <c r="R5" s="33"/>
      <c r="S5" s="33"/>
      <c r="T5" s="33"/>
      <c r="U5" s="141"/>
      <c r="V5" s="141"/>
    </row>
    <row r="6" ht="15.75" spans="1:22">
      <c r="A6" s="35">
        <v>1</v>
      </c>
      <c r="B6" s="36" t="s">
        <v>143</v>
      </c>
      <c r="C6" s="37"/>
      <c r="D6" s="37"/>
      <c r="E6" s="37"/>
      <c r="F6" s="37"/>
      <c r="G6" s="38"/>
      <c r="H6" s="39"/>
      <c r="I6" s="125"/>
      <c r="J6" s="39"/>
      <c r="K6" s="38"/>
      <c r="L6" s="39"/>
      <c r="M6" s="126"/>
      <c r="N6" s="26"/>
      <c r="O6" s="26"/>
      <c r="P6" s="38"/>
      <c r="Q6" s="38"/>
      <c r="R6" s="124"/>
      <c r="S6" s="33"/>
      <c r="T6" s="33"/>
      <c r="U6" s="141"/>
      <c r="V6" s="141"/>
    </row>
    <row r="7" s="26" customFormat="1" ht="11.25" spans="1:25">
      <c r="A7" s="40"/>
      <c r="B7" s="41"/>
      <c r="C7" s="41"/>
      <c r="D7" s="42"/>
      <c r="E7" s="43"/>
      <c r="F7" s="44" t="s">
        <v>144</v>
      </c>
      <c r="G7" s="44"/>
      <c r="H7" s="45"/>
      <c r="I7" s="38"/>
      <c r="J7" s="39"/>
      <c r="K7" s="38"/>
      <c r="L7" s="69"/>
      <c r="O7" s="127"/>
      <c r="P7" s="127"/>
      <c r="Q7" s="38"/>
      <c r="R7" s="38"/>
      <c r="S7" s="38"/>
      <c r="T7" s="38"/>
      <c r="U7" s="38"/>
      <c r="V7" s="38"/>
      <c r="W7" s="38"/>
      <c r="X7" s="38"/>
      <c r="Y7" s="38"/>
    </row>
    <row r="8" s="26" customFormat="1" ht="11.25" spans="1:25">
      <c r="A8" s="40"/>
      <c r="B8" s="46" t="s">
        <v>145</v>
      </c>
      <c r="C8" s="47"/>
      <c r="D8" s="48" t="s">
        <v>146</v>
      </c>
      <c r="E8" s="49" t="s">
        <v>147</v>
      </c>
      <c r="F8" s="50" t="s">
        <v>104</v>
      </c>
      <c r="G8" s="51" t="s">
        <v>105</v>
      </c>
      <c r="H8" s="45"/>
      <c r="I8" s="83"/>
      <c r="J8" s="45"/>
      <c r="K8" s="38"/>
      <c r="L8" s="69"/>
      <c r="O8" s="127"/>
      <c r="P8" s="127"/>
      <c r="Q8" s="38"/>
      <c r="R8" s="38"/>
      <c r="S8" s="38"/>
      <c r="T8" s="38"/>
      <c r="U8" s="38"/>
      <c r="V8" s="38"/>
      <c r="W8" s="38"/>
      <c r="X8" s="38"/>
      <c r="Y8" s="38"/>
    </row>
    <row r="9" s="26" customFormat="1" ht="11.25" spans="2:25">
      <c r="B9" s="52" t="s">
        <v>148</v>
      </c>
      <c r="C9" s="53"/>
      <c r="D9" s="54">
        <v>20000</v>
      </c>
      <c r="E9" s="55">
        <v>1</v>
      </c>
      <c r="F9" s="56">
        <v>1.1</v>
      </c>
      <c r="G9" s="56">
        <v>1.1</v>
      </c>
      <c r="H9" s="57"/>
      <c r="I9" s="128"/>
      <c r="J9" s="129"/>
      <c r="K9" s="128"/>
      <c r="L9" s="69"/>
      <c r="O9" s="127"/>
      <c r="P9" s="127"/>
      <c r="Q9" s="38"/>
      <c r="R9" s="38"/>
      <c r="S9" s="38"/>
      <c r="T9" s="38"/>
      <c r="U9" s="38"/>
      <c r="V9" s="38"/>
      <c r="W9" s="38"/>
      <c r="X9" s="38"/>
      <c r="Y9" s="38"/>
    </row>
    <row r="10" s="26" customFormat="1" ht="11.25" spans="2:25">
      <c r="B10" s="52" t="s">
        <v>149</v>
      </c>
      <c r="C10" s="53"/>
      <c r="D10" s="54">
        <v>45000</v>
      </c>
      <c r="E10" s="55">
        <v>1</v>
      </c>
      <c r="F10" s="58">
        <v>1.1</v>
      </c>
      <c r="G10" s="58">
        <v>1.1</v>
      </c>
      <c r="H10" s="57"/>
      <c r="I10" s="128"/>
      <c r="J10" s="129"/>
      <c r="K10" s="128"/>
      <c r="L10" s="69"/>
      <c r="O10" s="127"/>
      <c r="P10" s="127"/>
      <c r="Q10" s="38"/>
      <c r="R10" s="38"/>
      <c r="S10" s="38"/>
      <c r="T10" s="38"/>
      <c r="U10" s="38"/>
      <c r="V10" s="38"/>
      <c r="W10" s="38"/>
      <c r="X10" s="38"/>
      <c r="Y10" s="38"/>
    </row>
    <row r="11" s="26" customFormat="1" ht="11.25" spans="2:25">
      <c r="B11" s="52" t="s">
        <v>150</v>
      </c>
      <c r="C11" s="53"/>
      <c r="D11" s="54">
        <v>12000</v>
      </c>
      <c r="E11" s="55">
        <v>0.25</v>
      </c>
      <c r="F11" s="56">
        <v>1.1</v>
      </c>
      <c r="G11" s="56">
        <v>1.1</v>
      </c>
      <c r="H11" s="57"/>
      <c r="I11" s="128"/>
      <c r="J11" s="129"/>
      <c r="K11" s="128"/>
      <c r="L11" s="69"/>
      <c r="O11" s="127"/>
      <c r="P11" s="127"/>
      <c r="Q11" s="38"/>
      <c r="R11" s="38"/>
      <c r="S11" s="38"/>
      <c r="T11" s="38"/>
      <c r="U11" s="38"/>
      <c r="V11" s="38"/>
      <c r="W11" s="38"/>
      <c r="X11" s="38"/>
      <c r="Y11" s="38"/>
    </row>
    <row r="12" s="26" customFormat="1" ht="11.25" spans="2:25">
      <c r="B12" s="52" t="s">
        <v>151</v>
      </c>
      <c r="C12" s="53"/>
      <c r="D12" s="54">
        <v>7000</v>
      </c>
      <c r="E12" s="55"/>
      <c r="F12" s="56">
        <v>1.1</v>
      </c>
      <c r="G12" s="56">
        <v>1.1</v>
      </c>
      <c r="H12" s="57"/>
      <c r="I12" s="128"/>
      <c r="J12" s="129"/>
      <c r="K12" s="128"/>
      <c r="L12" s="69"/>
      <c r="O12" s="127"/>
      <c r="P12" s="127"/>
      <c r="Q12" s="38"/>
      <c r="R12" s="38"/>
      <c r="S12" s="38"/>
      <c r="T12" s="38"/>
      <c r="U12" s="38"/>
      <c r="V12" s="38"/>
      <c r="W12" s="38"/>
      <c r="X12" s="38"/>
      <c r="Y12" s="38"/>
    </row>
    <row r="13" s="26" customFormat="1" ht="11.25" spans="2:25">
      <c r="B13" s="59"/>
      <c r="C13" s="59"/>
      <c r="H13" s="39"/>
      <c r="I13" s="38"/>
      <c r="J13" s="39"/>
      <c r="K13" s="130"/>
      <c r="L13" s="69"/>
      <c r="O13" s="127"/>
      <c r="P13" s="127"/>
      <c r="Q13" s="38"/>
      <c r="R13" s="38"/>
      <c r="S13" s="38"/>
      <c r="T13" s="38"/>
      <c r="U13" s="38"/>
      <c r="V13" s="38"/>
      <c r="W13" s="38"/>
      <c r="X13" s="38"/>
      <c r="Y13" s="38"/>
    </row>
    <row r="14" s="26" customFormat="1" ht="11.25" spans="2:25">
      <c r="B14" s="59"/>
      <c r="C14" s="59"/>
      <c r="D14" s="60" t="s">
        <v>103</v>
      </c>
      <c r="E14" s="60" t="s">
        <v>104</v>
      </c>
      <c r="F14" s="60" t="s">
        <v>105</v>
      </c>
      <c r="H14" s="39"/>
      <c r="I14" s="38"/>
      <c r="J14" s="39"/>
      <c r="K14" s="130"/>
      <c r="L14" s="69"/>
      <c r="O14" s="127"/>
      <c r="P14" s="127"/>
      <c r="Q14" s="38"/>
      <c r="R14" s="38"/>
      <c r="S14" s="38"/>
      <c r="T14" s="38"/>
      <c r="U14" s="38"/>
      <c r="V14" s="38"/>
      <c r="W14" s="38"/>
      <c r="X14" s="38"/>
      <c r="Y14" s="38"/>
    </row>
    <row r="15" s="26" customFormat="1" spans="2:25">
      <c r="B15" s="61" t="s">
        <v>142</v>
      </c>
      <c r="C15" s="59"/>
      <c r="D15" s="62">
        <f>SUM(D9:D13)</f>
        <v>84000</v>
      </c>
      <c r="E15" s="62">
        <f>SUMPRODUCT(D9:D13,F9:F13)</f>
        <v>92400</v>
      </c>
      <c r="F15" s="62">
        <f>SUMPRODUCT(D9:D13,G9:G13,F9:F13)</f>
        <v>101640</v>
      </c>
      <c r="H15" s="39"/>
      <c r="I15" s="38"/>
      <c r="J15" s="39"/>
      <c r="K15" s="130"/>
      <c r="L15" s="69"/>
      <c r="O15" s="127"/>
      <c r="P15" s="127"/>
      <c r="Q15" s="38"/>
      <c r="R15" s="38"/>
      <c r="S15" s="38"/>
      <c r="T15" s="38"/>
      <c r="U15" s="38"/>
      <c r="V15" s="38"/>
      <c r="W15" s="38"/>
      <c r="X15" s="38"/>
      <c r="Y15" s="38"/>
    </row>
    <row r="16" s="26" customFormat="1" ht="11.25" spans="2:25">
      <c r="B16" s="59"/>
      <c r="C16" s="59"/>
      <c r="H16" s="39"/>
      <c r="I16" s="38"/>
      <c r="J16" s="39"/>
      <c r="K16" s="130"/>
      <c r="L16" s="69"/>
      <c r="O16" s="127"/>
      <c r="P16" s="127"/>
      <c r="Q16" s="38"/>
      <c r="R16" s="38"/>
      <c r="S16" s="38"/>
      <c r="T16" s="38"/>
      <c r="U16" s="38"/>
      <c r="V16" s="38"/>
      <c r="W16" s="38"/>
      <c r="X16" s="38"/>
      <c r="Y16" s="38"/>
    </row>
    <row r="17" s="26" customFormat="1" ht="11.25" spans="8:25">
      <c r="H17" s="39"/>
      <c r="I17" s="38"/>
      <c r="J17" s="39"/>
      <c r="K17" s="130"/>
      <c r="L17" s="69"/>
      <c r="O17" s="127"/>
      <c r="P17" s="127"/>
      <c r="Q17" s="38"/>
      <c r="R17" s="38"/>
      <c r="S17" s="38"/>
      <c r="T17" s="38"/>
      <c r="U17" s="38"/>
      <c r="V17" s="38"/>
      <c r="W17" s="38"/>
      <c r="X17" s="38"/>
      <c r="Y17" s="38"/>
    </row>
    <row r="18" s="26" customFormat="1" ht="11.25" hidden="1" spans="8:25">
      <c r="H18" s="39"/>
      <c r="I18" s="38"/>
      <c r="J18" s="39"/>
      <c r="K18" s="130"/>
      <c r="L18" s="69"/>
      <c r="O18" s="127"/>
      <c r="P18" s="127"/>
      <c r="Q18" s="38"/>
      <c r="R18" s="38"/>
      <c r="S18" s="38"/>
      <c r="T18" s="38"/>
      <c r="U18" s="38"/>
      <c r="V18" s="38"/>
      <c r="W18" s="38"/>
      <c r="X18" s="38"/>
      <c r="Y18" s="38"/>
    </row>
    <row r="19" ht="18" hidden="1" spans="1:21">
      <c r="A19" s="63" t="s">
        <v>1338</v>
      </c>
      <c r="B19" s="64"/>
      <c r="C19" s="64"/>
      <c r="D19" s="64"/>
      <c r="E19" s="64"/>
      <c r="F19" s="64"/>
      <c r="G19" s="64"/>
      <c r="I19" s="25"/>
      <c r="K19" s="25"/>
      <c r="M19" s="25"/>
      <c r="N19" s="25"/>
      <c r="S19" s="25"/>
      <c r="T19" s="25"/>
      <c r="U19" s="25"/>
    </row>
    <row r="20" ht="15.75" hidden="1" spans="1:20">
      <c r="A20" s="65">
        <v>2</v>
      </c>
      <c r="B20" s="66" t="s">
        <v>1336</v>
      </c>
      <c r="C20" s="67"/>
      <c r="D20" s="67"/>
      <c r="E20" s="67"/>
      <c r="F20" s="67"/>
      <c r="G20" s="68"/>
      <c r="H20" s="69"/>
      <c r="I20" s="25"/>
      <c r="K20" s="25"/>
      <c r="M20" s="25"/>
      <c r="N20" s="25"/>
      <c r="S20" s="25"/>
      <c r="T20" s="25"/>
    </row>
    <row r="21" hidden="1" spans="1:8">
      <c r="A21" s="70"/>
      <c r="B21" s="71"/>
      <c r="C21" s="26"/>
      <c r="D21" s="72" t="s">
        <v>162</v>
      </c>
      <c r="E21" s="44" t="s">
        <v>163</v>
      </c>
      <c r="F21" s="44"/>
      <c r="G21" s="26"/>
      <c r="H21" s="69"/>
    </row>
    <row r="22" hidden="1" spans="1:8">
      <c r="A22" s="70"/>
      <c r="B22" s="71"/>
      <c r="C22" s="26"/>
      <c r="D22" s="72" t="s">
        <v>103</v>
      </c>
      <c r="E22" s="72" t="s">
        <v>104</v>
      </c>
      <c r="F22" s="72" t="s">
        <v>105</v>
      </c>
      <c r="G22" s="26"/>
      <c r="H22" s="69"/>
    </row>
    <row r="23" hidden="1" spans="1:8">
      <c r="A23" s="70"/>
      <c r="B23" s="73" t="s">
        <v>164</v>
      </c>
      <c r="C23" s="74"/>
      <c r="D23" s="75">
        <v>8000</v>
      </c>
      <c r="E23" s="56">
        <v>1.11</v>
      </c>
      <c r="F23" s="56">
        <v>1.2</v>
      </c>
      <c r="G23" s="59"/>
      <c r="H23" s="76"/>
    </row>
    <row r="24" hidden="1" spans="1:8">
      <c r="A24" s="70"/>
      <c r="B24" s="73" t="s">
        <v>165</v>
      </c>
      <c r="C24" s="74"/>
      <c r="D24" s="75">
        <v>4000</v>
      </c>
      <c r="E24" s="56">
        <v>1.11</v>
      </c>
      <c r="F24" s="56">
        <v>1.2</v>
      </c>
      <c r="G24" s="59"/>
      <c r="H24" s="76"/>
    </row>
    <row r="25" hidden="1" spans="1:8">
      <c r="A25" s="70"/>
      <c r="B25" s="73" t="s">
        <v>166</v>
      </c>
      <c r="C25" s="74"/>
      <c r="D25" s="75">
        <v>7000</v>
      </c>
      <c r="E25" s="56">
        <v>1.11</v>
      </c>
      <c r="F25" s="56">
        <v>1.2</v>
      </c>
      <c r="G25" s="59"/>
      <c r="H25" s="76"/>
    </row>
    <row r="26" hidden="1" spans="1:8">
      <c r="A26" s="70"/>
      <c r="B26" s="73" t="s">
        <v>167</v>
      </c>
      <c r="C26" s="74"/>
      <c r="D26" s="75">
        <v>7000</v>
      </c>
      <c r="E26" s="56">
        <v>1.11</v>
      </c>
      <c r="F26" s="56">
        <v>1.2</v>
      </c>
      <c r="G26" s="59"/>
      <c r="H26" s="76"/>
    </row>
    <row r="27" hidden="1" spans="1:8">
      <c r="A27" s="70"/>
      <c r="B27" s="73" t="s">
        <v>168</v>
      </c>
      <c r="C27" s="74"/>
      <c r="D27" s="75">
        <v>12000</v>
      </c>
      <c r="E27" s="56">
        <v>1.11</v>
      </c>
      <c r="F27" s="56">
        <v>1.2</v>
      </c>
      <c r="G27" s="59"/>
      <c r="H27" s="76"/>
    </row>
    <row r="28" hidden="1" spans="1:8">
      <c r="A28" s="70"/>
      <c r="B28" s="26"/>
      <c r="C28" s="26"/>
      <c r="D28" s="26"/>
      <c r="E28" s="26"/>
      <c r="F28" s="26"/>
      <c r="G28" s="59"/>
      <c r="H28" s="76"/>
    </row>
    <row r="29" hidden="1" spans="1:8">
      <c r="A29" s="70"/>
      <c r="B29" s="26"/>
      <c r="C29" s="26"/>
      <c r="D29" s="60" t="s">
        <v>103</v>
      </c>
      <c r="E29" s="60" t="s">
        <v>104</v>
      </c>
      <c r="F29" s="60" t="s">
        <v>105</v>
      </c>
      <c r="G29" s="59"/>
      <c r="H29" s="76"/>
    </row>
    <row r="30" hidden="1" spans="1:8">
      <c r="A30" s="70"/>
      <c r="B30" s="71" t="s">
        <v>142</v>
      </c>
      <c r="C30" s="77"/>
      <c r="D30" s="78">
        <f>SUM(D23:D28)</f>
        <v>38000</v>
      </c>
      <c r="E30" s="78">
        <f>SUMPRODUCT(D23:D28,E23:E28)</f>
        <v>42180</v>
      </c>
      <c r="F30" s="78">
        <f>SUMPRODUCT(E23:E28,F23:F28,D23:D28)</f>
        <v>50616</v>
      </c>
      <c r="G30" s="59"/>
      <c r="H30" s="76"/>
    </row>
    <row r="31" hidden="1"/>
    <row r="32" hidden="1"/>
    <row r="33" ht="15.75" hidden="1" spans="1:7">
      <c r="A33" s="65">
        <v>3</v>
      </c>
      <c r="B33" s="66" t="s">
        <v>172</v>
      </c>
      <c r="C33" s="79"/>
      <c r="D33" s="79"/>
      <c r="E33" s="79"/>
      <c r="F33" s="79"/>
      <c r="G33" s="26"/>
    </row>
    <row r="34" hidden="1" spans="1:7">
      <c r="A34" s="70"/>
      <c r="B34" s="26"/>
      <c r="C34" s="26"/>
      <c r="D34" s="26"/>
      <c r="E34" s="26"/>
      <c r="F34" s="44" t="s">
        <v>163</v>
      </c>
      <c r="G34" s="44"/>
    </row>
    <row r="35" hidden="1" spans="1:7">
      <c r="A35" s="70"/>
      <c r="B35" s="26"/>
      <c r="C35" s="26"/>
      <c r="D35" s="50" t="s">
        <v>162</v>
      </c>
      <c r="E35" s="46" t="s">
        <v>173</v>
      </c>
      <c r="F35" s="50" t="s">
        <v>104</v>
      </c>
      <c r="G35" s="50" t="s">
        <v>105</v>
      </c>
    </row>
    <row r="36" hidden="1" spans="1:7">
      <c r="A36" s="26"/>
      <c r="B36" s="73" t="s">
        <v>174</v>
      </c>
      <c r="C36" s="74"/>
      <c r="D36" s="75">
        <v>5000</v>
      </c>
      <c r="E36" s="55">
        <v>200</v>
      </c>
      <c r="F36" s="56">
        <v>1.11</v>
      </c>
      <c r="G36" s="56">
        <v>1.2</v>
      </c>
    </row>
    <row r="37" hidden="1" spans="1:7">
      <c r="A37" s="26"/>
      <c r="B37" s="38"/>
      <c r="C37" s="38"/>
      <c r="D37" s="38"/>
      <c r="E37" s="38"/>
      <c r="F37" s="38"/>
      <c r="G37" s="38"/>
    </row>
    <row r="38" hidden="1" spans="1:7">
      <c r="A38" s="70"/>
      <c r="B38" s="41"/>
      <c r="C38" s="80"/>
      <c r="D38" s="60" t="s">
        <v>103</v>
      </c>
      <c r="E38" s="60" t="s">
        <v>104</v>
      </c>
      <c r="F38" s="60" t="s">
        <v>105</v>
      </c>
      <c r="G38" s="26"/>
    </row>
    <row r="39" hidden="1" spans="1:7">
      <c r="A39" s="26"/>
      <c r="B39" s="71" t="s">
        <v>142</v>
      </c>
      <c r="C39" s="77"/>
      <c r="D39" s="62">
        <f>SUM(D36:D37)</f>
        <v>5000</v>
      </c>
      <c r="E39" s="62">
        <f>SUMPRODUCT(D36:D37,F36:F37)</f>
        <v>5550</v>
      </c>
      <c r="F39" s="62">
        <f>SUMPRODUCT(D36:D37,G36:G37,F36:F37)</f>
        <v>6660</v>
      </c>
      <c r="G39" s="26"/>
    </row>
    <row r="40" hidden="1"/>
    <row r="41" hidden="1"/>
    <row r="42" hidden="1"/>
    <row r="45" spans="1:17">
      <c r="A45" s="25"/>
      <c r="B45" s="25"/>
      <c r="C45" s="25"/>
      <c r="D45" s="25"/>
      <c r="E45" s="25"/>
      <c r="F45" s="25"/>
      <c r="G45" s="25"/>
      <c r="I45" s="25"/>
      <c r="K45" s="25"/>
      <c r="M45" s="25"/>
      <c r="N45" s="25"/>
      <c r="O45" s="25"/>
      <c r="P45" s="25"/>
      <c r="Q45" s="25"/>
    </row>
    <row r="46" ht="15.75" spans="1:17">
      <c r="A46" s="35">
        <v>2</v>
      </c>
      <c r="B46" s="36" t="s">
        <v>1339</v>
      </c>
      <c r="C46" s="37"/>
      <c r="D46" s="37"/>
      <c r="E46" s="81"/>
      <c r="F46" s="81"/>
      <c r="G46" s="25"/>
      <c r="I46" s="25"/>
      <c r="K46" s="25"/>
      <c r="M46" s="25"/>
      <c r="N46" s="25"/>
      <c r="O46" s="25"/>
      <c r="P46" s="25"/>
      <c r="Q46" s="25"/>
    </row>
    <row r="47" ht="13.5" spans="1:17">
      <c r="A47" s="25"/>
      <c r="B47" s="25"/>
      <c r="C47" s="25"/>
      <c r="D47" s="25"/>
      <c r="E47" s="82"/>
      <c r="F47" s="82"/>
      <c r="G47" s="25"/>
      <c r="I47" s="25"/>
      <c r="K47" s="25"/>
      <c r="M47" s="25"/>
      <c r="N47" s="25"/>
      <c r="O47" s="25"/>
      <c r="P47" s="25"/>
      <c r="Q47" s="25"/>
    </row>
    <row r="48" spans="1:17">
      <c r="A48" s="25"/>
      <c r="B48" s="25"/>
      <c r="C48" s="25"/>
      <c r="D48" s="83" t="s">
        <v>1340</v>
      </c>
      <c r="E48" s="84" t="s">
        <v>1341</v>
      </c>
      <c r="F48" s="85"/>
      <c r="G48" s="86" t="s">
        <v>103</v>
      </c>
      <c r="H48" s="87"/>
      <c r="I48" s="86" t="s">
        <v>104</v>
      </c>
      <c r="J48" s="87"/>
      <c r="K48" s="86" t="s">
        <v>105</v>
      </c>
      <c r="L48" s="87"/>
      <c r="M48" s="25"/>
      <c r="N48" s="25"/>
      <c r="O48" s="25"/>
      <c r="P48" s="25"/>
      <c r="Q48" s="25"/>
    </row>
    <row r="49" spans="1:17">
      <c r="A49" s="88"/>
      <c r="B49" s="38"/>
      <c r="C49" s="25"/>
      <c r="D49" s="89" t="s">
        <v>103</v>
      </c>
      <c r="E49" s="90" t="s">
        <v>104</v>
      </c>
      <c r="F49" s="85" t="s">
        <v>105</v>
      </c>
      <c r="G49" s="91" t="s">
        <v>1342</v>
      </c>
      <c r="H49" s="92" t="s">
        <v>1343</v>
      </c>
      <c r="I49" s="91" t="s">
        <v>1342</v>
      </c>
      <c r="J49" s="92" t="s">
        <v>1343</v>
      </c>
      <c r="K49" s="91" t="s">
        <v>1342</v>
      </c>
      <c r="L49" s="92" t="s">
        <v>1343</v>
      </c>
      <c r="M49" s="25"/>
      <c r="N49" s="25"/>
      <c r="O49" s="25"/>
      <c r="P49" s="25"/>
      <c r="Q49" s="25"/>
    </row>
    <row r="50" ht="13.5" spans="1:17">
      <c r="A50" s="88"/>
      <c r="B50" s="93" t="s">
        <v>1344</v>
      </c>
      <c r="C50" s="25" t="s">
        <v>1345</v>
      </c>
      <c r="D50" s="94">
        <v>33000</v>
      </c>
      <c r="E50" s="80"/>
      <c r="F50" s="80"/>
      <c r="G50" s="95"/>
      <c r="H50" s="92"/>
      <c r="I50" s="95"/>
      <c r="J50" s="92"/>
      <c r="K50" s="95"/>
      <c r="L50" s="92"/>
      <c r="M50" s="25"/>
      <c r="N50" s="25"/>
      <c r="O50" s="25"/>
      <c r="P50" s="25"/>
      <c r="Q50" s="25"/>
    </row>
    <row r="51" ht="13.5" spans="1:17">
      <c r="A51" s="88"/>
      <c r="B51" s="93"/>
      <c r="C51" s="96" t="s">
        <v>1346</v>
      </c>
      <c r="D51" s="97">
        <v>39000</v>
      </c>
      <c r="E51" s="98">
        <v>0.1</v>
      </c>
      <c r="F51" s="99">
        <v>0.1</v>
      </c>
      <c r="G51" s="100">
        <v>1</v>
      </c>
      <c r="H51" s="101">
        <f>employcompcsalesfy1*D51</f>
        <v>39000</v>
      </c>
      <c r="I51" s="100">
        <v>1</v>
      </c>
      <c r="J51" s="101">
        <f>employcompcsalesfy2*(1+E51)*D51</f>
        <v>42900</v>
      </c>
      <c r="K51" s="100">
        <v>1</v>
      </c>
      <c r="L51" s="101">
        <f>employcompcsalesfy3*(1+E51)*(1+F51)*D51</f>
        <v>47190</v>
      </c>
      <c r="M51" s="25"/>
      <c r="N51" s="25"/>
      <c r="O51" s="25"/>
      <c r="P51" s="25"/>
      <c r="Q51" s="25"/>
    </row>
    <row r="52" ht="13.5" spans="1:17">
      <c r="A52" s="88"/>
      <c r="B52" s="93"/>
      <c r="C52" s="88" t="s">
        <v>1340</v>
      </c>
      <c r="D52" s="94">
        <v>47000</v>
      </c>
      <c r="E52" s="80"/>
      <c r="F52" s="80"/>
      <c r="G52" s="102"/>
      <c r="H52" s="103"/>
      <c r="I52" s="102"/>
      <c r="J52" s="103"/>
      <c r="K52" s="102"/>
      <c r="L52" s="103"/>
      <c r="M52" s="25"/>
      <c r="N52" s="25"/>
      <c r="O52" s="25"/>
      <c r="P52" s="25"/>
      <c r="Q52" s="25"/>
    </row>
    <row r="53" ht="13.5" spans="1:17">
      <c r="A53" s="88"/>
      <c r="B53" s="93"/>
      <c r="C53" s="88" t="s">
        <v>1347</v>
      </c>
      <c r="D53" s="94">
        <v>69000</v>
      </c>
      <c r="E53" s="80"/>
      <c r="F53" s="80"/>
      <c r="G53" s="104"/>
      <c r="H53" s="103"/>
      <c r="I53" s="104"/>
      <c r="J53" s="103"/>
      <c r="K53" s="104"/>
      <c r="L53" s="103"/>
      <c r="M53" s="25"/>
      <c r="N53" s="25"/>
      <c r="O53" s="25"/>
      <c r="P53" s="25"/>
      <c r="Q53" s="25"/>
    </row>
    <row r="54" ht="13.5" spans="1:17">
      <c r="A54" s="88"/>
      <c r="B54" s="93"/>
      <c r="C54" s="88"/>
      <c r="D54" s="45"/>
      <c r="E54" s="80"/>
      <c r="F54" s="80"/>
      <c r="G54" s="104"/>
      <c r="H54" s="103"/>
      <c r="I54" s="104"/>
      <c r="J54" s="103"/>
      <c r="K54" s="104"/>
      <c r="L54" s="103"/>
      <c r="M54" s="25"/>
      <c r="N54" s="25"/>
      <c r="O54" s="25"/>
      <c r="P54" s="25"/>
      <c r="Q54" s="25"/>
    </row>
    <row r="55" ht="13.5" spans="1:17">
      <c r="A55" s="88"/>
      <c r="B55" s="105" t="s">
        <v>1348</v>
      </c>
      <c r="C55" s="25" t="s">
        <v>1345</v>
      </c>
      <c r="D55" s="94">
        <v>23000</v>
      </c>
      <c r="E55" s="80"/>
      <c r="F55" s="80"/>
      <c r="G55" s="91"/>
      <c r="H55" s="101"/>
      <c r="I55" s="91"/>
      <c r="J55" s="101"/>
      <c r="K55" s="91"/>
      <c r="L55" s="101"/>
      <c r="M55" s="25"/>
      <c r="N55" s="25"/>
      <c r="O55" s="25"/>
      <c r="P55" s="25"/>
      <c r="Q55" s="25"/>
    </row>
    <row r="56" ht="13.5" spans="1:17">
      <c r="A56" s="88"/>
      <c r="B56" s="105"/>
      <c r="C56" s="96" t="s">
        <v>1346</v>
      </c>
      <c r="D56" s="97">
        <v>24000</v>
      </c>
      <c r="E56" s="98">
        <v>0.05</v>
      </c>
      <c r="F56" s="99">
        <v>0.05</v>
      </c>
      <c r="G56" s="100">
        <v>0.25</v>
      </c>
      <c r="H56" s="101">
        <f>G56*D56</f>
        <v>6000</v>
      </c>
      <c r="I56" s="100">
        <v>0.2618</v>
      </c>
      <c r="J56" s="101">
        <f>I56*D56*(1+E56)</f>
        <v>6597.36</v>
      </c>
      <c r="K56" s="100">
        <v>0.274</v>
      </c>
      <c r="L56" s="101">
        <f>K56*D56*(1+E56)*(F56+1)</f>
        <v>7250.04</v>
      </c>
      <c r="M56" s="25"/>
      <c r="N56" s="25"/>
      <c r="O56" s="25"/>
      <c r="P56" s="25"/>
      <c r="Q56" s="25"/>
    </row>
    <row r="57" ht="13.5" spans="1:17">
      <c r="A57" s="88"/>
      <c r="B57" s="105"/>
      <c r="C57" s="88" t="s">
        <v>1340</v>
      </c>
      <c r="D57" s="94">
        <v>25000</v>
      </c>
      <c r="E57" s="80"/>
      <c r="F57" s="80"/>
      <c r="G57" s="102"/>
      <c r="H57" s="92"/>
      <c r="I57" s="102"/>
      <c r="J57" s="92"/>
      <c r="K57" s="102"/>
      <c r="L57" s="92"/>
      <c r="M57" s="25"/>
      <c r="N57" s="25"/>
      <c r="O57" s="25"/>
      <c r="P57" s="25"/>
      <c r="Q57" s="25"/>
    </row>
    <row r="58" ht="14.25" spans="1:17">
      <c r="A58" s="88"/>
      <c r="B58" s="105"/>
      <c r="C58" s="88" t="s">
        <v>1347</v>
      </c>
      <c r="D58" s="94">
        <v>33000</v>
      </c>
      <c r="E58" s="80"/>
      <c r="F58" s="80"/>
      <c r="G58" s="106"/>
      <c r="H58" s="107"/>
      <c r="I58" s="131"/>
      <c r="J58" s="132"/>
      <c r="K58" s="131"/>
      <c r="L58" s="132"/>
      <c r="M58" s="25"/>
      <c r="N58" s="25"/>
      <c r="O58" s="25"/>
      <c r="P58" s="25"/>
      <c r="Q58" s="25"/>
    </row>
    <row r="59" ht="15" customHeight="1" spans="1:17">
      <c r="A59" s="88"/>
      <c r="B59" s="25"/>
      <c r="C59" s="25"/>
      <c r="D59" s="108"/>
      <c r="E59" s="109" t="s">
        <v>1349</v>
      </c>
      <c r="F59" s="110"/>
      <c r="G59" s="111">
        <f t="shared" ref="G59:L59" si="0">SUM(G50:G58)</f>
        <v>1.25</v>
      </c>
      <c r="H59" s="112">
        <f t="shared" si="0"/>
        <v>45000</v>
      </c>
      <c r="I59" s="133">
        <f t="shared" si="0"/>
        <v>1.2618</v>
      </c>
      <c r="J59" s="112">
        <f t="shared" si="0"/>
        <v>49497.36</v>
      </c>
      <c r="K59" s="134">
        <f t="shared" si="0"/>
        <v>1.274</v>
      </c>
      <c r="L59" s="112">
        <f t="shared" si="0"/>
        <v>54440.04</v>
      </c>
      <c r="M59" s="25"/>
      <c r="N59" s="25"/>
      <c r="O59" s="25"/>
      <c r="P59" s="25"/>
      <c r="Q59" s="25"/>
    </row>
    <row r="60" spans="1:17">
      <c r="A60" s="88"/>
      <c r="B60" s="25"/>
      <c r="C60" s="25"/>
      <c r="D60" s="108"/>
      <c r="E60" s="113"/>
      <c r="F60" s="114"/>
      <c r="G60" s="115">
        <f>SalesmensNumber("EmployeesRangeOrg")</f>
        <v>1</v>
      </c>
      <c r="H60" s="116">
        <f>SalesmenBudget("EmployeesRangeOrg",1)</f>
        <v>45000</v>
      </c>
      <c r="I60" s="135"/>
      <c r="J60" s="136">
        <f>SalesmenBudget("EmployeesRangeOrg",2)</f>
        <v>49500</v>
      </c>
      <c r="K60" s="137"/>
      <c r="L60" s="136">
        <f>SalesmenBudget("EmployeesRangeOrg",3)</f>
        <v>54450</v>
      </c>
      <c r="M60" s="25"/>
      <c r="N60" s="25"/>
      <c r="O60" s="25"/>
      <c r="P60" s="25"/>
      <c r="Q60" s="25"/>
    </row>
    <row r="61" ht="15.75" customHeight="1" spans="1:17">
      <c r="A61" s="88"/>
      <c r="B61" s="25"/>
      <c r="C61" s="25"/>
      <c r="D61" s="108"/>
      <c r="E61" s="117" t="s">
        <v>1350</v>
      </c>
      <c r="F61" s="118"/>
      <c r="G61" s="119">
        <f>G60-G59</f>
        <v>-0.25</v>
      </c>
      <c r="H61" s="120">
        <f>H60-H59</f>
        <v>0</v>
      </c>
      <c r="I61" s="138"/>
      <c r="J61" s="120">
        <f>J60-J59</f>
        <v>2.64000000000669</v>
      </c>
      <c r="K61" s="139"/>
      <c r="L61" s="120">
        <f>L60-L59</f>
        <v>9.9600000000064</v>
      </c>
      <c r="M61" s="25"/>
      <c r="N61" s="25"/>
      <c r="O61" s="25"/>
      <c r="P61" s="25"/>
      <c r="Q61" s="25"/>
    </row>
    <row r="62" ht="16.5" spans="1:17">
      <c r="A62" s="35">
        <v>3</v>
      </c>
      <c r="B62" s="36" t="s">
        <v>1351</v>
      </c>
      <c r="C62" s="37"/>
      <c r="D62" s="37"/>
      <c r="E62" s="81"/>
      <c r="F62" s="81"/>
      <c r="G62" s="25"/>
      <c r="I62" s="25"/>
      <c r="K62" s="25"/>
      <c r="M62" s="25"/>
      <c r="N62" s="25"/>
      <c r="O62" s="25"/>
      <c r="P62" s="25"/>
      <c r="Q62" s="25"/>
    </row>
    <row r="63" ht="13.5" spans="1:17">
      <c r="A63" s="25"/>
      <c r="B63" s="121"/>
      <c r="C63" s="88"/>
      <c r="D63" s="83" t="s">
        <v>1340</v>
      </c>
      <c r="E63" s="84" t="s">
        <v>1341</v>
      </c>
      <c r="F63" s="85"/>
      <c r="G63" s="86" t="s">
        <v>103</v>
      </c>
      <c r="H63" s="87"/>
      <c r="I63" s="86" t="s">
        <v>104</v>
      </c>
      <c r="J63" s="87"/>
      <c r="K63" s="86" t="s">
        <v>105</v>
      </c>
      <c r="L63" s="87"/>
      <c r="M63" s="25"/>
      <c r="N63" s="25"/>
      <c r="O63" s="25"/>
      <c r="P63" s="25"/>
      <c r="Q63" s="25"/>
    </row>
    <row r="64" ht="13.5" spans="1:17">
      <c r="A64" s="25"/>
      <c r="B64" s="122"/>
      <c r="C64" s="25"/>
      <c r="D64" s="89" t="s">
        <v>103</v>
      </c>
      <c r="E64" s="90" t="s">
        <v>104</v>
      </c>
      <c r="F64" s="85" t="s">
        <v>105</v>
      </c>
      <c r="G64" s="91" t="s">
        <v>1342</v>
      </c>
      <c r="H64" s="92" t="s">
        <v>1343</v>
      </c>
      <c r="I64" s="91" t="s">
        <v>1342</v>
      </c>
      <c r="J64" s="92" t="s">
        <v>1343</v>
      </c>
      <c r="K64" s="91" t="s">
        <v>1342</v>
      </c>
      <c r="L64" s="92" t="s">
        <v>1343</v>
      </c>
      <c r="M64" s="25"/>
      <c r="N64" s="25"/>
      <c r="O64" s="25"/>
      <c r="P64" s="25"/>
      <c r="Q64" s="25"/>
    </row>
    <row r="65" ht="13.5" spans="1:17">
      <c r="A65" s="25"/>
      <c r="B65" s="93" t="s">
        <v>1352</v>
      </c>
      <c r="C65" s="25" t="s">
        <v>1345</v>
      </c>
      <c r="D65" s="94">
        <v>30000</v>
      </c>
      <c r="E65" s="80"/>
      <c r="F65" s="80"/>
      <c r="G65" s="95"/>
      <c r="H65" s="92"/>
      <c r="I65" s="95"/>
      <c r="J65" s="92"/>
      <c r="K65" s="95"/>
      <c r="L65" s="92"/>
      <c r="M65" s="25"/>
      <c r="N65" s="25"/>
      <c r="O65" s="25"/>
      <c r="P65" s="25"/>
      <c r="Q65" s="25"/>
    </row>
    <row r="66" ht="13.5" spans="1:17">
      <c r="A66" s="25"/>
      <c r="B66" s="93"/>
      <c r="C66" s="96" t="s">
        <v>1346</v>
      </c>
      <c r="D66" s="97">
        <v>54000</v>
      </c>
      <c r="E66" s="98">
        <v>0.07</v>
      </c>
      <c r="F66" s="99">
        <v>0.14</v>
      </c>
      <c r="G66" s="100">
        <v>1</v>
      </c>
      <c r="H66" s="101">
        <f>employcompcworkfy1*D66</f>
        <v>54000</v>
      </c>
      <c r="I66" s="100">
        <v>1</v>
      </c>
      <c r="J66" s="101">
        <f>employcompcworkfy2*(1+E66)*D66</f>
        <v>57780</v>
      </c>
      <c r="K66" s="100">
        <v>1</v>
      </c>
      <c r="L66" s="101">
        <f>employcompcworkfy3*(1+E66)*D66*(1+F66)</f>
        <v>65869.2</v>
      </c>
      <c r="M66" s="25"/>
      <c r="N66" s="25"/>
      <c r="O66" s="25"/>
      <c r="P66" s="25"/>
      <c r="Q66" s="25"/>
    </row>
    <row r="67" ht="13.5" spans="1:17">
      <c r="A67" s="25"/>
      <c r="B67" s="93"/>
      <c r="C67" s="88" t="s">
        <v>1340</v>
      </c>
      <c r="D67" s="94">
        <v>52000</v>
      </c>
      <c r="E67" s="80"/>
      <c r="F67" s="80"/>
      <c r="G67" s="102"/>
      <c r="H67" s="103"/>
      <c r="I67" s="102"/>
      <c r="J67" s="103"/>
      <c r="K67" s="102"/>
      <c r="L67" s="103"/>
      <c r="M67" s="25"/>
      <c r="N67" s="25"/>
      <c r="O67" s="25"/>
      <c r="P67" s="25"/>
      <c r="Q67" s="25"/>
    </row>
    <row r="68" ht="13.5" spans="1:17">
      <c r="A68" s="25"/>
      <c r="B68" s="93"/>
      <c r="C68" s="88" t="s">
        <v>1347</v>
      </c>
      <c r="D68" s="94">
        <v>69000</v>
      </c>
      <c r="E68" s="80"/>
      <c r="F68" s="80"/>
      <c r="G68" s="104"/>
      <c r="H68" s="103"/>
      <c r="I68" s="104"/>
      <c r="J68" s="103"/>
      <c r="K68" s="104"/>
      <c r="L68" s="103"/>
      <c r="M68" s="25"/>
      <c r="N68" s="25"/>
      <c r="O68" s="25"/>
      <c r="P68" s="25"/>
      <c r="Q68" s="25"/>
    </row>
    <row r="69" ht="13.5" spans="1:17">
      <c r="A69" s="25"/>
      <c r="B69" s="93"/>
      <c r="C69" s="88"/>
      <c r="D69" s="45"/>
      <c r="E69" s="80"/>
      <c r="F69" s="80"/>
      <c r="G69" s="104"/>
      <c r="H69" s="103"/>
      <c r="I69" s="104"/>
      <c r="J69" s="103"/>
      <c r="K69" s="104"/>
      <c r="L69" s="103"/>
      <c r="M69" s="25"/>
      <c r="N69" s="25"/>
      <c r="O69" s="25"/>
      <c r="P69" s="25"/>
      <c r="Q69" s="25"/>
    </row>
    <row r="70" ht="13.5" spans="1:17">
      <c r="A70" s="25"/>
      <c r="B70" s="105" t="s">
        <v>1353</v>
      </c>
      <c r="C70" s="25" t="s">
        <v>1345</v>
      </c>
      <c r="D70" s="94">
        <v>15000</v>
      </c>
      <c r="E70" s="80"/>
      <c r="F70" s="80"/>
      <c r="G70" s="91"/>
      <c r="H70" s="101"/>
      <c r="I70" s="91"/>
      <c r="J70" s="101"/>
      <c r="K70" s="91"/>
      <c r="L70" s="101"/>
      <c r="M70" s="25"/>
      <c r="N70" s="25"/>
      <c r="O70" s="25"/>
      <c r="P70" s="25"/>
      <c r="Q70" s="25"/>
    </row>
    <row r="71" spans="1:17">
      <c r="A71" s="25"/>
      <c r="B71" s="26"/>
      <c r="C71" s="96" t="s">
        <v>1346</v>
      </c>
      <c r="D71" s="97">
        <v>20000</v>
      </c>
      <c r="E71" s="98">
        <v>0.05</v>
      </c>
      <c r="F71" s="99">
        <v>0.05</v>
      </c>
      <c r="G71" s="100">
        <v>0.25</v>
      </c>
      <c r="H71" s="101">
        <f>G71*D71</f>
        <v>5000</v>
      </c>
      <c r="I71" s="100">
        <v>0.23</v>
      </c>
      <c r="J71" s="101">
        <f>I71*D71*(1+E71)</f>
        <v>4830</v>
      </c>
      <c r="K71" s="100">
        <v>0.22</v>
      </c>
      <c r="L71" s="101">
        <f>D71*(E71+1)*(F71+1)*K71</f>
        <v>4851</v>
      </c>
      <c r="M71" s="25"/>
      <c r="N71" s="140"/>
      <c r="O71" s="25"/>
      <c r="P71" s="25"/>
      <c r="Q71" s="25"/>
    </row>
    <row r="72" spans="1:17">
      <c r="A72" s="25"/>
      <c r="B72" s="25"/>
      <c r="C72" s="88" t="s">
        <v>1340</v>
      </c>
      <c r="D72" s="94">
        <v>20000</v>
      </c>
      <c r="E72" s="80"/>
      <c r="F72" s="80"/>
      <c r="G72" s="102"/>
      <c r="H72" s="92"/>
      <c r="I72" s="102"/>
      <c r="J72" s="92"/>
      <c r="K72" s="102"/>
      <c r="L72" s="92"/>
      <c r="M72" s="25"/>
      <c r="N72" s="140"/>
      <c r="O72" s="25"/>
      <c r="P72" s="25"/>
      <c r="Q72" s="25"/>
    </row>
    <row r="73" ht="13.5" spans="1:17">
      <c r="A73" s="25"/>
      <c r="B73" s="25"/>
      <c r="C73" s="88" t="s">
        <v>1347</v>
      </c>
      <c r="D73" s="94">
        <v>22000</v>
      </c>
      <c r="E73" s="80"/>
      <c r="F73" s="80"/>
      <c r="G73" s="106"/>
      <c r="H73" s="107"/>
      <c r="I73" s="131"/>
      <c r="J73" s="132"/>
      <c r="K73" s="131"/>
      <c r="L73" s="132"/>
      <c r="M73" s="25"/>
      <c r="N73" s="150"/>
      <c r="O73" s="25"/>
      <c r="P73" s="25"/>
      <c r="Q73" s="25"/>
    </row>
    <row r="74" ht="15" customHeight="1" spans="1:17">
      <c r="A74" s="25"/>
      <c r="B74" s="25"/>
      <c r="C74" s="25"/>
      <c r="D74" s="108"/>
      <c r="E74" s="109" t="s">
        <v>1349</v>
      </c>
      <c r="F74" s="110"/>
      <c r="G74" s="142">
        <f t="shared" ref="G74:L74" si="1">SUM(G65:G73)</f>
        <v>1.25</v>
      </c>
      <c r="H74" s="143">
        <f t="shared" si="1"/>
        <v>59000</v>
      </c>
      <c r="I74" s="142">
        <f t="shared" si="1"/>
        <v>1.23</v>
      </c>
      <c r="J74" s="143">
        <f t="shared" si="1"/>
        <v>62610</v>
      </c>
      <c r="K74" s="151">
        <f t="shared" si="1"/>
        <v>1.22</v>
      </c>
      <c r="L74" s="143">
        <f t="shared" si="1"/>
        <v>70720.2</v>
      </c>
      <c r="M74" s="25"/>
      <c r="N74" s="150"/>
      <c r="O74" s="25"/>
      <c r="P74" s="25"/>
      <c r="Q74" s="25"/>
    </row>
    <row r="75" ht="15" customHeight="1" spans="1:17">
      <c r="A75" s="25"/>
      <c r="B75" s="25"/>
      <c r="C75" s="25"/>
      <c r="D75" s="108"/>
      <c r="E75" s="113" t="s">
        <v>1354</v>
      </c>
      <c r="F75" s="114"/>
      <c r="G75" s="91"/>
      <c r="H75" s="144">
        <f>SumsLabor("Labor","FY-1")</f>
        <v>49433.3365539409</v>
      </c>
      <c r="I75" s="91"/>
      <c r="J75" s="144">
        <f>SumsLabor("Labor","FY-2")</f>
        <v>52328</v>
      </c>
      <c r="K75" s="152"/>
      <c r="L75" s="144">
        <f>SumsLabor("Labor","FY-3")</f>
        <v>59024</v>
      </c>
      <c r="M75" s="25"/>
      <c r="N75" s="150"/>
      <c r="O75" s="25"/>
      <c r="P75" s="25"/>
      <c r="Q75" s="25"/>
    </row>
    <row r="76" ht="15.75" customHeight="1" spans="1:17">
      <c r="A76" s="25"/>
      <c r="B76" s="25"/>
      <c r="C76" s="25"/>
      <c r="D76" s="108"/>
      <c r="E76" s="117" t="s">
        <v>1350</v>
      </c>
      <c r="F76" s="118"/>
      <c r="G76" s="106"/>
      <c r="H76" s="145">
        <f>H75-H74</f>
        <v>-9566.66344605913</v>
      </c>
      <c r="I76" s="106"/>
      <c r="J76" s="145">
        <f>J75-J74</f>
        <v>-10282</v>
      </c>
      <c r="K76" s="153"/>
      <c r="L76" s="145">
        <f>L75-L74</f>
        <v>-11696.2</v>
      </c>
      <c r="M76" s="25"/>
      <c r="N76" s="140"/>
      <c r="O76" s="25"/>
      <c r="P76" s="25"/>
      <c r="Q76" s="25"/>
    </row>
    <row r="77" spans="1:17">
      <c r="A77" s="25"/>
      <c r="B77" s="25"/>
      <c r="C77" s="25"/>
      <c r="D77" s="25"/>
      <c r="E77" s="82"/>
      <c r="F77" s="82"/>
      <c r="G77" s="25"/>
      <c r="H77" s="146"/>
      <c r="I77" s="25"/>
      <c r="J77" s="146"/>
      <c r="K77" s="25"/>
      <c r="L77" s="146"/>
      <c r="M77" s="25"/>
      <c r="N77" s="140"/>
      <c r="O77" s="25"/>
      <c r="P77" s="25"/>
      <c r="Q77" s="25"/>
    </row>
    <row r="78" spans="1:17">
      <c r="A78" s="25"/>
      <c r="B78" s="25"/>
      <c r="C78" s="25"/>
      <c r="D78" s="25"/>
      <c r="E78" s="147"/>
      <c r="F78" s="147"/>
      <c r="G78" s="148"/>
      <c r="I78" s="25"/>
      <c r="K78" s="25"/>
      <c r="M78" s="25"/>
      <c r="N78" s="25"/>
      <c r="O78" s="25"/>
      <c r="P78" s="25"/>
      <c r="Q78" s="25"/>
    </row>
    <row r="79" spans="1:17">
      <c r="A79" s="25"/>
      <c r="B79" s="25"/>
      <c r="C79" s="25"/>
      <c r="D79" s="25"/>
      <c r="E79" s="82"/>
      <c r="F79" s="82"/>
      <c r="G79" s="25"/>
      <c r="I79" s="25"/>
      <c r="K79" s="25"/>
      <c r="M79" s="25"/>
      <c r="N79" s="25"/>
      <c r="O79" s="25"/>
      <c r="P79" s="25"/>
      <c r="Q79" s="25"/>
    </row>
    <row r="80" spans="1:17">
      <c r="A80" s="25"/>
      <c r="B80" s="25"/>
      <c r="C80" s="25"/>
      <c r="D80" s="25"/>
      <c r="E80" s="82"/>
      <c r="F80" s="82"/>
      <c r="G80" s="25"/>
      <c r="I80" s="25"/>
      <c r="K80" s="25"/>
      <c r="M80" s="25"/>
      <c r="N80" s="25"/>
      <c r="O80" s="25"/>
      <c r="P80" s="25"/>
      <c r="Q80" s="25"/>
    </row>
    <row r="81" spans="1:17">
      <c r="A81" s="25"/>
      <c r="B81" s="25"/>
      <c r="C81" s="25"/>
      <c r="D81" s="25"/>
      <c r="E81" s="82"/>
      <c r="F81" s="82"/>
      <c r="G81" s="25"/>
      <c r="I81" s="25"/>
      <c r="K81" s="25"/>
      <c r="M81" s="25"/>
      <c r="N81" s="25"/>
      <c r="O81" s="25"/>
      <c r="P81" s="25"/>
      <c r="Q81" s="25"/>
    </row>
    <row r="82" spans="1:17">
      <c r="A82" s="25"/>
      <c r="B82" s="25"/>
      <c r="C82" s="25"/>
      <c r="D82" s="25"/>
      <c r="E82" s="82"/>
      <c r="F82" s="82"/>
      <c r="G82" s="25"/>
      <c r="I82" s="25"/>
      <c r="K82" s="25"/>
      <c r="M82" s="25"/>
      <c r="N82" s="25"/>
      <c r="O82" s="25"/>
      <c r="P82" s="25"/>
      <c r="Q82" s="25"/>
    </row>
    <row r="83" spans="1:17">
      <c r="A83" s="25"/>
      <c r="B83" s="25"/>
      <c r="C83" s="25"/>
      <c r="D83" s="25"/>
      <c r="E83" s="82"/>
      <c r="F83" s="82"/>
      <c r="G83" s="25"/>
      <c r="I83" s="25"/>
      <c r="K83" s="25"/>
      <c r="M83" s="25"/>
      <c r="N83" s="25"/>
      <c r="O83" s="25"/>
      <c r="P83" s="25"/>
      <c r="Q83" s="25"/>
    </row>
    <row r="84" spans="1:17">
      <c r="A84" s="25"/>
      <c r="B84" s="25"/>
      <c r="C84" s="149"/>
      <c r="D84" s="149"/>
      <c r="E84" s="82"/>
      <c r="F84" s="82"/>
      <c r="G84" s="25"/>
      <c r="I84" s="25"/>
      <c r="K84" s="25"/>
      <c r="M84" s="25"/>
      <c r="N84" s="25"/>
      <c r="O84" s="25"/>
      <c r="P84" s="25"/>
      <c r="Q84" s="25"/>
    </row>
    <row r="85" spans="1:17">
      <c r="A85" s="25"/>
      <c r="B85" s="25"/>
      <c r="C85" s="149"/>
      <c r="D85" s="149"/>
      <c r="E85" s="82"/>
      <c r="F85" s="82"/>
      <c r="G85" s="25"/>
      <c r="I85" s="25"/>
      <c r="K85" s="25"/>
      <c r="M85" s="25"/>
      <c r="N85" s="25"/>
      <c r="O85" s="25"/>
      <c r="P85" s="25"/>
      <c r="Q85" s="25"/>
    </row>
    <row r="86" spans="1:17">
      <c r="A86" s="25"/>
      <c r="B86" s="25"/>
      <c r="C86" s="25"/>
      <c r="D86" s="25"/>
      <c r="E86" s="82"/>
      <c r="F86" s="82"/>
      <c r="G86" s="25"/>
      <c r="I86" s="25"/>
      <c r="K86" s="25"/>
      <c r="M86" s="25"/>
      <c r="N86" s="25"/>
      <c r="O86" s="25"/>
      <c r="P86" s="25"/>
      <c r="Q86" s="25"/>
    </row>
    <row r="87" spans="1:17">
      <c r="A87" s="25"/>
      <c r="B87" s="25"/>
      <c r="C87" s="25"/>
      <c r="D87" s="25"/>
      <c r="E87" s="82"/>
      <c r="F87" s="82"/>
      <c r="G87" s="25"/>
      <c r="I87" s="25"/>
      <c r="K87" s="25"/>
      <c r="M87" s="25"/>
      <c r="N87" s="25"/>
      <c r="O87" s="25"/>
      <c r="P87" s="25"/>
      <c r="Q87" s="25"/>
    </row>
    <row r="88" spans="1:17">
      <c r="A88" s="25"/>
      <c r="B88" s="25"/>
      <c r="C88" s="25"/>
      <c r="D88" s="25"/>
      <c r="E88" s="82"/>
      <c r="F88" s="82"/>
      <c r="G88" s="25"/>
      <c r="I88" s="25"/>
      <c r="K88" s="25"/>
      <c r="M88" s="25"/>
      <c r="N88" s="25"/>
      <c r="O88" s="25"/>
      <c r="P88" s="25"/>
      <c r="Q88" s="25"/>
    </row>
    <row r="89" spans="1:17">
      <c r="A89" s="25"/>
      <c r="B89" s="25"/>
      <c r="C89" s="25"/>
      <c r="D89" s="25"/>
      <c r="E89" s="82"/>
      <c r="F89" s="82"/>
      <c r="G89" s="25"/>
      <c r="I89" s="25"/>
      <c r="K89" s="25"/>
      <c r="M89" s="25"/>
      <c r="N89" s="25"/>
      <c r="O89" s="25"/>
      <c r="P89" s="25"/>
      <c r="Q89" s="25"/>
    </row>
    <row r="90" spans="1:17">
      <c r="A90" s="25"/>
      <c r="B90" s="25"/>
      <c r="C90" s="25"/>
      <c r="D90" s="25"/>
      <c r="E90" s="82"/>
      <c r="F90" s="82"/>
      <c r="G90" s="25"/>
      <c r="I90" s="25"/>
      <c r="K90" s="25"/>
      <c r="M90" s="25"/>
      <c r="N90" s="25"/>
      <c r="O90" s="25"/>
      <c r="P90" s="25"/>
      <c r="Q90" s="25"/>
    </row>
    <row r="91" spans="1:17">
      <c r="A91" s="25"/>
      <c r="B91" s="25"/>
      <c r="C91" s="25"/>
      <c r="D91" s="25"/>
      <c r="E91" s="82"/>
      <c r="F91" s="82"/>
      <c r="G91" s="25"/>
      <c r="I91" s="25"/>
      <c r="K91" s="25"/>
      <c r="M91" s="25"/>
      <c r="N91" s="25"/>
      <c r="O91" s="25"/>
      <c r="P91" s="25"/>
      <c r="Q91" s="25"/>
    </row>
    <row r="92" spans="1:17">
      <c r="A92" s="25"/>
      <c r="B92" s="25"/>
      <c r="C92" s="25"/>
      <c r="D92" s="25"/>
      <c r="E92" s="82"/>
      <c r="F92" s="82"/>
      <c r="G92" s="25"/>
      <c r="I92" s="25"/>
      <c r="K92" s="25"/>
      <c r="M92" s="25"/>
      <c r="N92" s="25"/>
      <c r="O92" s="25"/>
      <c r="P92" s="25"/>
      <c r="Q92" s="25"/>
    </row>
    <row r="93" spans="1:17">
      <c r="A93" s="25"/>
      <c r="B93" s="25"/>
      <c r="C93" s="25"/>
      <c r="D93" s="25"/>
      <c r="E93" s="25"/>
      <c r="F93" s="25"/>
      <c r="G93" s="25"/>
      <c r="I93" s="25"/>
      <c r="K93" s="25"/>
      <c r="M93" s="25"/>
      <c r="N93" s="25"/>
      <c r="O93" s="25"/>
      <c r="P93" s="25"/>
      <c r="Q93" s="25"/>
    </row>
    <row r="94" spans="1:17">
      <c r="A94" s="25"/>
      <c r="B94" s="25"/>
      <c r="C94" s="25"/>
      <c r="D94" s="25"/>
      <c r="E94" s="25"/>
      <c r="F94" s="25"/>
      <c r="G94" s="25"/>
      <c r="I94" s="25"/>
      <c r="K94" s="25"/>
      <c r="M94" s="25"/>
      <c r="N94" s="25"/>
      <c r="O94" s="25"/>
      <c r="P94" s="25"/>
      <c r="Q94" s="25"/>
    </row>
    <row r="95" spans="1:17">
      <c r="A95" s="25"/>
      <c r="B95" s="25"/>
      <c r="C95" s="25"/>
      <c r="D95" s="25"/>
      <c r="E95" s="25"/>
      <c r="F95" s="25"/>
      <c r="G95" s="25"/>
      <c r="I95" s="25"/>
      <c r="K95" s="25"/>
      <c r="M95" s="25"/>
      <c r="N95" s="25"/>
      <c r="O95" s="25"/>
      <c r="P95" s="25"/>
      <c r="Q95" s="25"/>
    </row>
    <row r="96" spans="1:17">
      <c r="A96" s="25"/>
      <c r="B96" s="25"/>
      <c r="C96" s="25"/>
      <c r="D96" s="25"/>
      <c r="E96" s="25"/>
      <c r="F96" s="25"/>
      <c r="G96" s="25"/>
      <c r="I96" s="25"/>
      <c r="K96" s="25"/>
      <c r="M96" s="25"/>
      <c r="N96" s="25"/>
      <c r="O96" s="25"/>
      <c r="P96" s="25"/>
      <c r="Q96" s="25"/>
    </row>
    <row r="97" spans="1:17">
      <c r="A97" s="25"/>
      <c r="B97" s="25"/>
      <c r="C97" s="25"/>
      <c r="D97" s="25"/>
      <c r="E97" s="25"/>
      <c r="F97" s="25"/>
      <c r="G97" s="25"/>
      <c r="I97" s="25"/>
      <c r="K97" s="25"/>
      <c r="M97" s="25"/>
      <c r="N97" s="25"/>
      <c r="O97" s="25"/>
      <c r="P97" s="25"/>
      <c r="Q97" s="25"/>
    </row>
    <row r="98" spans="1:17">
      <c r="A98" s="25"/>
      <c r="B98" s="25"/>
      <c r="C98" s="25"/>
      <c r="D98" s="25"/>
      <c r="E98" s="25"/>
      <c r="F98" s="25"/>
      <c r="G98" s="25"/>
      <c r="I98" s="25"/>
      <c r="K98" s="25"/>
      <c r="M98" s="25"/>
      <c r="N98" s="25"/>
      <c r="O98" s="25"/>
      <c r="P98" s="25"/>
      <c r="Q98" s="25"/>
    </row>
    <row r="99" spans="1:17">
      <c r="A99" s="25"/>
      <c r="B99" s="25"/>
      <c r="C99" s="25"/>
      <c r="D99" s="25"/>
      <c r="E99" s="25"/>
      <c r="F99" s="25"/>
      <c r="G99" s="25"/>
      <c r="I99" s="25"/>
      <c r="K99" s="25"/>
      <c r="M99" s="25"/>
      <c r="N99" s="25"/>
      <c r="O99" s="25"/>
      <c r="P99" s="25"/>
      <c r="Q99" s="25"/>
    </row>
  </sheetData>
  <sheetProtection algorithmName="SHA-512" hashValue="vlrf79eImqyIYZ+Y9P2ExwxIOSXlGmOZfHB9WawQUCNs8a4/0y9099ghae6AFnHkswYancDqzkGUTdNDA6Or6g==" saltValue="x3QVrrqBV/juW5ajkTzGFg==" spinCount="100000" sheet="1" objects="1" scenarios="1"/>
  <mergeCells count="20">
    <mergeCell ref="F7:G7"/>
    <mergeCell ref="B13:C13"/>
    <mergeCell ref="E21:F21"/>
    <mergeCell ref="F34:G34"/>
    <mergeCell ref="E48:F48"/>
    <mergeCell ref="G48:H48"/>
    <mergeCell ref="I48:J48"/>
    <mergeCell ref="K48:L48"/>
    <mergeCell ref="E59:F59"/>
    <mergeCell ref="E60:F60"/>
    <mergeCell ref="E61:F61"/>
    <mergeCell ref="E63:F63"/>
    <mergeCell ref="G63:H63"/>
    <mergeCell ref="I63:J63"/>
    <mergeCell ref="K63:L63"/>
    <mergeCell ref="E74:F74"/>
    <mergeCell ref="E75:F75"/>
    <mergeCell ref="E76:F76"/>
    <mergeCell ref="C84:D84"/>
    <mergeCell ref="C85:D85"/>
  </mergeCells>
  <conditionalFormatting sqref="J61 L61 H76 J76 L76 G61:H61">
    <cfRule type="cellIs" dxfId="0" priority="1" operator="lessThan">
      <formula>0</formula>
    </cfRule>
  </conditionalFormatting>
  <pageMargins left="0.7" right="0.7" top="0.75" bottom="0.75" header="0.3" footer="0.3"/>
  <pageSetup paperSize="1" scale="64" orientation="landscape"/>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1"/>
  <legacyDrawing r:id="rId2"/>
  <controls>
    <mc:AlternateContent xmlns:mc="http://schemas.openxmlformats.org/markup-compatibility/2006">
      <mc:Choice Requires="x14">
        <control shapeId="16386" r:id="rId3" name="ComboBox1">
          <controlPr defaultSize="0" r:id="rId4">
            <anchor moveWithCells="1">
              <from>
                <xdr:col>3</xdr:col>
                <xdr:colOff>587375</xdr:colOff>
                <xdr:row>0</xdr:row>
                <xdr:rowOff>76835</xdr:rowOff>
              </from>
              <to>
                <xdr:col>7</xdr:col>
                <xdr:colOff>441960</xdr:colOff>
                <xdr:row>0</xdr:row>
                <xdr:rowOff>329565</xdr:rowOff>
              </to>
            </anchor>
          </controlPr>
        </control>
      </mc:Choice>
      <mc:Fallback>
        <control shapeId="16386" r:id="rId3" name="ComboBox1"/>
      </mc:Fallback>
    </mc:AlternateContent>
    <mc:AlternateContent xmlns:mc="http://schemas.openxmlformats.org/markup-compatibility/2006">
      <mc:Choice Requires="x14">
        <control shapeId="16387" name="Check Box 3" r:id="rId5">
          <controlPr defaultSize="0">
            <anchor moveWithCells="1">
              <from>
                <xdr:col>1</xdr:col>
                <xdr:colOff>502920</xdr:colOff>
                <xdr:row>1</xdr:row>
                <xdr:rowOff>127000</xdr:rowOff>
              </from>
              <to>
                <xdr:col>1</xdr:col>
                <xdr:colOff>671830</xdr:colOff>
                <xdr:row>1</xdr:row>
                <xdr:rowOff>345440</xdr:rowOff>
              </to>
            </anchor>
          </controlPr>
        </control>
      </mc:Choice>
    </mc:AlternateContent>
    <mc:AlternateContent xmlns:mc="http://schemas.openxmlformats.org/markup-compatibility/2006">
      <mc:Choice Requires="x14">
        <control shapeId="16388" name="Check Box 4" r:id="rId6">
          <controlPr defaultSize="0">
            <anchor moveWithCells="1">
              <from>
                <xdr:col>1</xdr:col>
                <xdr:colOff>502920</xdr:colOff>
                <xdr:row>1</xdr:row>
                <xdr:rowOff>307975</xdr:rowOff>
              </from>
              <to>
                <xdr:col>1</xdr:col>
                <xdr:colOff>671830</xdr:colOff>
                <xdr:row>2</xdr:row>
                <xdr:rowOff>3175</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9600"/>
  </sheetPr>
  <dimension ref="A1:Y93"/>
  <sheetViews>
    <sheetView showGridLines="0" showRowColHeaders="0" zoomScale="110" zoomScaleNormal="110" workbookViewId="0">
      <pane ySplit="1" topLeftCell="A2" activePane="bottomLeft" state="frozen"/>
      <selection/>
      <selection pane="bottomLeft" activeCell="A2" sqref="A2"/>
    </sheetView>
  </sheetViews>
  <sheetFormatPr defaultColWidth="9.14166666666667" defaultRowHeight="11.25"/>
  <cols>
    <col min="1" max="1" width="6.14166666666667" style="2" customWidth="1"/>
    <col min="2" max="2" width="6.56666666666667" style="3" customWidth="1"/>
    <col min="3" max="3" width="48.1416666666667" style="3" customWidth="1"/>
    <col min="4" max="5" width="15.8583333333333" style="3" customWidth="1"/>
    <col min="6" max="6" width="13.425" style="3" customWidth="1"/>
    <col min="7" max="7" width="14.5666666666667" style="3" customWidth="1"/>
    <col min="8" max="13" width="7.425" style="3" customWidth="1"/>
    <col min="14" max="16384" width="9.14166666666667" style="3"/>
  </cols>
  <sheetData>
    <row r="1" s="1" customFormat="1" ht="41.25" customHeight="1" spans="12:25">
      <c r="L1" s="20"/>
      <c r="N1" s="3"/>
      <c r="O1" s="3"/>
      <c r="Q1" s="20"/>
      <c r="R1" s="20"/>
      <c r="S1" s="20"/>
      <c r="T1" s="20"/>
      <c r="U1" s="20"/>
      <c r="V1" s="20"/>
      <c r="W1" s="20"/>
      <c r="X1" s="20"/>
      <c r="Y1" s="20"/>
    </row>
    <row r="2" spans="14:15">
      <c r="N2" s="21"/>
      <c r="O2" s="21"/>
    </row>
    <row r="3" spans="1:12">
      <c r="A3" s="4"/>
      <c r="B3" s="5" t="s">
        <v>1355</v>
      </c>
      <c r="C3" s="6"/>
      <c r="D3" s="7"/>
      <c r="E3" s="7"/>
      <c r="F3" s="7"/>
      <c r="G3" s="7"/>
      <c r="H3" s="7"/>
      <c r="I3" s="7"/>
      <c r="J3" s="7"/>
      <c r="K3" s="7"/>
      <c r="L3" s="7"/>
    </row>
    <row r="4" spans="1:12">
      <c r="A4" s="4"/>
      <c r="B4" s="7"/>
      <c r="C4" s="7"/>
      <c r="D4" s="7"/>
      <c r="E4" s="7"/>
      <c r="F4" s="7"/>
      <c r="G4" s="7"/>
      <c r="H4" s="7"/>
      <c r="I4" s="7"/>
      <c r="J4" s="7"/>
      <c r="K4" s="7"/>
      <c r="L4" s="7"/>
    </row>
    <row r="5" spans="1:13">
      <c r="A5" s="3"/>
      <c r="B5" s="8"/>
      <c r="C5" s="9" t="s">
        <v>1356</v>
      </c>
      <c r="D5" s="9" t="s">
        <v>1357</v>
      </c>
      <c r="E5" s="10" t="s">
        <v>441</v>
      </c>
      <c r="F5" s="11" t="s">
        <v>1358</v>
      </c>
      <c r="G5" s="9" t="s">
        <v>1359</v>
      </c>
      <c r="H5" s="12"/>
      <c r="I5" s="7"/>
      <c r="J5" s="7"/>
      <c r="K5" s="7"/>
      <c r="L5" s="7"/>
      <c r="M5" s="7"/>
    </row>
    <row r="6" spans="1:13">
      <c r="A6" s="3"/>
      <c r="B6" s="13">
        <v>1</v>
      </c>
      <c r="C6" s="14" t="s">
        <v>1360</v>
      </c>
      <c r="D6" s="15" t="s">
        <v>1361</v>
      </c>
      <c r="E6" s="16">
        <v>42009.3333333333</v>
      </c>
      <c r="F6" s="17">
        <v>42013.7083333333</v>
      </c>
      <c r="G6" s="18"/>
      <c r="H6" s="7"/>
      <c r="I6" s="7"/>
      <c r="J6" s="7"/>
      <c r="K6" s="7"/>
      <c r="L6" s="7"/>
      <c r="M6" s="7"/>
    </row>
    <row r="7" spans="1:13">
      <c r="A7" s="3"/>
      <c r="B7" s="13">
        <v>1.1</v>
      </c>
      <c r="C7" s="14" t="s">
        <v>1362</v>
      </c>
      <c r="D7" s="15" t="s">
        <v>1361</v>
      </c>
      <c r="E7" s="16">
        <v>42009.3333333333</v>
      </c>
      <c r="F7" s="17">
        <v>42013.7083333333</v>
      </c>
      <c r="G7" s="18"/>
      <c r="H7" s="7"/>
      <c r="I7" s="7"/>
      <c r="J7" s="7"/>
      <c r="K7" s="7"/>
      <c r="L7" s="7"/>
      <c r="M7" s="7"/>
    </row>
    <row r="8" spans="1:13">
      <c r="A8" s="3"/>
      <c r="B8" s="13">
        <v>1.2</v>
      </c>
      <c r="C8" s="14" t="s">
        <v>1363</v>
      </c>
      <c r="D8" s="15" t="s">
        <v>1361</v>
      </c>
      <c r="E8" s="16">
        <v>42009.3333333333</v>
      </c>
      <c r="F8" s="17">
        <v>42013.7083333333</v>
      </c>
      <c r="G8" s="18"/>
      <c r="H8" s="7"/>
      <c r="I8" s="7"/>
      <c r="J8" s="7"/>
      <c r="K8" s="7"/>
      <c r="L8" s="7"/>
      <c r="M8" s="7"/>
    </row>
    <row r="9" spans="1:13">
      <c r="A9" s="3"/>
      <c r="B9" s="13">
        <v>1.3</v>
      </c>
      <c r="C9" s="14" t="s">
        <v>1364</v>
      </c>
      <c r="D9" s="15" t="s">
        <v>1361</v>
      </c>
      <c r="E9" s="16">
        <v>42009.3333333333</v>
      </c>
      <c r="F9" s="17">
        <v>42013.7083333333</v>
      </c>
      <c r="G9" s="18"/>
      <c r="H9" s="7"/>
      <c r="I9" s="7"/>
      <c r="J9" s="7"/>
      <c r="K9" s="7"/>
      <c r="L9" s="7"/>
      <c r="M9" s="7"/>
    </row>
    <row r="10" spans="1:13">
      <c r="A10" s="3"/>
      <c r="B10" s="13">
        <v>2</v>
      </c>
      <c r="C10" s="14" t="s">
        <v>1365</v>
      </c>
      <c r="D10" s="15" t="s">
        <v>1366</v>
      </c>
      <c r="E10" s="16">
        <v>42016.3333333333</v>
      </c>
      <c r="F10" s="17">
        <v>42017.7083333333</v>
      </c>
      <c r="G10" s="19" t="s">
        <v>1367</v>
      </c>
      <c r="H10" s="7"/>
      <c r="I10" s="7"/>
      <c r="J10" s="7"/>
      <c r="K10" s="7"/>
      <c r="L10" s="7"/>
      <c r="M10" s="7"/>
    </row>
    <row r="11" spans="1:13">
      <c r="A11" s="3"/>
      <c r="B11" s="13">
        <v>2.1</v>
      </c>
      <c r="C11" s="14" t="s">
        <v>1368</v>
      </c>
      <c r="D11" s="15" t="s">
        <v>1366</v>
      </c>
      <c r="E11" s="16">
        <v>42016.3333333333</v>
      </c>
      <c r="F11" s="17">
        <v>42017.7083333333</v>
      </c>
      <c r="G11" s="18"/>
      <c r="H11" s="7"/>
      <c r="I11" s="7"/>
      <c r="J11" s="7"/>
      <c r="K11" s="7"/>
      <c r="L11" s="7"/>
      <c r="M11" s="7"/>
    </row>
    <row r="12" spans="1:13">
      <c r="A12" s="3"/>
      <c r="B12" s="13">
        <v>2.2</v>
      </c>
      <c r="C12" s="14" t="s">
        <v>1369</v>
      </c>
      <c r="D12" s="15" t="s">
        <v>1366</v>
      </c>
      <c r="E12" s="16">
        <v>42016.3333333333</v>
      </c>
      <c r="F12" s="17">
        <v>42017.7083333333</v>
      </c>
      <c r="G12" s="18"/>
      <c r="H12" s="7"/>
      <c r="I12" s="7"/>
      <c r="J12" s="7"/>
      <c r="K12" s="7"/>
      <c r="L12" s="7"/>
      <c r="M12" s="7"/>
    </row>
    <row r="13" spans="1:13">
      <c r="A13" s="3"/>
      <c r="B13" s="13">
        <v>3</v>
      </c>
      <c r="C13" s="14" t="s">
        <v>1370</v>
      </c>
      <c r="D13" s="15" t="s">
        <v>1361</v>
      </c>
      <c r="E13" s="16">
        <v>42018.3333333333</v>
      </c>
      <c r="F13" s="17">
        <v>42024.7083333333</v>
      </c>
      <c r="G13" s="19" t="s">
        <v>1371</v>
      </c>
      <c r="H13" s="7"/>
      <c r="I13" s="7"/>
      <c r="J13" s="7"/>
      <c r="K13" s="7"/>
      <c r="L13" s="7"/>
      <c r="M13" s="7"/>
    </row>
    <row r="14" spans="1:13">
      <c r="A14" s="3"/>
      <c r="B14" s="13">
        <v>4</v>
      </c>
      <c r="C14" s="14" t="s">
        <v>1372</v>
      </c>
      <c r="D14" s="15" t="s">
        <v>1361</v>
      </c>
      <c r="E14" s="16">
        <v>42025.3333333333</v>
      </c>
      <c r="F14" s="17">
        <v>42031.7083333333</v>
      </c>
      <c r="G14" s="19" t="s">
        <v>1373</v>
      </c>
      <c r="H14" s="7"/>
      <c r="I14" s="7"/>
      <c r="J14" s="7"/>
      <c r="K14" s="7"/>
      <c r="L14" s="7"/>
      <c r="M14" s="7"/>
    </row>
    <row r="15" spans="1:13">
      <c r="A15" s="3"/>
      <c r="B15" s="13">
        <v>5</v>
      </c>
      <c r="C15" s="14" t="s">
        <v>1374</v>
      </c>
      <c r="D15" s="15" t="s">
        <v>1361</v>
      </c>
      <c r="E15" s="16">
        <v>42031.7083333333</v>
      </c>
      <c r="F15" s="17">
        <v>42038.7083333333</v>
      </c>
      <c r="G15" s="19" t="s">
        <v>1375</v>
      </c>
      <c r="H15" s="7"/>
      <c r="I15" s="7"/>
      <c r="J15" s="7"/>
      <c r="K15" s="7"/>
      <c r="L15" s="7"/>
      <c r="M15" s="7"/>
    </row>
    <row r="16" spans="1:13">
      <c r="A16" s="3"/>
      <c r="B16" s="4"/>
      <c r="C16" s="14" t="s">
        <v>1376</v>
      </c>
      <c r="D16" s="15" t="s">
        <v>1377</v>
      </c>
      <c r="E16" s="16">
        <v>42031.7083333333</v>
      </c>
      <c r="F16" s="17">
        <v>42031.7083333333</v>
      </c>
      <c r="G16" s="18"/>
      <c r="H16" s="7"/>
      <c r="I16" s="7"/>
      <c r="J16" s="7"/>
      <c r="K16" s="7"/>
      <c r="L16" s="7"/>
      <c r="M16" s="7"/>
    </row>
    <row r="17" spans="1:13">
      <c r="A17" s="3"/>
      <c r="B17" s="13">
        <v>5.1</v>
      </c>
      <c r="C17" s="14" t="s">
        <v>1378</v>
      </c>
      <c r="D17" s="15" t="s">
        <v>1379</v>
      </c>
      <c r="E17" s="16">
        <v>42032.3333333333</v>
      </c>
      <c r="F17" s="17">
        <v>42032.7083333333</v>
      </c>
      <c r="G17" s="18"/>
      <c r="H17" s="7"/>
      <c r="I17" s="7"/>
      <c r="J17" s="7"/>
      <c r="K17" s="7"/>
      <c r="L17" s="7"/>
      <c r="M17" s="7"/>
    </row>
    <row r="18" spans="1:13">
      <c r="A18" s="3"/>
      <c r="B18" s="13">
        <v>5.2</v>
      </c>
      <c r="C18" s="14" t="s">
        <v>1380</v>
      </c>
      <c r="D18" s="15" t="s">
        <v>1366</v>
      </c>
      <c r="E18" s="16">
        <v>42033.3333333333</v>
      </c>
      <c r="F18" s="17">
        <v>42034.7083333333</v>
      </c>
      <c r="G18" s="19" t="s">
        <v>1381</v>
      </c>
      <c r="H18" s="7"/>
      <c r="I18" s="7"/>
      <c r="J18" s="7"/>
      <c r="K18" s="7"/>
      <c r="L18" s="7"/>
      <c r="M18" s="7"/>
    </row>
    <row r="19" spans="1:13">
      <c r="A19" s="3"/>
      <c r="B19" s="13" t="s">
        <v>1382</v>
      </c>
      <c r="C19" s="14" t="s">
        <v>1383</v>
      </c>
      <c r="D19" s="15" t="s">
        <v>1377</v>
      </c>
      <c r="E19" s="16">
        <v>42034.7083333333</v>
      </c>
      <c r="F19" s="17">
        <v>42034.7083333333</v>
      </c>
      <c r="G19" s="19" t="s">
        <v>1384</v>
      </c>
      <c r="H19" s="7"/>
      <c r="I19" s="7"/>
      <c r="J19" s="7"/>
      <c r="K19" s="7"/>
      <c r="L19" s="7"/>
      <c r="M19" s="7"/>
    </row>
    <row r="20" spans="1:13">
      <c r="A20" s="3"/>
      <c r="B20" s="13" t="s">
        <v>1385</v>
      </c>
      <c r="C20" s="14" t="s">
        <v>1386</v>
      </c>
      <c r="D20" s="15" t="s">
        <v>1377</v>
      </c>
      <c r="E20" s="16">
        <v>42034.7083333333</v>
      </c>
      <c r="F20" s="17">
        <v>42034.7083333333</v>
      </c>
      <c r="G20" s="19" t="s">
        <v>1384</v>
      </c>
      <c r="H20" s="7"/>
      <c r="I20" s="7"/>
      <c r="J20" s="7"/>
      <c r="K20" s="7"/>
      <c r="L20" s="7"/>
      <c r="M20" s="7"/>
    </row>
    <row r="21" spans="1:13">
      <c r="A21" s="3"/>
      <c r="B21" s="13" t="s">
        <v>1387</v>
      </c>
      <c r="C21" s="14" t="s">
        <v>1388</v>
      </c>
      <c r="D21" s="15" t="s">
        <v>1377</v>
      </c>
      <c r="E21" s="16">
        <v>42034.7083333333</v>
      </c>
      <c r="F21" s="17">
        <v>42034.7083333333</v>
      </c>
      <c r="G21" s="19" t="s">
        <v>1384</v>
      </c>
      <c r="H21" s="7"/>
      <c r="I21" s="7"/>
      <c r="J21" s="7"/>
      <c r="K21" s="7"/>
      <c r="L21" s="7"/>
      <c r="M21" s="7"/>
    </row>
    <row r="22" spans="1:13">
      <c r="A22" s="3"/>
      <c r="B22" s="13">
        <v>5.3</v>
      </c>
      <c r="C22" s="14" t="s">
        <v>1389</v>
      </c>
      <c r="D22" s="15" t="s">
        <v>1379</v>
      </c>
      <c r="E22" s="16">
        <v>42037.3333333333</v>
      </c>
      <c r="F22" s="17">
        <v>42037.7083333333</v>
      </c>
      <c r="G22" s="19" t="s">
        <v>1390</v>
      </c>
      <c r="H22" s="7"/>
      <c r="I22" s="7"/>
      <c r="J22" s="7"/>
      <c r="K22" s="7"/>
      <c r="L22" s="7"/>
      <c r="M22" s="7"/>
    </row>
    <row r="23" spans="1:13">
      <c r="A23" s="3"/>
      <c r="B23" s="13">
        <v>5.4</v>
      </c>
      <c r="C23" s="14" t="s">
        <v>1374</v>
      </c>
      <c r="D23" s="15" t="s">
        <v>1379</v>
      </c>
      <c r="E23" s="16">
        <v>42038.3333333333</v>
      </c>
      <c r="F23" s="17">
        <v>42038.7083333333</v>
      </c>
      <c r="G23" s="19" t="s">
        <v>1391</v>
      </c>
      <c r="H23" s="7"/>
      <c r="I23" s="7"/>
      <c r="J23" s="7"/>
      <c r="K23" s="7"/>
      <c r="L23" s="7"/>
      <c r="M23" s="7"/>
    </row>
    <row r="24" spans="1:13">
      <c r="A24" s="3"/>
      <c r="B24" s="13">
        <v>6</v>
      </c>
      <c r="C24" s="14" t="s">
        <v>1392</v>
      </c>
      <c r="D24" s="15" t="s">
        <v>1361</v>
      </c>
      <c r="E24" s="16">
        <v>42039.3333333333</v>
      </c>
      <c r="F24" s="17">
        <v>42045.7083333333</v>
      </c>
      <c r="G24" s="19" t="s">
        <v>1393</v>
      </c>
      <c r="H24" s="7"/>
      <c r="I24" s="7"/>
      <c r="J24" s="7"/>
      <c r="K24" s="7"/>
      <c r="L24" s="7"/>
      <c r="M24" s="7"/>
    </row>
    <row r="25" spans="1:13">
      <c r="A25" s="3"/>
      <c r="B25" s="13">
        <v>6.1</v>
      </c>
      <c r="C25" s="14" t="s">
        <v>1394</v>
      </c>
      <c r="D25" s="15" t="s">
        <v>1366</v>
      </c>
      <c r="E25" s="16">
        <v>42039.3333333333</v>
      </c>
      <c r="F25" s="17">
        <v>42040.7083333333</v>
      </c>
      <c r="G25" s="18"/>
      <c r="H25" s="7"/>
      <c r="I25" s="7"/>
      <c r="J25" s="7"/>
      <c r="K25" s="7"/>
      <c r="L25" s="7"/>
      <c r="M25" s="7"/>
    </row>
    <row r="26" spans="1:13">
      <c r="A26" s="3"/>
      <c r="B26" s="13">
        <v>6.2</v>
      </c>
      <c r="C26" s="14" t="s">
        <v>1395</v>
      </c>
      <c r="D26" s="15" t="s">
        <v>1366</v>
      </c>
      <c r="E26" s="16">
        <v>42041.3333333333</v>
      </c>
      <c r="F26" s="17">
        <v>42044.7083333333</v>
      </c>
      <c r="G26" s="19" t="s">
        <v>1396</v>
      </c>
      <c r="H26" s="7"/>
      <c r="I26" s="7"/>
      <c r="J26" s="7"/>
      <c r="K26" s="7"/>
      <c r="L26" s="7"/>
      <c r="M26" s="7"/>
    </row>
    <row r="27" spans="1:13">
      <c r="A27" s="3"/>
      <c r="B27" s="13">
        <v>6.3</v>
      </c>
      <c r="C27" s="14" t="s">
        <v>1397</v>
      </c>
      <c r="D27" s="15" t="s">
        <v>1377</v>
      </c>
      <c r="E27" s="16">
        <v>42044.7083333333</v>
      </c>
      <c r="F27" s="17">
        <v>42044.7083333333</v>
      </c>
      <c r="G27" s="19" t="s">
        <v>1398</v>
      </c>
      <c r="H27" s="7"/>
      <c r="I27" s="7"/>
      <c r="J27" s="7"/>
      <c r="K27" s="7"/>
      <c r="L27" s="7"/>
      <c r="M27" s="7"/>
    </row>
    <row r="28" spans="1:13">
      <c r="A28" s="3"/>
      <c r="B28" s="13">
        <v>6.4</v>
      </c>
      <c r="C28" s="14" t="s">
        <v>1399</v>
      </c>
      <c r="D28" s="15" t="s">
        <v>1379</v>
      </c>
      <c r="E28" s="16">
        <v>42045.3333333333</v>
      </c>
      <c r="F28" s="17">
        <v>42045.7083333333</v>
      </c>
      <c r="G28" s="19" t="s">
        <v>1398</v>
      </c>
      <c r="H28" s="7"/>
      <c r="I28" s="7"/>
      <c r="J28" s="7"/>
      <c r="K28" s="7"/>
      <c r="L28" s="7"/>
      <c r="M28" s="7"/>
    </row>
    <row r="29" spans="1:13">
      <c r="A29" s="3"/>
      <c r="B29" s="13">
        <v>6.5</v>
      </c>
      <c r="C29" s="14" t="s">
        <v>1400</v>
      </c>
      <c r="D29" s="15" t="s">
        <v>1377</v>
      </c>
      <c r="E29" s="16">
        <v>42045.7083333333</v>
      </c>
      <c r="F29" s="17">
        <v>42045.7083333333</v>
      </c>
      <c r="G29" s="19" t="s">
        <v>1401</v>
      </c>
      <c r="H29" s="7"/>
      <c r="I29" s="7"/>
      <c r="J29" s="7"/>
      <c r="K29" s="7"/>
      <c r="L29" s="7"/>
      <c r="M29" s="7"/>
    </row>
    <row r="30" spans="1:13">
      <c r="A30" s="3"/>
      <c r="B30" s="13">
        <v>7</v>
      </c>
      <c r="C30" s="14" t="s">
        <v>1402</v>
      </c>
      <c r="D30" s="15" t="s">
        <v>1361</v>
      </c>
      <c r="E30" s="16">
        <v>42038.7083333333</v>
      </c>
      <c r="F30" s="17">
        <v>42045.7083333333</v>
      </c>
      <c r="G30" s="19" t="s">
        <v>1393</v>
      </c>
      <c r="H30" s="7"/>
      <c r="I30" s="7"/>
      <c r="J30" s="7"/>
      <c r="K30" s="7"/>
      <c r="L30" s="7"/>
      <c r="M30" s="7"/>
    </row>
    <row r="31" spans="1:13">
      <c r="A31" s="3"/>
      <c r="B31" s="13">
        <v>7.1</v>
      </c>
      <c r="C31" s="14" t="s">
        <v>1403</v>
      </c>
      <c r="D31" s="15" t="s">
        <v>1366</v>
      </c>
      <c r="E31" s="16">
        <v>42040.3333333333</v>
      </c>
      <c r="F31" s="17">
        <v>42041.7083333333</v>
      </c>
      <c r="G31" s="18"/>
      <c r="H31" s="7"/>
      <c r="I31" s="7"/>
      <c r="J31" s="7"/>
      <c r="K31" s="7"/>
      <c r="L31" s="7"/>
      <c r="M31" s="7"/>
    </row>
    <row r="32" spans="1:13">
      <c r="A32" s="3"/>
      <c r="B32" s="13">
        <v>7.2</v>
      </c>
      <c r="C32" s="14" t="s">
        <v>1395</v>
      </c>
      <c r="D32" s="15" t="s">
        <v>1366</v>
      </c>
      <c r="E32" s="16">
        <v>42044.3333333333</v>
      </c>
      <c r="F32" s="17">
        <v>42045.7083333333</v>
      </c>
      <c r="G32" s="19" t="s">
        <v>1404</v>
      </c>
      <c r="H32" s="7"/>
      <c r="I32" s="7"/>
      <c r="J32" s="7"/>
      <c r="K32" s="7"/>
      <c r="L32" s="7"/>
      <c r="M32" s="7"/>
    </row>
    <row r="33" spans="1:13">
      <c r="A33" s="3"/>
      <c r="B33" s="13">
        <v>7.3</v>
      </c>
      <c r="C33" s="14" t="s">
        <v>1397</v>
      </c>
      <c r="D33" s="15" t="s">
        <v>1377</v>
      </c>
      <c r="E33" s="16">
        <v>42039.7083333333</v>
      </c>
      <c r="F33" s="17">
        <v>42039.7083333333</v>
      </c>
      <c r="G33" s="18"/>
      <c r="H33" s="7"/>
      <c r="I33" s="7"/>
      <c r="J33" s="7"/>
      <c r="K33" s="7"/>
      <c r="L33" s="7"/>
      <c r="M33" s="7"/>
    </row>
    <row r="34" spans="1:13">
      <c r="A34" s="3"/>
      <c r="B34" s="13">
        <v>7.4</v>
      </c>
      <c r="C34" s="14" t="s">
        <v>1399</v>
      </c>
      <c r="D34" s="15" t="s">
        <v>1379</v>
      </c>
      <c r="E34" s="16">
        <v>42046.3333333333</v>
      </c>
      <c r="F34" s="17">
        <v>42046.7083333333</v>
      </c>
      <c r="G34" s="19" t="s">
        <v>1405</v>
      </c>
      <c r="H34" s="7"/>
      <c r="I34" s="7"/>
      <c r="J34" s="7"/>
      <c r="K34" s="7"/>
      <c r="L34" s="7"/>
      <c r="M34" s="7"/>
    </row>
    <row r="35" spans="1:13">
      <c r="A35" s="3"/>
      <c r="B35" s="13">
        <v>7.5</v>
      </c>
      <c r="C35" s="14" t="s">
        <v>1400</v>
      </c>
      <c r="D35" s="15" t="s">
        <v>1377</v>
      </c>
      <c r="E35" s="16">
        <v>42039.7083333333</v>
      </c>
      <c r="F35" s="17">
        <v>42039.7083333333</v>
      </c>
      <c r="G35" s="18"/>
      <c r="H35" s="7"/>
      <c r="I35" s="7"/>
      <c r="J35" s="7"/>
      <c r="K35" s="7"/>
      <c r="L35" s="7"/>
      <c r="M35" s="7"/>
    </row>
    <row r="36" spans="1:13">
      <c r="A36" s="3"/>
      <c r="B36" s="13">
        <v>8</v>
      </c>
      <c r="C36" s="14" t="s">
        <v>1406</v>
      </c>
      <c r="D36" s="15" t="s">
        <v>1361</v>
      </c>
      <c r="E36" s="16">
        <v>42039.7083333333</v>
      </c>
      <c r="F36" s="17">
        <v>42046.7083333333</v>
      </c>
      <c r="G36" s="19" t="s">
        <v>1393</v>
      </c>
      <c r="H36" s="7"/>
      <c r="I36" s="7"/>
      <c r="J36" s="7"/>
      <c r="K36" s="7"/>
      <c r="L36" s="7"/>
      <c r="M36" s="7"/>
    </row>
    <row r="37" spans="1:13">
      <c r="A37" s="3"/>
      <c r="B37" s="13">
        <v>8.1</v>
      </c>
      <c r="C37" s="14" t="s">
        <v>1407</v>
      </c>
      <c r="D37" s="15" t="s">
        <v>1366</v>
      </c>
      <c r="E37" s="16">
        <v>42040.3333333333</v>
      </c>
      <c r="F37" s="17">
        <v>42041.7083333333</v>
      </c>
      <c r="G37" s="18"/>
      <c r="H37" s="7"/>
      <c r="I37" s="7"/>
      <c r="J37" s="7"/>
      <c r="K37" s="7"/>
      <c r="L37" s="7"/>
      <c r="M37" s="7"/>
    </row>
    <row r="38" spans="1:13">
      <c r="A38" s="3"/>
      <c r="B38" s="13">
        <v>8.2</v>
      </c>
      <c r="C38" s="14" t="s">
        <v>1395</v>
      </c>
      <c r="D38" s="15" t="s">
        <v>1366</v>
      </c>
      <c r="E38" s="16">
        <v>42044.3333333333</v>
      </c>
      <c r="F38" s="17">
        <v>42045.7083333333</v>
      </c>
      <c r="G38" s="19" t="s">
        <v>1408</v>
      </c>
      <c r="H38" s="7"/>
      <c r="I38" s="7"/>
      <c r="J38" s="7"/>
      <c r="K38" s="7"/>
      <c r="L38" s="7"/>
      <c r="M38" s="7"/>
    </row>
    <row r="39" spans="1:13">
      <c r="A39" s="3"/>
      <c r="B39" s="13">
        <v>8.3</v>
      </c>
      <c r="C39" s="14" t="s">
        <v>1397</v>
      </c>
      <c r="D39" s="15" t="s">
        <v>1377</v>
      </c>
      <c r="E39" s="16">
        <v>42039.7083333333</v>
      </c>
      <c r="F39" s="17">
        <v>42039.7083333333</v>
      </c>
      <c r="G39" s="18"/>
      <c r="H39" s="7"/>
      <c r="I39" s="7"/>
      <c r="J39" s="7"/>
      <c r="K39" s="7"/>
      <c r="L39" s="7"/>
      <c r="M39" s="7"/>
    </row>
    <row r="40" spans="1:13">
      <c r="A40" s="3"/>
      <c r="B40" s="13">
        <v>8.4</v>
      </c>
      <c r="C40" s="14" t="s">
        <v>1399</v>
      </c>
      <c r="D40" s="15" t="s">
        <v>1379</v>
      </c>
      <c r="E40" s="16">
        <v>42046.3333333333</v>
      </c>
      <c r="F40" s="17">
        <v>42046.7083333333</v>
      </c>
      <c r="G40" s="19" t="s">
        <v>1409</v>
      </c>
      <c r="H40" s="7"/>
      <c r="I40" s="7"/>
      <c r="J40" s="7"/>
      <c r="K40" s="7"/>
      <c r="L40" s="7"/>
      <c r="M40" s="7"/>
    </row>
    <row r="41" spans="1:13">
      <c r="A41" s="3"/>
      <c r="B41" s="13">
        <v>8.5</v>
      </c>
      <c r="C41" s="14" t="s">
        <v>1410</v>
      </c>
      <c r="D41" s="15" t="s">
        <v>1377</v>
      </c>
      <c r="E41" s="16">
        <v>42039.7083333333</v>
      </c>
      <c r="F41" s="17">
        <v>42039.7083333333</v>
      </c>
      <c r="G41" s="18"/>
      <c r="H41" s="7"/>
      <c r="I41" s="7"/>
      <c r="J41" s="7"/>
      <c r="K41" s="7"/>
      <c r="L41" s="7"/>
      <c r="M41" s="7"/>
    </row>
    <row r="42" spans="1:13">
      <c r="A42" s="3"/>
      <c r="B42" s="13">
        <v>9</v>
      </c>
      <c r="C42" s="14" t="s">
        <v>1411</v>
      </c>
      <c r="D42" s="15" t="s">
        <v>1361</v>
      </c>
      <c r="E42" s="16">
        <v>42039.7083333333</v>
      </c>
      <c r="F42" s="17">
        <v>42046.7083333333</v>
      </c>
      <c r="G42" s="19" t="s">
        <v>1393</v>
      </c>
      <c r="H42" s="7"/>
      <c r="I42" s="7"/>
      <c r="J42" s="7"/>
      <c r="K42" s="7"/>
      <c r="L42" s="7"/>
      <c r="M42" s="7"/>
    </row>
    <row r="43" spans="1:13">
      <c r="A43" s="3"/>
      <c r="B43" s="13">
        <v>9.1</v>
      </c>
      <c r="C43" s="14" t="s">
        <v>1412</v>
      </c>
      <c r="D43" s="15" t="s">
        <v>1366</v>
      </c>
      <c r="E43" s="16">
        <v>42040.3333333333</v>
      </c>
      <c r="F43" s="17">
        <v>42041.7083333333</v>
      </c>
      <c r="G43" s="18"/>
      <c r="H43" s="7"/>
      <c r="I43" s="7"/>
      <c r="J43" s="7"/>
      <c r="K43" s="7"/>
      <c r="L43" s="7"/>
      <c r="M43" s="7"/>
    </row>
    <row r="44" spans="1:13">
      <c r="A44" s="3"/>
      <c r="B44" s="13">
        <v>9.2</v>
      </c>
      <c r="C44" s="14" t="s">
        <v>1395</v>
      </c>
      <c r="D44" s="15" t="s">
        <v>1366</v>
      </c>
      <c r="E44" s="16">
        <v>42044.3333333333</v>
      </c>
      <c r="F44" s="17">
        <v>42045.7083333333</v>
      </c>
      <c r="G44" s="19" t="s">
        <v>1413</v>
      </c>
      <c r="H44" s="7"/>
      <c r="I44" s="7"/>
      <c r="J44" s="7"/>
      <c r="K44" s="7"/>
      <c r="L44" s="7"/>
      <c r="M44" s="7"/>
    </row>
    <row r="45" spans="1:13">
      <c r="A45" s="3"/>
      <c r="B45" s="13">
        <v>9.3</v>
      </c>
      <c r="C45" s="14" t="s">
        <v>1397</v>
      </c>
      <c r="D45" s="15" t="s">
        <v>1377</v>
      </c>
      <c r="E45" s="16">
        <v>42039.7083333333</v>
      </c>
      <c r="F45" s="17">
        <v>42039.7083333333</v>
      </c>
      <c r="G45" s="18"/>
      <c r="H45" s="7"/>
      <c r="I45" s="7"/>
      <c r="J45" s="7"/>
      <c r="K45" s="7"/>
      <c r="L45" s="7"/>
      <c r="M45" s="7"/>
    </row>
    <row r="46" spans="1:13">
      <c r="A46" s="3"/>
      <c r="B46" s="13">
        <v>9.4</v>
      </c>
      <c r="C46" s="14" t="s">
        <v>1399</v>
      </c>
      <c r="D46" s="15" t="s">
        <v>1379</v>
      </c>
      <c r="E46" s="16">
        <v>42046.3333333333</v>
      </c>
      <c r="F46" s="17">
        <v>42046.7083333333</v>
      </c>
      <c r="G46" s="19" t="s">
        <v>1414</v>
      </c>
      <c r="H46" s="7"/>
      <c r="I46" s="7"/>
      <c r="J46" s="7"/>
      <c r="K46" s="7"/>
      <c r="L46" s="7"/>
      <c r="M46" s="7"/>
    </row>
    <row r="47" spans="1:13">
      <c r="A47" s="3"/>
      <c r="B47" s="13">
        <v>9.5</v>
      </c>
      <c r="C47" s="14" t="s">
        <v>1410</v>
      </c>
      <c r="D47" s="15" t="s">
        <v>1377</v>
      </c>
      <c r="E47" s="16">
        <v>42039.7083333333</v>
      </c>
      <c r="F47" s="17">
        <v>42039.7083333333</v>
      </c>
      <c r="G47" s="18"/>
      <c r="H47" s="7"/>
      <c r="I47" s="7"/>
      <c r="J47" s="7"/>
      <c r="K47" s="7"/>
      <c r="L47" s="7"/>
      <c r="M47" s="7"/>
    </row>
    <row r="48" spans="1:13">
      <c r="A48" s="3"/>
      <c r="B48" s="13">
        <v>10</v>
      </c>
      <c r="C48" s="14" t="s">
        <v>1415</v>
      </c>
      <c r="D48" s="15" t="s">
        <v>1361</v>
      </c>
      <c r="E48" s="16">
        <v>42039.7083333333</v>
      </c>
      <c r="F48" s="17">
        <v>42046.7083333333</v>
      </c>
      <c r="G48" s="19" t="s">
        <v>1393</v>
      </c>
      <c r="H48" s="7"/>
      <c r="I48" s="7"/>
      <c r="J48" s="7"/>
      <c r="K48" s="7"/>
      <c r="L48" s="7"/>
      <c r="M48" s="7"/>
    </row>
    <row r="49" spans="1:13">
      <c r="A49" s="3"/>
      <c r="B49" s="13">
        <v>10.1</v>
      </c>
      <c r="C49" s="14" t="s">
        <v>1416</v>
      </c>
      <c r="D49" s="15" t="s">
        <v>1366</v>
      </c>
      <c r="E49" s="16">
        <v>42040.3333333333</v>
      </c>
      <c r="F49" s="17">
        <v>42041.7083333333</v>
      </c>
      <c r="G49" s="18"/>
      <c r="H49" s="7"/>
      <c r="I49" s="7"/>
      <c r="J49" s="7"/>
      <c r="K49" s="7"/>
      <c r="L49" s="7"/>
      <c r="M49" s="7"/>
    </row>
    <row r="50" spans="1:13">
      <c r="A50" s="3"/>
      <c r="B50" s="13">
        <v>10.2</v>
      </c>
      <c r="C50" s="14" t="s">
        <v>1395</v>
      </c>
      <c r="D50" s="15" t="s">
        <v>1366</v>
      </c>
      <c r="E50" s="16">
        <v>42044.3333333333</v>
      </c>
      <c r="F50" s="17">
        <v>42045.7083333333</v>
      </c>
      <c r="G50" s="19" t="s">
        <v>1417</v>
      </c>
      <c r="H50" s="7"/>
      <c r="I50" s="7"/>
      <c r="J50" s="7"/>
      <c r="K50" s="7"/>
      <c r="L50" s="7"/>
      <c r="M50" s="7"/>
    </row>
    <row r="51" spans="1:13">
      <c r="A51" s="3"/>
      <c r="B51" s="13">
        <v>10.3</v>
      </c>
      <c r="C51" s="14" t="s">
        <v>1397</v>
      </c>
      <c r="D51" s="15" t="s">
        <v>1377</v>
      </c>
      <c r="E51" s="16">
        <v>42039.7083333333</v>
      </c>
      <c r="F51" s="17">
        <v>42039.7083333333</v>
      </c>
      <c r="G51" s="18"/>
      <c r="H51" s="7"/>
      <c r="I51" s="7"/>
      <c r="J51" s="7"/>
      <c r="K51" s="7"/>
      <c r="L51" s="7"/>
      <c r="M51" s="7"/>
    </row>
    <row r="52" spans="1:13">
      <c r="A52" s="3"/>
      <c r="B52" s="13">
        <v>10.4</v>
      </c>
      <c r="C52" s="14" t="s">
        <v>1399</v>
      </c>
      <c r="D52" s="15" t="s">
        <v>1379</v>
      </c>
      <c r="E52" s="16">
        <v>42046.3333333333</v>
      </c>
      <c r="F52" s="17">
        <v>42046.7083333333</v>
      </c>
      <c r="G52" s="19" t="s">
        <v>1418</v>
      </c>
      <c r="H52" s="7"/>
      <c r="I52" s="7"/>
      <c r="J52" s="7"/>
      <c r="K52" s="7"/>
      <c r="L52" s="7"/>
      <c r="M52" s="7"/>
    </row>
    <row r="53" spans="1:13">
      <c r="A53" s="3"/>
      <c r="B53" s="13">
        <v>10.5</v>
      </c>
      <c r="C53" s="14" t="s">
        <v>1410</v>
      </c>
      <c r="D53" s="15" t="s">
        <v>1377</v>
      </c>
      <c r="E53" s="16">
        <v>42039.7083333333</v>
      </c>
      <c r="F53" s="17">
        <v>42039.7083333333</v>
      </c>
      <c r="G53" s="18"/>
      <c r="H53" s="7"/>
      <c r="I53" s="7"/>
      <c r="J53" s="7"/>
      <c r="K53" s="7"/>
      <c r="L53" s="7"/>
      <c r="M53" s="7"/>
    </row>
    <row r="54" spans="1:13">
      <c r="A54" s="3"/>
      <c r="B54" s="13">
        <v>11</v>
      </c>
      <c r="C54" s="14" t="s">
        <v>1419</v>
      </c>
      <c r="D54" s="15" t="s">
        <v>1420</v>
      </c>
      <c r="E54" s="16">
        <v>42047.3333333333</v>
      </c>
      <c r="F54" s="17">
        <v>42263.7083333333</v>
      </c>
      <c r="G54" s="19" t="s">
        <v>1421</v>
      </c>
      <c r="H54" s="7"/>
      <c r="I54" s="7"/>
      <c r="J54" s="7"/>
      <c r="K54" s="7"/>
      <c r="L54" s="7"/>
      <c r="M54" s="7"/>
    </row>
    <row r="55" spans="1:13">
      <c r="A55" s="3"/>
      <c r="B55" s="13">
        <v>11.1</v>
      </c>
      <c r="C55" s="14" t="s">
        <v>1422</v>
      </c>
      <c r="D55" s="15" t="s">
        <v>1423</v>
      </c>
      <c r="E55" s="16">
        <v>42047.3333333333</v>
      </c>
      <c r="F55" s="17">
        <v>42060.7083333333</v>
      </c>
      <c r="G55" s="18"/>
      <c r="H55" s="7"/>
      <c r="I55" s="7"/>
      <c r="J55" s="7"/>
      <c r="K55" s="7"/>
      <c r="L55" s="7"/>
      <c r="M55" s="7"/>
    </row>
    <row r="56" spans="1:13">
      <c r="A56" s="3"/>
      <c r="B56" s="13" t="s">
        <v>1424</v>
      </c>
      <c r="C56" s="14" t="s">
        <v>1425</v>
      </c>
      <c r="D56" s="15" t="s">
        <v>1366</v>
      </c>
      <c r="E56" s="16">
        <v>42047.3333333333</v>
      </c>
      <c r="F56" s="17">
        <v>42048.7083333333</v>
      </c>
      <c r="G56" s="18"/>
      <c r="H56" s="7"/>
      <c r="I56" s="7"/>
      <c r="J56" s="7"/>
      <c r="K56" s="7"/>
      <c r="L56" s="7"/>
      <c r="M56" s="7"/>
    </row>
    <row r="57" spans="1:13">
      <c r="A57" s="3"/>
      <c r="B57" s="13" t="s">
        <v>1426</v>
      </c>
      <c r="C57" s="14" t="s">
        <v>1427</v>
      </c>
      <c r="D57" s="15" t="s">
        <v>1366</v>
      </c>
      <c r="E57" s="16">
        <v>42051.3333333333</v>
      </c>
      <c r="F57" s="17">
        <v>42052.7083333333</v>
      </c>
      <c r="G57" s="19" t="s">
        <v>1428</v>
      </c>
      <c r="H57" s="7"/>
      <c r="I57" s="7"/>
      <c r="J57" s="7"/>
      <c r="K57" s="7"/>
      <c r="L57" s="7"/>
      <c r="M57" s="7"/>
    </row>
    <row r="58" spans="1:13">
      <c r="A58" s="3"/>
      <c r="B58" s="13" t="s">
        <v>1429</v>
      </c>
      <c r="C58" s="14" t="s">
        <v>1430</v>
      </c>
      <c r="D58" s="15" t="s">
        <v>1366</v>
      </c>
      <c r="E58" s="16">
        <v>42053.3333333333</v>
      </c>
      <c r="F58" s="17">
        <v>42054.7083333333</v>
      </c>
      <c r="G58" s="19" t="s">
        <v>1431</v>
      </c>
      <c r="H58" s="7"/>
      <c r="I58" s="7"/>
      <c r="J58" s="7"/>
      <c r="K58" s="7"/>
      <c r="L58" s="7"/>
      <c r="M58" s="7"/>
    </row>
    <row r="59" spans="1:13">
      <c r="A59" s="3"/>
      <c r="B59" s="13">
        <v>11.2</v>
      </c>
      <c r="C59" s="14" t="s">
        <v>1432</v>
      </c>
      <c r="D59" s="15" t="s">
        <v>1379</v>
      </c>
      <c r="E59" s="16">
        <v>42055.3333333333</v>
      </c>
      <c r="F59" s="17">
        <v>42055.7083333333</v>
      </c>
      <c r="G59" s="19" t="s">
        <v>1433</v>
      </c>
      <c r="H59" s="7"/>
      <c r="I59" s="7"/>
      <c r="J59" s="7"/>
      <c r="K59" s="7"/>
      <c r="L59" s="7"/>
      <c r="M59" s="7"/>
    </row>
    <row r="60" spans="1:13">
      <c r="A60" s="3"/>
      <c r="B60" s="13" t="s">
        <v>1434</v>
      </c>
      <c r="C60" s="14" t="s">
        <v>1435</v>
      </c>
      <c r="D60" s="15" t="s">
        <v>1366</v>
      </c>
      <c r="E60" s="16">
        <v>42058.3333333333</v>
      </c>
      <c r="F60" s="17">
        <v>42059.7083333333</v>
      </c>
      <c r="G60" s="19" t="s">
        <v>1436</v>
      </c>
      <c r="H60" s="7"/>
      <c r="I60" s="7"/>
      <c r="J60" s="7"/>
      <c r="K60" s="7"/>
      <c r="L60" s="7"/>
      <c r="M60" s="7"/>
    </row>
    <row r="61" spans="1:13">
      <c r="A61" s="3"/>
      <c r="B61" s="13">
        <v>11.3</v>
      </c>
      <c r="C61" s="14" t="s">
        <v>1437</v>
      </c>
      <c r="D61" s="15" t="s">
        <v>1438</v>
      </c>
      <c r="E61" s="16">
        <v>42047.3333333333</v>
      </c>
      <c r="F61" s="17">
        <v>42055.7083333333</v>
      </c>
      <c r="G61" s="18"/>
      <c r="H61" s="7"/>
      <c r="I61" s="7"/>
      <c r="J61" s="7"/>
      <c r="K61" s="7"/>
      <c r="L61" s="7"/>
      <c r="M61" s="7"/>
    </row>
    <row r="62" spans="1:13">
      <c r="A62" s="3"/>
      <c r="B62" s="13" t="s">
        <v>1439</v>
      </c>
      <c r="C62" s="14" t="s">
        <v>1440</v>
      </c>
      <c r="D62" s="15" t="s">
        <v>1366</v>
      </c>
      <c r="E62" s="16">
        <v>42058.3333333333</v>
      </c>
      <c r="F62" s="17">
        <v>42059.7083333333</v>
      </c>
      <c r="G62" s="19" t="s">
        <v>1441</v>
      </c>
      <c r="H62" s="7"/>
      <c r="I62" s="7"/>
      <c r="J62" s="7"/>
      <c r="K62" s="7"/>
      <c r="L62" s="7"/>
      <c r="M62" s="7"/>
    </row>
    <row r="63" spans="1:13">
      <c r="A63" s="3"/>
      <c r="B63" s="13" t="s">
        <v>1442</v>
      </c>
      <c r="C63" s="14" t="s">
        <v>1443</v>
      </c>
      <c r="D63" s="15" t="s">
        <v>1366</v>
      </c>
      <c r="E63" s="16">
        <v>42058.3333333333</v>
      </c>
      <c r="F63" s="17">
        <v>42059.7083333333</v>
      </c>
      <c r="G63" s="19" t="s">
        <v>1441</v>
      </c>
      <c r="H63" s="7"/>
      <c r="I63" s="7"/>
      <c r="J63" s="7"/>
      <c r="K63" s="7"/>
      <c r="L63" s="7"/>
      <c r="M63" s="7"/>
    </row>
    <row r="64" spans="1:13">
      <c r="A64" s="3"/>
      <c r="B64" s="13">
        <v>11.4</v>
      </c>
      <c r="C64" s="14" t="s">
        <v>1444</v>
      </c>
      <c r="D64" s="15" t="s">
        <v>1379</v>
      </c>
      <c r="E64" s="16">
        <v>42060.3333333333</v>
      </c>
      <c r="F64" s="17">
        <v>42060.7083333333</v>
      </c>
      <c r="G64" s="19" t="s">
        <v>1445</v>
      </c>
      <c r="H64" s="7"/>
      <c r="I64" s="7"/>
      <c r="J64" s="7"/>
      <c r="K64" s="7"/>
      <c r="L64" s="7"/>
      <c r="M64" s="7"/>
    </row>
    <row r="65" spans="1:13">
      <c r="A65" s="3"/>
      <c r="B65" s="13" t="s">
        <v>1446</v>
      </c>
      <c r="C65" s="14" t="s">
        <v>1447</v>
      </c>
      <c r="D65" s="15" t="s">
        <v>1361</v>
      </c>
      <c r="E65" s="16">
        <v>42061.3333333333</v>
      </c>
      <c r="F65" s="17">
        <v>42067.7083333333</v>
      </c>
      <c r="G65" s="19" t="s">
        <v>1448</v>
      </c>
      <c r="H65" s="7"/>
      <c r="I65" s="7"/>
      <c r="J65" s="7"/>
      <c r="K65" s="7"/>
      <c r="L65" s="7"/>
      <c r="M65" s="7"/>
    </row>
    <row r="66" spans="1:13">
      <c r="A66" s="3"/>
      <c r="B66" s="13">
        <v>11.5</v>
      </c>
      <c r="C66" s="14" t="s">
        <v>1449</v>
      </c>
      <c r="D66" s="15" t="s">
        <v>1379</v>
      </c>
      <c r="E66" s="16">
        <v>42068.3333333333</v>
      </c>
      <c r="F66" s="17">
        <v>42068.7083333333</v>
      </c>
      <c r="G66" s="19" t="s">
        <v>1450</v>
      </c>
      <c r="H66" s="7"/>
      <c r="I66" s="7"/>
      <c r="J66" s="7"/>
      <c r="K66" s="7"/>
      <c r="L66" s="7"/>
      <c r="M66" s="7"/>
    </row>
    <row r="67" spans="1:13">
      <c r="A67" s="3"/>
      <c r="B67" s="13">
        <v>11.6</v>
      </c>
      <c r="C67" s="14" t="s">
        <v>1451</v>
      </c>
      <c r="D67" s="15" t="s">
        <v>1379</v>
      </c>
      <c r="E67" s="16">
        <v>42068.3333333333</v>
      </c>
      <c r="F67" s="17">
        <v>42068.7083333333</v>
      </c>
      <c r="G67" s="19" t="s">
        <v>1450</v>
      </c>
      <c r="H67" s="7"/>
      <c r="I67" s="7"/>
      <c r="J67" s="7"/>
      <c r="K67" s="7"/>
      <c r="L67" s="7"/>
      <c r="M67" s="7"/>
    </row>
    <row r="68" spans="1:13">
      <c r="A68" s="3"/>
      <c r="B68" s="13">
        <v>11.7</v>
      </c>
      <c r="C68" s="14" t="s">
        <v>1452</v>
      </c>
      <c r="D68" s="15" t="s">
        <v>1453</v>
      </c>
      <c r="E68" s="16">
        <v>42069.3333333333</v>
      </c>
      <c r="F68" s="17">
        <v>42110.7083333333</v>
      </c>
      <c r="G68" s="19" t="s">
        <v>1454</v>
      </c>
      <c r="H68" s="7"/>
      <c r="I68" s="7"/>
      <c r="J68" s="7"/>
      <c r="K68" s="7"/>
      <c r="L68" s="7"/>
      <c r="M68" s="7"/>
    </row>
    <row r="69" spans="1:13">
      <c r="A69" s="3"/>
      <c r="B69" s="13">
        <v>11.8</v>
      </c>
      <c r="C69" s="14" t="s">
        <v>1455</v>
      </c>
      <c r="D69" s="15" t="s">
        <v>1423</v>
      </c>
      <c r="E69" s="16">
        <v>42111.3333333333</v>
      </c>
      <c r="F69" s="17">
        <v>42124.7083333333</v>
      </c>
      <c r="G69" s="19" t="s">
        <v>1456</v>
      </c>
      <c r="H69" s="7"/>
      <c r="I69" s="7"/>
      <c r="J69" s="7"/>
      <c r="K69" s="7"/>
      <c r="L69" s="7"/>
      <c r="M69" s="7"/>
    </row>
    <row r="70" spans="1:13">
      <c r="A70" s="3"/>
      <c r="B70" s="22">
        <v>11.9</v>
      </c>
      <c r="C70" s="14" t="s">
        <v>1457</v>
      </c>
      <c r="D70" s="15" t="s">
        <v>1453</v>
      </c>
      <c r="E70" s="16">
        <v>42069.3333333333</v>
      </c>
      <c r="F70" s="17">
        <v>42110.7083333333</v>
      </c>
      <c r="G70" s="19" t="s">
        <v>1454</v>
      </c>
      <c r="H70" s="7"/>
      <c r="I70" s="7"/>
      <c r="J70" s="7"/>
      <c r="K70" s="7"/>
      <c r="L70" s="7"/>
      <c r="M70" s="7"/>
    </row>
    <row r="71" spans="1:13">
      <c r="A71" s="3"/>
      <c r="B71" s="13" t="s">
        <v>1458</v>
      </c>
      <c r="C71" s="14" t="s">
        <v>1459</v>
      </c>
      <c r="D71" s="15" t="s">
        <v>1423</v>
      </c>
      <c r="E71" s="16">
        <v>42111.3333333333</v>
      </c>
      <c r="F71" s="17">
        <v>42124.7083333333</v>
      </c>
      <c r="G71" s="19" t="s">
        <v>1460</v>
      </c>
      <c r="H71" s="7"/>
      <c r="I71" s="7"/>
      <c r="J71" s="7"/>
      <c r="K71" s="7"/>
      <c r="L71" s="7"/>
      <c r="M71" s="7"/>
    </row>
    <row r="72" spans="1:13">
      <c r="A72" s="3"/>
      <c r="B72" s="23">
        <v>11.1</v>
      </c>
      <c r="C72" s="14" t="s">
        <v>1461</v>
      </c>
      <c r="D72" s="15" t="s">
        <v>1462</v>
      </c>
      <c r="E72" s="16">
        <v>42069.3333333333</v>
      </c>
      <c r="F72" s="17">
        <v>42124.7083333333</v>
      </c>
      <c r="G72" s="19" t="s">
        <v>1454</v>
      </c>
      <c r="H72" s="7"/>
      <c r="I72" s="7"/>
      <c r="J72" s="7"/>
      <c r="K72" s="7"/>
      <c r="L72" s="7"/>
      <c r="M72" s="7"/>
    </row>
    <row r="73" spans="1:13">
      <c r="A73" s="3"/>
      <c r="B73" s="13">
        <v>11.11</v>
      </c>
      <c r="C73" s="14" t="s">
        <v>1463</v>
      </c>
      <c r="D73" s="15" t="s">
        <v>1464</v>
      </c>
      <c r="E73" s="16">
        <v>42069.3333333333</v>
      </c>
      <c r="F73" s="17">
        <v>42194.7083333333</v>
      </c>
      <c r="G73" s="19" t="s">
        <v>1465</v>
      </c>
      <c r="H73" s="7"/>
      <c r="I73" s="7"/>
      <c r="J73" s="7"/>
      <c r="K73" s="7"/>
      <c r="L73" s="7"/>
      <c r="M73" s="7"/>
    </row>
    <row r="74" spans="1:13">
      <c r="A74" s="3"/>
      <c r="B74" s="13" t="s">
        <v>1466</v>
      </c>
      <c r="C74" s="14" t="s">
        <v>1467</v>
      </c>
      <c r="D74" s="15" t="s">
        <v>1423</v>
      </c>
      <c r="E74" s="16">
        <v>42069.3333333333</v>
      </c>
      <c r="F74" s="17">
        <v>42082.7083333333</v>
      </c>
      <c r="G74" s="19" t="s">
        <v>1454</v>
      </c>
      <c r="H74" s="7"/>
      <c r="I74" s="7"/>
      <c r="J74" s="7"/>
      <c r="K74" s="7"/>
      <c r="L74" s="7"/>
      <c r="M74" s="7"/>
    </row>
    <row r="75" spans="1:13">
      <c r="A75" s="3"/>
      <c r="B75" s="13" t="s">
        <v>1468</v>
      </c>
      <c r="C75" s="14" t="s">
        <v>1469</v>
      </c>
      <c r="D75" s="15" t="s">
        <v>1470</v>
      </c>
      <c r="E75" s="16">
        <v>42083.3333333333</v>
      </c>
      <c r="F75" s="17">
        <v>42194.7083333333</v>
      </c>
      <c r="G75" s="19" t="s">
        <v>1471</v>
      </c>
      <c r="H75" s="7"/>
      <c r="I75" s="7"/>
      <c r="J75" s="7"/>
      <c r="K75" s="7"/>
      <c r="L75" s="7"/>
      <c r="M75" s="7"/>
    </row>
    <row r="76" spans="1:13">
      <c r="A76" s="3"/>
      <c r="B76" s="13">
        <v>11.12</v>
      </c>
      <c r="C76" s="14" t="s">
        <v>1472</v>
      </c>
      <c r="D76" s="15" t="s">
        <v>1377</v>
      </c>
      <c r="E76" s="16">
        <v>42125.3333333333</v>
      </c>
      <c r="F76" s="17">
        <v>42125.3333333333</v>
      </c>
      <c r="G76" s="19" t="s">
        <v>1473</v>
      </c>
      <c r="H76" s="7"/>
      <c r="I76" s="7"/>
      <c r="J76" s="7"/>
      <c r="K76" s="7"/>
      <c r="L76" s="7"/>
      <c r="M76" s="7"/>
    </row>
    <row r="77" spans="1:13">
      <c r="A77" s="3"/>
      <c r="B77" s="13" t="s">
        <v>1474</v>
      </c>
      <c r="C77" s="14" t="s">
        <v>1475</v>
      </c>
      <c r="D77" s="15" t="s">
        <v>1453</v>
      </c>
      <c r="E77" s="16">
        <v>42125.3333333333</v>
      </c>
      <c r="F77" s="17">
        <v>42166.7083333333</v>
      </c>
      <c r="G77" s="19" t="s">
        <v>1476</v>
      </c>
      <c r="H77" s="7"/>
      <c r="I77" s="7"/>
      <c r="J77" s="7"/>
      <c r="K77" s="7"/>
      <c r="L77" s="7"/>
      <c r="M77" s="7"/>
    </row>
    <row r="78" spans="1:13">
      <c r="A78" s="3"/>
      <c r="B78" s="13" t="s">
        <v>1477</v>
      </c>
      <c r="C78" s="14" t="s">
        <v>1478</v>
      </c>
      <c r="D78" s="15" t="s">
        <v>1453</v>
      </c>
      <c r="E78" s="16">
        <v>42167.3333333333</v>
      </c>
      <c r="F78" s="17">
        <v>42208.7083333333</v>
      </c>
      <c r="G78" s="19" t="s">
        <v>1479</v>
      </c>
      <c r="H78" s="7"/>
      <c r="I78" s="7"/>
      <c r="J78" s="7"/>
      <c r="K78" s="7"/>
      <c r="L78" s="7"/>
      <c r="M78" s="7"/>
    </row>
    <row r="79" spans="1:13">
      <c r="A79" s="3"/>
      <c r="B79" s="13" t="s">
        <v>1480</v>
      </c>
      <c r="C79" s="14" t="s">
        <v>1481</v>
      </c>
      <c r="D79" s="15" t="s">
        <v>1453</v>
      </c>
      <c r="E79" s="16">
        <v>42209.3333333333</v>
      </c>
      <c r="F79" s="17">
        <v>42250.7083333333</v>
      </c>
      <c r="G79" s="19" t="s">
        <v>1482</v>
      </c>
      <c r="H79" s="7"/>
      <c r="I79" s="7"/>
      <c r="J79" s="7"/>
      <c r="K79" s="7"/>
      <c r="L79" s="7"/>
      <c r="M79" s="7"/>
    </row>
    <row r="80" spans="1:13">
      <c r="A80" s="3"/>
      <c r="B80" s="13" t="s">
        <v>1483</v>
      </c>
      <c r="C80" s="14" t="s">
        <v>1484</v>
      </c>
      <c r="D80" s="15" t="s">
        <v>1366</v>
      </c>
      <c r="E80" s="16">
        <v>42251.3333333333</v>
      </c>
      <c r="F80" s="17">
        <v>42254.7083333333</v>
      </c>
      <c r="G80" s="19" t="s">
        <v>1485</v>
      </c>
      <c r="H80" s="7"/>
      <c r="I80" s="7"/>
      <c r="J80" s="7"/>
      <c r="K80" s="7"/>
      <c r="L80" s="7"/>
      <c r="M80" s="7"/>
    </row>
    <row r="81" spans="1:13">
      <c r="A81" s="3"/>
      <c r="B81" s="13" t="s">
        <v>1486</v>
      </c>
      <c r="C81" s="14" t="s">
        <v>1487</v>
      </c>
      <c r="D81" s="15" t="s">
        <v>1366</v>
      </c>
      <c r="E81" s="16">
        <v>42255.3333333333</v>
      </c>
      <c r="F81" s="17">
        <v>42256.7083333333</v>
      </c>
      <c r="G81" s="19" t="s">
        <v>1488</v>
      </c>
      <c r="H81" s="7"/>
      <c r="I81" s="7"/>
      <c r="J81" s="7"/>
      <c r="K81" s="7"/>
      <c r="L81" s="7"/>
      <c r="M81" s="7"/>
    </row>
    <row r="82" spans="1:13">
      <c r="A82" s="3"/>
      <c r="B82" s="13" t="s">
        <v>1489</v>
      </c>
      <c r="C82" s="14" t="s">
        <v>1490</v>
      </c>
      <c r="D82" s="15" t="s">
        <v>1361</v>
      </c>
      <c r="E82" s="16">
        <v>42257.3333333333</v>
      </c>
      <c r="F82" s="17">
        <v>42263.7083333333</v>
      </c>
      <c r="G82" s="19" t="s">
        <v>1491</v>
      </c>
      <c r="H82" s="7"/>
      <c r="I82" s="7"/>
      <c r="J82" s="7"/>
      <c r="K82" s="7"/>
      <c r="L82" s="7"/>
      <c r="M82" s="7"/>
    </row>
    <row r="83" spans="1:12">
      <c r="A83" s="4"/>
      <c r="B83" s="7"/>
      <c r="C83" s="7"/>
      <c r="D83" s="7"/>
      <c r="E83" s="7"/>
      <c r="F83" s="7"/>
      <c r="G83" s="7"/>
      <c r="H83" s="7"/>
      <c r="I83" s="7"/>
      <c r="J83" s="7"/>
      <c r="K83" s="7"/>
      <c r="L83" s="7"/>
    </row>
    <row r="84" spans="1:12">
      <c r="A84" s="4"/>
      <c r="B84" s="7"/>
      <c r="C84" s="7"/>
      <c r="D84" s="7"/>
      <c r="E84" s="7"/>
      <c r="F84" s="7"/>
      <c r="G84" s="7"/>
      <c r="H84" s="7"/>
      <c r="I84" s="7"/>
      <c r="J84" s="7"/>
      <c r="K84" s="7"/>
      <c r="L84" s="7"/>
    </row>
    <row r="85" spans="1:12">
      <c r="A85" s="4"/>
      <c r="B85" s="7"/>
      <c r="C85" s="7"/>
      <c r="D85" s="7"/>
      <c r="E85" s="7"/>
      <c r="F85" s="7"/>
      <c r="G85" s="7"/>
      <c r="H85" s="7"/>
      <c r="I85" s="7"/>
      <c r="J85" s="7"/>
      <c r="K85" s="7"/>
      <c r="L85" s="7"/>
    </row>
    <row r="86" spans="1:12">
      <c r="A86" s="4"/>
      <c r="B86" s="7"/>
      <c r="C86" s="7"/>
      <c r="D86" s="7"/>
      <c r="E86" s="7"/>
      <c r="F86" s="7"/>
      <c r="G86" s="7"/>
      <c r="H86" s="7"/>
      <c r="I86" s="7"/>
      <c r="J86" s="7"/>
      <c r="K86" s="7"/>
      <c r="L86" s="7"/>
    </row>
    <row r="87" spans="1:12">
      <c r="A87" s="4"/>
      <c r="B87" s="12"/>
      <c r="C87" s="7"/>
      <c r="D87" s="7"/>
      <c r="E87" s="7"/>
      <c r="F87" s="7"/>
      <c r="G87" s="7"/>
      <c r="H87" s="7"/>
      <c r="I87" s="7"/>
      <c r="J87" s="7"/>
      <c r="K87" s="7"/>
      <c r="L87" s="7"/>
    </row>
    <row r="88" spans="1:12">
      <c r="A88" s="4"/>
      <c r="B88" s="7"/>
      <c r="C88" s="7"/>
      <c r="D88" s="7"/>
      <c r="E88" s="7"/>
      <c r="F88" s="7"/>
      <c r="G88" s="7"/>
      <c r="H88" s="7"/>
      <c r="I88" s="7"/>
      <c r="J88" s="7"/>
      <c r="K88" s="7"/>
      <c r="L88" s="7"/>
    </row>
    <row r="89" spans="1:12">
      <c r="A89" s="4"/>
      <c r="B89" s="7"/>
      <c r="C89" s="7"/>
      <c r="D89" s="7"/>
      <c r="E89" s="7"/>
      <c r="F89" s="7"/>
      <c r="G89" s="7"/>
      <c r="H89" s="7"/>
      <c r="I89" s="7"/>
      <c r="J89" s="7"/>
      <c r="K89" s="7"/>
      <c r="L89" s="7"/>
    </row>
    <row r="90" spans="1:12">
      <c r="A90" s="4"/>
      <c r="B90" s="7"/>
      <c r="C90" s="7"/>
      <c r="D90" s="7"/>
      <c r="E90" s="7"/>
      <c r="F90" s="7"/>
      <c r="G90" s="7"/>
      <c r="H90" s="7"/>
      <c r="I90" s="7"/>
      <c r="J90" s="7"/>
      <c r="K90" s="7"/>
      <c r="L90" s="7"/>
    </row>
    <row r="91" spans="1:12">
      <c r="A91" s="4"/>
      <c r="B91" s="7"/>
      <c r="C91" s="7"/>
      <c r="D91" s="7"/>
      <c r="E91" s="7"/>
      <c r="F91" s="7"/>
      <c r="G91" s="7"/>
      <c r="H91" s="7"/>
      <c r="I91" s="7"/>
      <c r="J91" s="7"/>
      <c r="K91" s="7"/>
      <c r="L91" s="7"/>
    </row>
    <row r="93" spans="2:2">
      <c r="B93" s="24"/>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paperSize="1" scale="74" orientation="portrait"/>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1"/>
  <legacyDrawing r:id="rId2"/>
  <controls>
    <mc:AlternateContent xmlns:mc="http://schemas.openxmlformats.org/markup-compatibility/2006">
      <mc:Choice Requires="x14">
        <control shapeId="17414" r:id="rId3" name="ComboBox1">
          <controlPr defaultSize="0" r:id="rId4" disabled="1">
            <anchor moveWithCells="1">
              <from>
                <xdr:col>2</xdr:col>
                <xdr:colOff>3197225</xdr:colOff>
                <xdr:row>0</xdr:row>
                <xdr:rowOff>151765</xdr:rowOff>
              </from>
              <to>
                <xdr:col>5</xdr:col>
                <xdr:colOff>838835</xdr:colOff>
                <xdr:row>0</xdr:row>
                <xdr:rowOff>380365</xdr:rowOff>
              </to>
            </anchor>
          </controlPr>
        </control>
      </mc:Choice>
      <mc:Fallback>
        <control shapeId="17414" r:id="rId3"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Administrator</cp:lastModifiedBy>
  <dcterms:created xsi:type="dcterms:W3CDTF">2013-03-29T17:24:00Z</dcterms:created>
  <cp:lastPrinted>2014-06-20T15:56:00Z</cp:lastPrinted>
  <dcterms:modified xsi:type="dcterms:W3CDTF">2021-08-12T09:14:42Z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2052-11.8.2.8875</vt:lpwstr>
  </property>
</Properties>
</file>