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
    </mc:Choice>
  </mc:AlternateContent>
  <bookViews>
    <workbookView xWindow="0" yWindow="0" windowWidth="23040" windowHeight="9405" tabRatio="880" firstSheet="2" activeTab="3"/>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'Sim-Report'!$A$1058:$B$1058</definedName>
    <definedName name="CapacityDef">'Project-Start'!$B$344:$D$346</definedName>
    <definedName name="CapacityDR">'Sim-Report'!$A$1063:$B$1063</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'Sim-Report'!$A$168:$B$168</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'Sim-Report'!$A$241:$B$241</definedName>
    <definedName name="DebtTotal">'Project-Start'!$B$99:$G$99</definedName>
    <definedName name="DebtTotalFin">'Fin-Mgt'!$B$59:$F$59</definedName>
    <definedName name="DebtTotalMCS">'Monte-Carlo Simulation'!$A$68:$B$68</definedName>
    <definedName name="DebtTotalSim">'Sim-Report'!$A$248</definedName>
    <definedName name="Depreciation">'Project-Start'!$B$103:$F$104</definedName>
    <definedName name="DepreciationMCS">'Monte-Carlo Simulation'!$A$72:$B$72</definedName>
    <definedName name="DepreciationSim">'Sim-Report'!$A$253:$B$253</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'Sim-Report'!$A$147:$B$147</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'Sim-Report'!$A$164</definedName>
    <definedName name="EmptyRow">'Sim-Report'!$72:$72</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'Sim-Report'!$A$268:$B$268</definedName>
    <definedName name="FeesTotal">'Project-Start'!$B$120:$D$120</definedName>
    <definedName name="FeesTotalMCS">'Monte-Carlo Simulation'!$A$85:$B$85</definedName>
    <definedName name="FeesTotalSim">'Sim-Report'!$A$270</definedName>
    <definedName name="FinMarketFin">'Fin-Mgt'!$B$76:$E$76</definedName>
    <definedName name="FinMarketReport">'Sim-Report'!$A$261:$B$261</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'Sim-Report'!$A$73:$B$73</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'Sim-Report'!$A$207:$B$207</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'Sim-Report'!$A$227</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'Sim-Report'!$A$145:$B$145</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'Sim-Report'!$A$272:$B$272</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'Org-Mgt'!$A$33</definedName>
    <definedName name="RentFin">'Fin-Mgt'!$B$47:$G$47</definedName>
    <definedName name="RentMCS">'Monte-Carlo Simulation'!$A$60:$B$60</definedName>
    <definedName name="RentRange">'Project-Start'!$B$87:$G$88</definedName>
    <definedName name="RentRangeOrg">'Org-Mgt'!$B$36:$G$36</definedName>
    <definedName name="RentSim">'Sim-Report'!$A$231:$B$231</definedName>
    <definedName name="RentTotal">'Project-Start'!$B$91:$F$91</definedName>
    <definedName name="RentTotalFin">'Fin-Mgt'!$B$50:$F$50</definedName>
    <definedName name="RentTotalMCS">'Monte-Carlo Simulation'!$A$62:$B$62</definedName>
    <definedName name="RentTotalOrg">'Org-Mgt'!$B$39:$F$39</definedName>
    <definedName name="RentTotalSim">'Sim-Report'!$A$237</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'Sim-Report'!$A$438:$B$438</definedName>
    <definedName name="SalesPM1">'Sim-Report'!$A$764</definedName>
    <definedName name="SalesPM1MCS">'Monte-Carlo Simulation'!$A$95:$B$95</definedName>
    <definedName name="SalesPM2">'Sim-Report'!$A$862</definedName>
    <definedName name="SalesPM2MCS">'Monte-Carlo Simulation'!$A$97:$B$97</definedName>
    <definedName name="SalesPM3">'Sim-Report'!$A$960</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'Sim-Report'!$C$6:$K$45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'Sim-Report'!$A$265:$B$265</definedName>
    <definedName name="TMSize">'Sim-Report'!$A$382:$B$382</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'Sim-Report'!$A$186:$B$186</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'Sim-Report'!$A$203</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K38" i="21" l="1"/>
  <c r="K37" i="21"/>
  <c r="K32" i="21"/>
  <c r="K31" i="21"/>
  <c r="K24" i="21"/>
  <c r="K23" i="21"/>
  <c r="M266" i="28"/>
  <c r="M279" i="28" s="1"/>
  <c r="M272" i="28"/>
  <c r="M271" i="28"/>
  <c r="M276" i="28" s="1"/>
  <c r="M270" i="28"/>
  <c r="M232" i="28"/>
  <c r="M231" i="28" s="1"/>
  <c r="M234" i="28" s="1"/>
  <c r="M230" i="28"/>
  <c r="M252" i="28"/>
  <c r="M250" i="28"/>
  <c r="M253" i="28" s="1"/>
  <c r="M247" i="28"/>
  <c r="M248" i="28" s="1"/>
  <c r="M212" i="28"/>
  <c r="M210" i="28"/>
  <c r="M208" i="28"/>
  <c r="M207" i="28"/>
  <c r="M187" i="28"/>
  <c r="M184" i="28"/>
  <c r="M190" i="28" s="1"/>
  <c r="M173" i="28"/>
  <c r="M170" i="28"/>
  <c r="M176" i="28" s="1"/>
  <c r="M169" i="28"/>
  <c r="M164" i="28"/>
  <c r="M162" i="28"/>
  <c r="M165" i="28" s="1"/>
  <c r="M160" i="28"/>
  <c r="M159" i="28"/>
  <c r="M141" i="28"/>
  <c r="M138" i="28"/>
  <c r="M144" i="28" s="1"/>
  <c r="M127" i="28"/>
  <c r="M124" i="28"/>
  <c r="M130" i="28" s="1"/>
  <c r="M123" i="28"/>
  <c r="M118" i="28"/>
  <c r="M116" i="28"/>
  <c r="M119" i="28" s="1"/>
  <c r="M114" i="28"/>
  <c r="M113" i="28"/>
  <c r="M96" i="28"/>
  <c r="M93" i="28"/>
  <c r="M99" i="28" s="1"/>
  <c r="M82" i="28"/>
  <c r="M79" i="28"/>
  <c r="M85" i="28" s="1"/>
  <c r="M78" i="28"/>
  <c r="M73" i="28"/>
  <c r="M71" i="28"/>
  <c r="M74" i="28" s="1"/>
  <c r="M69" i="28"/>
  <c r="M68" i="28"/>
  <c r="L266" i="28"/>
  <c r="L279" i="28" s="1"/>
  <c r="L272" i="28"/>
  <c r="L271" i="28"/>
  <c r="L276" i="28" s="1"/>
  <c r="L270" i="28"/>
  <c r="L232" i="28"/>
  <c r="L252" i="28"/>
  <c r="L250" i="28"/>
  <c r="L253" i="28" s="1"/>
  <c r="L247" i="28"/>
  <c r="L248" i="28" s="1"/>
  <c r="L212" i="28"/>
  <c r="L210" i="28"/>
  <c r="L208" i="28"/>
  <c r="L207" i="28"/>
  <c r="L187" i="28"/>
  <c r="L184" i="28"/>
  <c r="L190" i="28" s="1"/>
  <c r="L173" i="28"/>
  <c r="L170" i="28"/>
  <c r="L176" i="28" s="1"/>
  <c r="L169" i="28"/>
  <c r="L164" i="28"/>
  <c r="L162" i="28"/>
  <c r="L160" i="28"/>
  <c r="L159" i="28"/>
  <c r="L141" i="28"/>
  <c r="L138" i="28"/>
  <c r="L144" i="28" s="1"/>
  <c r="L127" i="28"/>
  <c r="L124" i="28"/>
  <c r="L130" i="28" s="1"/>
  <c r="L123" i="28"/>
  <c r="L118" i="28"/>
  <c r="L116" i="28"/>
  <c r="L114" i="28"/>
  <c r="L113" i="28"/>
  <c r="L96" i="28"/>
  <c r="L93" i="28"/>
  <c r="L99" i="28" s="1"/>
  <c r="L82" i="28"/>
  <c r="L79" i="28"/>
  <c r="L85" i="28" s="1"/>
  <c r="L78" i="28"/>
  <c r="L73" i="28"/>
  <c r="L71" i="28"/>
  <c r="L69" i="28"/>
  <c r="L68" i="28"/>
  <c r="K266" i="28"/>
  <c r="K279" i="28" s="1"/>
  <c r="K272" i="28"/>
  <c r="K271" i="28"/>
  <c r="K276" i="28" s="1"/>
  <c r="K270" i="28"/>
  <c r="K232" i="28"/>
  <c r="K252" i="28"/>
  <c r="K250" i="28"/>
  <c r="K253" i="28" s="1"/>
  <c r="K247" i="28"/>
  <c r="K248" i="28" s="1"/>
  <c r="K212" i="28"/>
  <c r="K210" i="28"/>
  <c r="K208" i="28"/>
  <c r="K207" i="28"/>
  <c r="K187" i="28"/>
  <c r="K184" i="28"/>
  <c r="K190" i="28" s="1"/>
  <c r="K173" i="28"/>
  <c r="K170" i="28"/>
  <c r="K176" i="28" s="1"/>
  <c r="K169" i="28"/>
  <c r="K164" i="28"/>
  <c r="K162" i="28"/>
  <c r="K160" i="28"/>
  <c r="K159" i="28"/>
  <c r="K141" i="28"/>
  <c r="K138" i="28"/>
  <c r="K144" i="28" s="1"/>
  <c r="K127" i="28"/>
  <c r="K124" i="28"/>
  <c r="K130" i="28" s="1"/>
  <c r="K123" i="28"/>
  <c r="K118" i="28"/>
  <c r="K116" i="28"/>
  <c r="K114" i="28"/>
  <c r="K113" i="28"/>
  <c r="K96" i="28"/>
  <c r="K93" i="28"/>
  <c r="K99" i="28" s="1"/>
  <c r="K82" i="28"/>
  <c r="K79" i="28"/>
  <c r="K85" i="28" s="1"/>
  <c r="K78" i="28"/>
  <c r="K73" i="28"/>
  <c r="K71" i="28"/>
  <c r="K69" i="28"/>
  <c r="K68" i="28"/>
  <c r="J266" i="28"/>
  <c r="J272" i="28"/>
  <c r="J271" i="28"/>
  <c r="J276" i="28" s="1"/>
  <c r="J270" i="28"/>
  <c r="J232" i="28"/>
  <c r="J231" i="28" s="1"/>
  <c r="J234" i="28" s="1"/>
  <c r="J230" i="28"/>
  <c r="J252" i="28"/>
  <c r="J250" i="28"/>
  <c r="J247" i="28"/>
  <c r="J248" i="28" s="1"/>
  <c r="J212" i="28"/>
  <c r="J210" i="28"/>
  <c r="J207" i="28"/>
  <c r="J208" i="28" s="1"/>
  <c r="J187" i="28"/>
  <c r="J184" i="28"/>
  <c r="J190" i="28" s="1"/>
  <c r="J173" i="28"/>
  <c r="J170" i="28"/>
  <c r="J176" i="28" s="1"/>
  <c r="J169" i="28"/>
  <c r="J183" i="28" s="1"/>
  <c r="J188" i="28" s="1"/>
  <c r="J164" i="28"/>
  <c r="J162" i="28"/>
  <c r="J159" i="28"/>
  <c r="J160" i="28" s="1"/>
  <c r="J141" i="28"/>
  <c r="J138" i="28"/>
  <c r="J144" i="28" s="1"/>
  <c r="J127" i="28"/>
  <c r="J124" i="28"/>
  <c r="J130" i="28" s="1"/>
  <c r="J123" i="28"/>
  <c r="J137" i="28" s="1"/>
  <c r="J142" i="28" s="1"/>
  <c r="J118" i="28"/>
  <c r="J116" i="28"/>
  <c r="J113" i="28"/>
  <c r="J114" i="28" s="1"/>
  <c r="J96" i="28"/>
  <c r="J92" i="28"/>
  <c r="J97" i="28" s="1"/>
  <c r="J82" i="28"/>
  <c r="J83" i="28" s="1"/>
  <c r="J79" i="28"/>
  <c r="J85" i="28" s="1"/>
  <c r="J78" i="28"/>
  <c r="J73" i="28"/>
  <c r="J71" i="28"/>
  <c r="J74" i="28" s="1"/>
  <c r="J68" i="28"/>
  <c r="J69" i="28" s="1"/>
  <c r="I266" i="28"/>
  <c r="I272" i="28"/>
  <c r="I271" i="28"/>
  <c r="I276" i="28" s="1"/>
  <c r="I270" i="28"/>
  <c r="I232" i="28"/>
  <c r="I231" i="28" s="1"/>
  <c r="I234" i="28" s="1"/>
  <c r="I230" i="28"/>
  <c r="I252" i="28"/>
  <c r="I250" i="28"/>
  <c r="I253" i="28" s="1"/>
  <c r="I247" i="28"/>
  <c r="I248" i="28" s="1"/>
  <c r="I212" i="28"/>
  <c r="I210" i="28"/>
  <c r="I213" i="28" s="1"/>
  <c r="I208" i="28"/>
  <c r="I207" i="28"/>
  <c r="I187" i="28"/>
  <c r="I173" i="28"/>
  <c r="I170" i="28"/>
  <c r="I176" i="28" s="1"/>
  <c r="I169" i="28"/>
  <c r="I183" i="28" s="1"/>
  <c r="I164" i="28"/>
  <c r="I162" i="28"/>
  <c r="I165" i="28" s="1"/>
  <c r="I160" i="28"/>
  <c r="I159" i="28"/>
  <c r="I141" i="28"/>
  <c r="I127" i="28"/>
  <c r="I124" i="28"/>
  <c r="I130" i="28" s="1"/>
  <c r="I123" i="28"/>
  <c r="I118" i="28"/>
  <c r="I116" i="28"/>
  <c r="I114" i="28"/>
  <c r="I113" i="28"/>
  <c r="I96" i="28"/>
  <c r="I82" i="28"/>
  <c r="I79" i="28"/>
  <c r="I85" i="28" s="1"/>
  <c r="I78" i="28"/>
  <c r="I73" i="28"/>
  <c r="I71" i="28"/>
  <c r="I69" i="28"/>
  <c r="I68" i="28"/>
  <c r="H266" i="28"/>
  <c r="H272" i="28"/>
  <c r="H271" i="28"/>
  <c r="H276" i="28" s="1"/>
  <c r="H270" i="28"/>
  <c r="H230" i="28"/>
  <c r="H232" i="28" s="1"/>
  <c r="H231" i="28" s="1"/>
  <c r="H234" i="28" s="1"/>
  <c r="H252" i="28"/>
  <c r="H250" i="28"/>
  <c r="H247" i="28"/>
  <c r="H248" i="28" s="1"/>
  <c r="H212" i="28"/>
  <c r="H210" i="28"/>
  <c r="H208" i="28"/>
  <c r="H207" i="28"/>
  <c r="H187" i="28"/>
  <c r="H176" i="28"/>
  <c r="H173" i="28"/>
  <c r="H170" i="28"/>
  <c r="H184" i="28" s="1"/>
  <c r="H190" i="28" s="1"/>
  <c r="H169" i="28"/>
  <c r="H165" i="28"/>
  <c r="H164" i="28"/>
  <c r="H162" i="28"/>
  <c r="H160" i="28"/>
  <c r="H159" i="28"/>
  <c r="H141" i="28"/>
  <c r="H137" i="28"/>
  <c r="H142" i="28" s="1"/>
  <c r="H127" i="28"/>
  <c r="H124" i="28"/>
  <c r="H138" i="28" s="1"/>
  <c r="H144" i="28" s="1"/>
  <c r="H123" i="28"/>
  <c r="H118" i="28"/>
  <c r="H116" i="28"/>
  <c r="H113" i="28"/>
  <c r="H114" i="28" s="1"/>
  <c r="H96" i="28"/>
  <c r="H92" i="28"/>
  <c r="H97" i="28" s="1"/>
  <c r="H82" i="28"/>
  <c r="H83" i="28" s="1"/>
  <c r="H79" i="28"/>
  <c r="H93" i="28" s="1"/>
  <c r="H99" i="28" s="1"/>
  <c r="H78" i="28"/>
  <c r="H73" i="28"/>
  <c r="H71" i="28"/>
  <c r="H68" i="28"/>
  <c r="H69" i="28" s="1"/>
  <c r="G266" i="28"/>
  <c r="G272" i="28"/>
  <c r="G271" i="28" s="1"/>
  <c r="G270" i="28"/>
  <c r="G230" i="28"/>
  <c r="G232" i="28" s="1"/>
  <c r="G231" i="28" s="1"/>
  <c r="G234" i="28" s="1"/>
  <c r="G252" i="28"/>
  <c r="G250" i="28"/>
  <c r="G248" i="28"/>
  <c r="G247" i="28"/>
  <c r="G212" i="28"/>
  <c r="G210" i="28"/>
  <c r="G207" i="28"/>
  <c r="G208" i="28" s="1"/>
  <c r="G187" i="28"/>
  <c r="G183" i="28"/>
  <c r="G188" i="28" s="1"/>
  <c r="G173" i="28"/>
  <c r="G174" i="28" s="1"/>
  <c r="G170" i="28"/>
  <c r="G184" i="28" s="1"/>
  <c r="G190" i="28" s="1"/>
  <c r="G169" i="28"/>
  <c r="G164" i="28"/>
  <c r="G162" i="28"/>
  <c r="G159" i="28"/>
  <c r="G160" i="28" s="1"/>
  <c r="G141" i="28"/>
  <c r="G137" i="28"/>
  <c r="G142" i="28" s="1"/>
  <c r="G127" i="28"/>
  <c r="G128" i="28" s="1"/>
  <c r="G124" i="28"/>
  <c r="G138" i="28" s="1"/>
  <c r="G144" i="28" s="1"/>
  <c r="G123" i="28"/>
  <c r="G118" i="28"/>
  <c r="G116" i="28"/>
  <c r="G113" i="28"/>
  <c r="G114" i="28" s="1"/>
  <c r="G96" i="28"/>
  <c r="G92" i="28"/>
  <c r="G97" i="28" s="1"/>
  <c r="G82" i="28"/>
  <c r="G83" i="28" s="1"/>
  <c r="G79" i="28"/>
  <c r="G93" i="28" s="1"/>
  <c r="G99" i="28" s="1"/>
  <c r="G78" i="28"/>
  <c r="G73" i="28"/>
  <c r="G71" i="28"/>
  <c r="G68" i="28"/>
  <c r="G69" i="28" s="1"/>
  <c r="F266" i="28"/>
  <c r="F272" i="28"/>
  <c r="F271" i="28"/>
  <c r="F276" i="28" s="1"/>
  <c r="F270" i="28"/>
  <c r="F232" i="28"/>
  <c r="F231" i="28" s="1"/>
  <c r="F234" i="28" s="1"/>
  <c r="F230" i="28"/>
  <c r="F252" i="28"/>
  <c r="F250" i="28"/>
  <c r="F253" i="28" s="1"/>
  <c r="F248" i="28"/>
  <c r="F247" i="28"/>
  <c r="F212" i="28"/>
  <c r="F213" i="28" s="1"/>
  <c r="F210" i="28"/>
  <c r="F208" i="28"/>
  <c r="F207" i="28"/>
  <c r="F187" i="28"/>
  <c r="F173" i="28"/>
  <c r="F170" i="28"/>
  <c r="F184" i="28" s="1"/>
  <c r="F190" i="28" s="1"/>
  <c r="F169" i="28"/>
  <c r="F164" i="28"/>
  <c r="F162" i="28"/>
  <c r="F165" i="28" s="1"/>
  <c r="F160" i="28"/>
  <c r="F159" i="28"/>
  <c r="F141" i="28"/>
  <c r="F130" i="28"/>
  <c r="F127" i="28"/>
  <c r="F124" i="28"/>
  <c r="F138" i="28" s="1"/>
  <c r="F144" i="28" s="1"/>
  <c r="F123" i="28"/>
  <c r="F137" i="28" s="1"/>
  <c r="F119" i="28"/>
  <c r="F118" i="28"/>
  <c r="F116" i="28"/>
  <c r="F114" i="28"/>
  <c r="F113" i="28"/>
  <c r="F96" i="28"/>
  <c r="F92" i="28"/>
  <c r="F97" i="28" s="1"/>
  <c r="F82" i="28"/>
  <c r="F79" i="28"/>
  <c r="F93" i="28" s="1"/>
  <c r="F99" i="28" s="1"/>
  <c r="F78" i="28"/>
  <c r="F73" i="28"/>
  <c r="F74" i="28" s="1"/>
  <c r="F71" i="28"/>
  <c r="F69" i="28"/>
  <c r="F68" i="28"/>
  <c r="E266" i="28"/>
  <c r="E272" i="28"/>
  <c r="E271" i="28" s="1"/>
  <c r="E276" i="28" s="1"/>
  <c r="E270" i="28"/>
  <c r="E230" i="28"/>
  <c r="E232" i="28" s="1"/>
  <c r="E231" i="28" s="1"/>
  <c r="E234" i="28" s="1"/>
  <c r="E252" i="28"/>
  <c r="E250" i="28"/>
  <c r="E253" i="28" s="1"/>
  <c r="E248" i="28"/>
  <c r="E247" i="28"/>
  <c r="E212" i="28"/>
  <c r="E210" i="28"/>
  <c r="E208" i="28"/>
  <c r="E207" i="28"/>
  <c r="E187" i="28"/>
  <c r="E183" i="28"/>
  <c r="E188" i="28" s="1"/>
  <c r="E173" i="28"/>
  <c r="E170" i="28"/>
  <c r="E184" i="28" s="1"/>
  <c r="E190" i="28" s="1"/>
  <c r="E169" i="28"/>
  <c r="E174" i="28" s="1"/>
  <c r="E164" i="28"/>
  <c r="E162" i="28"/>
  <c r="E160" i="28"/>
  <c r="E159" i="28"/>
  <c r="E141" i="28"/>
  <c r="E137" i="28"/>
  <c r="E142" i="28" s="1"/>
  <c r="E127" i="28"/>
  <c r="E124" i="28"/>
  <c r="E138" i="28" s="1"/>
  <c r="E144" i="28" s="1"/>
  <c r="E123" i="28"/>
  <c r="E128" i="28" s="1"/>
  <c r="E118" i="28"/>
  <c r="E116" i="28"/>
  <c r="E114" i="28"/>
  <c r="E113" i="28"/>
  <c r="E96" i="28"/>
  <c r="E92" i="28"/>
  <c r="E97" i="28" s="1"/>
  <c r="E82" i="28"/>
  <c r="E79" i="28"/>
  <c r="E93" i="28" s="1"/>
  <c r="E99" i="28" s="1"/>
  <c r="E78" i="28"/>
  <c r="E83" i="28" s="1"/>
  <c r="E73" i="28"/>
  <c r="E71" i="28"/>
  <c r="E74" i="28" s="1"/>
  <c r="E69" i="28"/>
  <c r="E68" i="28"/>
  <c r="N15" i="28"/>
  <c r="M15" i="28"/>
  <c r="L15" i="28"/>
  <c r="K15" i="28"/>
  <c r="J15" i="28"/>
  <c r="I15" i="28"/>
  <c r="H15" i="28"/>
  <c r="G15" i="28"/>
  <c r="F15" i="28"/>
  <c r="K39" i="21"/>
  <c r="K35" i="21"/>
  <c r="K34" i="21"/>
  <c r="H64" i="27"/>
  <c r="I64" i="27"/>
  <c r="J64" i="27"/>
  <c r="H67" i="27"/>
  <c r="I67" i="27"/>
  <c r="J67" i="27"/>
  <c r="E279" i="28" l="1"/>
  <c r="F142" i="28"/>
  <c r="F139" i="28"/>
  <c r="F140" i="28" s="1"/>
  <c r="E86" i="28"/>
  <c r="E100" i="28"/>
  <c r="E145" i="28"/>
  <c r="E191" i="28"/>
  <c r="F100" i="28"/>
  <c r="E85" i="28"/>
  <c r="E119" i="28"/>
  <c r="E130" i="28"/>
  <c r="E131" i="28" s="1"/>
  <c r="E165" i="28"/>
  <c r="E176" i="28"/>
  <c r="E177" i="28" s="1"/>
  <c r="E213" i="28"/>
  <c r="E80" i="28"/>
  <c r="E81" i="28" s="1"/>
  <c r="E125" i="28"/>
  <c r="E126" i="28" s="1"/>
  <c r="E171" i="28"/>
  <c r="E172" i="28" s="1"/>
  <c r="F83" i="28"/>
  <c r="F80" i="28"/>
  <c r="F81" i="28" s="1"/>
  <c r="F176" i="28"/>
  <c r="G100" i="28"/>
  <c r="G276" i="28"/>
  <c r="G279" i="28"/>
  <c r="E94" i="28"/>
  <c r="E95" i="28" s="1"/>
  <c r="E139" i="28"/>
  <c r="E140" i="28" s="1"/>
  <c r="E185" i="28"/>
  <c r="E186" i="28" s="1"/>
  <c r="F174" i="28"/>
  <c r="F171" i="28"/>
  <c r="F172" i="28" s="1"/>
  <c r="G191" i="28"/>
  <c r="H145" i="28"/>
  <c r="F85" i="28"/>
  <c r="F94" i="28"/>
  <c r="F95" i="28" s="1"/>
  <c r="F128" i="28"/>
  <c r="F125" i="28"/>
  <c r="F126" i="28" s="1"/>
  <c r="F183" i="28"/>
  <c r="F279" i="28"/>
  <c r="G145" i="28"/>
  <c r="H100" i="28"/>
  <c r="G74" i="28"/>
  <c r="G85" i="28"/>
  <c r="G86" i="28" s="1"/>
  <c r="G119" i="28"/>
  <c r="G130" i="28"/>
  <c r="G131" i="28" s="1"/>
  <c r="G165" i="28"/>
  <c r="G176" i="28"/>
  <c r="G177" i="28" s="1"/>
  <c r="G213" i="28"/>
  <c r="H74" i="28"/>
  <c r="H85" i="28"/>
  <c r="H86" i="28" s="1"/>
  <c r="H119" i="28"/>
  <c r="H279" i="28"/>
  <c r="I74" i="28"/>
  <c r="I188" i="28"/>
  <c r="J191" i="28"/>
  <c r="G80" i="28"/>
  <c r="G81" i="28" s="1"/>
  <c r="G125" i="28"/>
  <c r="G126" i="28" s="1"/>
  <c r="G171" i="28"/>
  <c r="G172" i="28" s="1"/>
  <c r="G253" i="28"/>
  <c r="H80" i="28"/>
  <c r="H81" i="28" s="1"/>
  <c r="H130" i="28"/>
  <c r="H139" i="28"/>
  <c r="H140" i="28" s="1"/>
  <c r="H174" i="28"/>
  <c r="H171" i="28"/>
  <c r="H172" i="28" s="1"/>
  <c r="I137" i="28"/>
  <c r="I128" i="28"/>
  <c r="I125" i="28"/>
  <c r="I126" i="28" s="1"/>
  <c r="I279" i="28"/>
  <c r="J86" i="28"/>
  <c r="J145" i="28"/>
  <c r="G94" i="28"/>
  <c r="G95" i="28" s="1"/>
  <c r="G139" i="28"/>
  <c r="G140" i="28" s="1"/>
  <c r="G185" i="28"/>
  <c r="G186" i="28" s="1"/>
  <c r="H94" i="28"/>
  <c r="H95" i="28" s="1"/>
  <c r="H128" i="28"/>
  <c r="H125" i="28"/>
  <c r="H126" i="28" s="1"/>
  <c r="H183" i="28"/>
  <c r="H213" i="28"/>
  <c r="H253" i="28"/>
  <c r="I92" i="28"/>
  <c r="I83" i="28"/>
  <c r="I80" i="28"/>
  <c r="I81" i="28" s="1"/>
  <c r="I119" i="28"/>
  <c r="I93" i="28"/>
  <c r="I99" i="28" s="1"/>
  <c r="I138" i="28"/>
  <c r="I144" i="28" s="1"/>
  <c r="I171" i="28"/>
  <c r="I172" i="28" s="1"/>
  <c r="I174" i="28"/>
  <c r="I184" i="28"/>
  <c r="I190" i="28" s="1"/>
  <c r="J80" i="28"/>
  <c r="J81" i="28" s="1"/>
  <c r="J93" i="28"/>
  <c r="J99" i="28" s="1"/>
  <c r="J100" i="28" s="1"/>
  <c r="J139" i="28"/>
  <c r="J140" i="28" s="1"/>
  <c r="J185" i="28"/>
  <c r="J186" i="28" s="1"/>
  <c r="J253" i="28"/>
  <c r="K92" i="28"/>
  <c r="K83" i="28"/>
  <c r="K80" i="28"/>
  <c r="K81" i="28" s="1"/>
  <c r="K137" i="28"/>
  <c r="K128" i="28"/>
  <c r="K125" i="28"/>
  <c r="K126" i="28" s="1"/>
  <c r="K183" i="28"/>
  <c r="K174" i="28"/>
  <c r="K171" i="28"/>
  <c r="K172" i="28" s="1"/>
  <c r="L74" i="28"/>
  <c r="L119" i="28"/>
  <c r="L165" i="28"/>
  <c r="L213" i="28"/>
  <c r="J94" i="28"/>
  <c r="J95" i="28" s="1"/>
  <c r="J119" i="28"/>
  <c r="J125" i="28"/>
  <c r="J126" i="28" s="1"/>
  <c r="J128" i="28"/>
  <c r="J165" i="28"/>
  <c r="J171" i="28"/>
  <c r="J172" i="28" s="1"/>
  <c r="J174" i="28"/>
  <c r="J213" i="28"/>
  <c r="J279" i="28"/>
  <c r="K74" i="28"/>
  <c r="K119" i="28"/>
  <c r="K165" i="28"/>
  <c r="K213" i="28"/>
  <c r="L230" i="28"/>
  <c r="L231" i="28"/>
  <c r="L234" i="28" s="1"/>
  <c r="M92" i="28"/>
  <c r="M83" i="28"/>
  <c r="M80" i="28"/>
  <c r="M81" i="28" s="1"/>
  <c r="M137" i="28"/>
  <c r="M128" i="28"/>
  <c r="M125" i="28"/>
  <c r="M126" i="28" s="1"/>
  <c r="M183" i="28"/>
  <c r="M174" i="28"/>
  <c r="M171" i="28"/>
  <c r="M172" i="28" s="1"/>
  <c r="K230" i="28"/>
  <c r="K231" i="28"/>
  <c r="K234" i="28" s="1"/>
  <c r="L92" i="28"/>
  <c r="L83" i="28"/>
  <c r="L80" i="28"/>
  <c r="L81" i="28" s="1"/>
  <c r="L137" i="28"/>
  <c r="L128" i="28"/>
  <c r="L125" i="28"/>
  <c r="L126" i="28" s="1"/>
  <c r="L183" i="28"/>
  <c r="L174" i="28"/>
  <c r="L171" i="28"/>
  <c r="L172" i="28" s="1"/>
  <c r="M213" i="28"/>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L188" i="28" l="1"/>
  <c r="L185" i="28"/>
  <c r="L186" i="28" s="1"/>
  <c r="K185" i="28"/>
  <c r="K186" i="28" s="1"/>
  <c r="K188" i="28"/>
  <c r="K139" i="28"/>
  <c r="K140" i="28" s="1"/>
  <c r="K142" i="28"/>
  <c r="K94" i="28"/>
  <c r="K95" i="28" s="1"/>
  <c r="K97" i="28"/>
  <c r="H188" i="28"/>
  <c r="H185" i="28"/>
  <c r="H186" i="28" s="1"/>
  <c r="I139" i="28"/>
  <c r="I140" i="28" s="1"/>
  <c r="I142" i="28"/>
  <c r="I191" i="28"/>
  <c r="F131" i="28"/>
  <c r="M177" i="28"/>
  <c r="M131" i="28"/>
  <c r="M86" i="28"/>
  <c r="F188" i="28"/>
  <c r="F185" i="28"/>
  <c r="F186" i="28" s="1"/>
  <c r="F145" i="28"/>
  <c r="L142" i="28"/>
  <c r="L139" i="28"/>
  <c r="L140" i="28" s="1"/>
  <c r="L97" i="28"/>
  <c r="L94" i="28"/>
  <c r="L95" i="28" s="1"/>
  <c r="I177" i="28"/>
  <c r="I94" i="28"/>
  <c r="I95" i="28" s="1"/>
  <c r="I97" i="28"/>
  <c r="F177" i="28"/>
  <c r="L177" i="28"/>
  <c r="L131" i="28"/>
  <c r="L86" i="28"/>
  <c r="M185" i="28"/>
  <c r="M186" i="28" s="1"/>
  <c r="M188" i="28"/>
  <c r="M139" i="28"/>
  <c r="M140" i="28" s="1"/>
  <c r="M142" i="28"/>
  <c r="M94" i="28"/>
  <c r="M95" i="28" s="1"/>
  <c r="M97" i="28"/>
  <c r="J177" i="28"/>
  <c r="J131" i="28"/>
  <c r="K177" i="28"/>
  <c r="K131" i="28"/>
  <c r="K86" i="28"/>
  <c r="I86" i="28"/>
  <c r="H131" i="28"/>
  <c r="I131" i="28"/>
  <c r="H177" i="28"/>
  <c r="I185" i="28"/>
  <c r="I186" i="28" s="1"/>
  <c r="F86" i="28"/>
  <c r="J38" i="21"/>
  <c r="J32" i="21"/>
  <c r="J31" i="21"/>
  <c r="J24" i="21"/>
  <c r="J23" i="21"/>
  <c r="J35" i="21"/>
  <c r="J34" i="21"/>
  <c r="J39" i="21"/>
  <c r="M100" i="28" l="1"/>
  <c r="L100" i="28"/>
  <c r="K145" i="28"/>
  <c r="L191" i="28"/>
  <c r="M191" i="28"/>
  <c r="I145" i="28"/>
  <c r="K100" i="28"/>
  <c r="M145" i="28"/>
  <c r="I100" i="28"/>
  <c r="L145" i="28"/>
  <c r="F191" i="28"/>
  <c r="H191" i="28"/>
  <c r="K191" i="28"/>
  <c r="J37" i="21"/>
  <c r="G60" i="19"/>
  <c r="H60" i="19"/>
  <c r="H75" i="19"/>
  <c r="L75" i="19"/>
  <c r="J60" i="19"/>
  <c r="J75" i="19"/>
  <c r="L60" i="19"/>
  <c r="I38" i="21" l="1"/>
  <c r="I32" i="21"/>
  <c r="I31" i="21"/>
  <c r="I24" i="21"/>
  <c r="I23" i="21"/>
  <c r="I35" i="21"/>
  <c r="I34" i="21"/>
  <c r="I39" i="21"/>
  <c r="I37" i="21" l="1"/>
  <c r="H38" i="21" l="1"/>
  <c r="H32" i="21"/>
  <c r="H31" i="21"/>
  <c r="H24" i="21"/>
  <c r="H23" i="21"/>
  <c r="H34" i="21"/>
  <c r="H35" i="21"/>
  <c r="H37" i="21" l="1"/>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G38" i="21"/>
  <c r="G32" i="21"/>
  <c r="G31" i="21"/>
  <c r="G24" i="21"/>
  <c r="G23" i="21"/>
  <c r="H39" i="21"/>
  <c r="G35" i="21"/>
  <c r="G34" i="21"/>
  <c r="G39" i="21"/>
  <c r="G37" i="21" l="1"/>
  <c r="L178" i="30"/>
  <c r="K178" i="30"/>
  <c r="J178" i="30"/>
  <c r="I178" i="30"/>
  <c r="H178" i="30"/>
  <c r="G178" i="30"/>
  <c r="F178" i="30"/>
  <c r="E178" i="30"/>
  <c r="D178" i="30"/>
  <c r="L177" i="30"/>
  <c r="K177" i="30"/>
  <c r="J177" i="30"/>
  <c r="I177" i="30"/>
  <c r="H177" i="30"/>
  <c r="G177" i="30"/>
  <c r="F177" i="30"/>
  <c r="E177" i="30"/>
  <c r="D177" i="30"/>
  <c r="L173" i="30"/>
  <c r="K173" i="30"/>
  <c r="J173" i="30"/>
  <c r="I173" i="30"/>
  <c r="H173" i="30"/>
  <c r="G173" i="30"/>
  <c r="F173" i="30"/>
  <c r="E173" i="30"/>
  <c r="D173" i="30"/>
  <c r="L159" i="30"/>
  <c r="K159" i="30"/>
  <c r="J159" i="30"/>
  <c r="I159" i="30"/>
  <c r="H159" i="30"/>
  <c r="G159" i="30"/>
  <c r="F159" i="30"/>
  <c r="E159" i="30"/>
  <c r="D159" i="30"/>
  <c r="L158" i="30"/>
  <c r="K158" i="30"/>
  <c r="J158" i="30"/>
  <c r="I158" i="30"/>
  <c r="H158" i="30"/>
  <c r="G158" i="30"/>
  <c r="F158" i="30"/>
  <c r="E158" i="30"/>
  <c r="D158" i="30"/>
  <c r="L157" i="30"/>
  <c r="K157" i="30"/>
  <c r="J157" i="30"/>
  <c r="I157" i="30"/>
  <c r="H157" i="30"/>
  <c r="G157" i="30"/>
  <c r="F157" i="30"/>
  <c r="E157" i="30"/>
  <c r="D157" i="30"/>
  <c r="L156" i="30"/>
  <c r="K156" i="30"/>
  <c r="J156" i="30"/>
  <c r="I156" i="30"/>
  <c r="H156" i="30"/>
  <c r="G156" i="30"/>
  <c r="F156" i="30"/>
  <c r="E156" i="30"/>
  <c r="D156" i="30"/>
  <c r="L155" i="30"/>
  <c r="K155" i="30"/>
  <c r="J155" i="30"/>
  <c r="I155" i="30"/>
  <c r="H155" i="30"/>
  <c r="G155" i="30"/>
  <c r="F155" i="30"/>
  <c r="E155" i="30"/>
  <c r="D155" i="30"/>
  <c r="L154" i="30"/>
  <c r="K154" i="30"/>
  <c r="J154" i="30"/>
  <c r="I154" i="30"/>
  <c r="H154" i="30"/>
  <c r="G154" i="30"/>
  <c r="F154" i="30"/>
  <c r="E154" i="30"/>
  <c r="D154" i="30"/>
  <c r="L153" i="30"/>
  <c r="K153" i="30"/>
  <c r="J153" i="30"/>
  <c r="I153" i="30"/>
  <c r="H153" i="30"/>
  <c r="G153" i="30"/>
  <c r="F153" i="30"/>
  <c r="E153" i="30"/>
  <c r="D153" i="30"/>
  <c r="L152" i="30"/>
  <c r="K152" i="30"/>
  <c r="J152" i="30"/>
  <c r="I152" i="30"/>
  <c r="H152" i="30"/>
  <c r="G152" i="30"/>
  <c r="F152" i="30"/>
  <c r="E152" i="30"/>
  <c r="D152" i="30"/>
  <c r="L151" i="30"/>
  <c r="K151" i="30"/>
  <c r="J151" i="30"/>
  <c r="I151" i="30"/>
  <c r="H151" i="30"/>
  <c r="G151" i="30"/>
  <c r="F151" i="30"/>
  <c r="E151" i="30"/>
  <c r="D151" i="30"/>
  <c r="L150" i="30"/>
  <c r="K150" i="30"/>
  <c r="J150" i="30"/>
  <c r="I150" i="30"/>
  <c r="H150" i="30"/>
  <c r="G150" i="30"/>
  <c r="F150" i="30"/>
  <c r="E150" i="30"/>
  <c r="D150" i="30"/>
  <c r="L149" i="30"/>
  <c r="K149" i="30"/>
  <c r="J149" i="30"/>
  <c r="I149" i="30"/>
  <c r="H149" i="30"/>
  <c r="G149" i="30"/>
  <c r="F149" i="30"/>
  <c r="E149" i="30"/>
  <c r="D149" i="30"/>
  <c r="L148" i="30"/>
  <c r="K148" i="30"/>
  <c r="J148" i="30"/>
  <c r="I148" i="30"/>
  <c r="H148" i="30"/>
  <c r="G148" i="30"/>
  <c r="F148" i="30"/>
  <c r="E148" i="30"/>
  <c r="D148" i="30"/>
  <c r="L147" i="30"/>
  <c r="K147" i="30"/>
  <c r="J147" i="30"/>
  <c r="I147" i="30"/>
  <c r="H147" i="30"/>
  <c r="G147" i="30"/>
  <c r="F147" i="30"/>
  <c r="E147" i="30"/>
  <c r="D147" i="30"/>
  <c r="L146" i="30"/>
  <c r="K146" i="30"/>
  <c r="J146" i="30"/>
  <c r="I146" i="30"/>
  <c r="H146" i="30"/>
  <c r="G146" i="30"/>
  <c r="F146" i="30"/>
  <c r="E146" i="30"/>
  <c r="D146" i="30"/>
  <c r="L144" i="30"/>
  <c r="K144" i="30"/>
  <c r="J144" i="30"/>
  <c r="I144" i="30"/>
  <c r="H144" i="30"/>
  <c r="G144" i="30"/>
  <c r="F144" i="30"/>
  <c r="E144" i="30"/>
  <c r="D144" i="30"/>
  <c r="L128" i="30"/>
  <c r="K128" i="30"/>
  <c r="J128" i="30"/>
  <c r="I128" i="30"/>
  <c r="H128" i="30"/>
  <c r="G128" i="30"/>
  <c r="F128" i="30"/>
  <c r="E128" i="30"/>
  <c r="D128" i="30"/>
  <c r="L114" i="30"/>
  <c r="K114" i="30"/>
  <c r="J114" i="30"/>
  <c r="I114" i="30"/>
  <c r="H114" i="30"/>
  <c r="G114" i="30"/>
  <c r="F114" i="30"/>
  <c r="E114" i="30"/>
  <c r="D114" i="30"/>
  <c r="L113" i="30"/>
  <c r="K113" i="30"/>
  <c r="J113" i="30"/>
  <c r="I113" i="30"/>
  <c r="H113" i="30"/>
  <c r="G113" i="30"/>
  <c r="F113" i="30"/>
  <c r="E113" i="30"/>
  <c r="D113" i="30"/>
  <c r="L112" i="30"/>
  <c r="K112" i="30"/>
  <c r="J112" i="30"/>
  <c r="I112" i="30"/>
  <c r="H112" i="30"/>
  <c r="G112" i="30"/>
  <c r="F112" i="30"/>
  <c r="E112" i="30"/>
  <c r="D112" i="30"/>
  <c r="L111" i="30"/>
  <c r="K111" i="30"/>
  <c r="J111" i="30"/>
  <c r="I111" i="30"/>
  <c r="H111" i="30"/>
  <c r="G111" i="30"/>
  <c r="F111" i="30"/>
  <c r="E111" i="30"/>
  <c r="D111" i="30"/>
  <c r="L110" i="30"/>
  <c r="K110" i="30"/>
  <c r="J110" i="30"/>
  <c r="I110" i="30"/>
  <c r="H110" i="30"/>
  <c r="G110" i="30"/>
  <c r="F110" i="30"/>
  <c r="E110" i="30"/>
  <c r="D110" i="30"/>
  <c r="L109" i="30"/>
  <c r="K109" i="30"/>
  <c r="J109" i="30"/>
  <c r="I109" i="30"/>
  <c r="H109" i="30"/>
  <c r="G109" i="30"/>
  <c r="F109" i="30"/>
  <c r="E109" i="30"/>
  <c r="D109" i="30"/>
  <c r="L108" i="30"/>
  <c r="K108" i="30"/>
  <c r="J108" i="30"/>
  <c r="I108" i="30"/>
  <c r="H108" i="30"/>
  <c r="G108" i="30"/>
  <c r="F108" i="30"/>
  <c r="E108" i="30"/>
  <c r="D108" i="30"/>
  <c r="L107" i="30"/>
  <c r="K107" i="30"/>
  <c r="J107" i="30"/>
  <c r="I107" i="30"/>
  <c r="H107" i="30"/>
  <c r="G107" i="30"/>
  <c r="F107" i="30"/>
  <c r="E107" i="30"/>
  <c r="D107" i="30"/>
  <c r="L106" i="30"/>
  <c r="K106" i="30"/>
  <c r="J106" i="30"/>
  <c r="I106" i="30"/>
  <c r="H106" i="30"/>
  <c r="G106" i="30"/>
  <c r="F106" i="30"/>
  <c r="E106" i="30"/>
  <c r="D106" i="30"/>
  <c r="L105" i="30"/>
  <c r="K105" i="30"/>
  <c r="J105" i="30"/>
  <c r="I105" i="30"/>
  <c r="H105" i="30"/>
  <c r="G105" i="30"/>
  <c r="F105" i="30"/>
  <c r="E105" i="30"/>
  <c r="D105" i="30"/>
  <c r="L104" i="30"/>
  <c r="K104" i="30"/>
  <c r="J104" i="30"/>
  <c r="I104" i="30"/>
  <c r="H104" i="30"/>
  <c r="G104" i="30"/>
  <c r="F104" i="30"/>
  <c r="E104" i="30"/>
  <c r="D104" i="30"/>
  <c r="L103" i="30"/>
  <c r="K103" i="30"/>
  <c r="J103" i="30"/>
  <c r="I103" i="30"/>
  <c r="H103" i="30"/>
  <c r="G103" i="30"/>
  <c r="F103" i="30"/>
  <c r="E103" i="30"/>
  <c r="D103" i="30"/>
  <c r="L102" i="30"/>
  <c r="K102" i="30"/>
  <c r="J102" i="30"/>
  <c r="I102" i="30"/>
  <c r="H102" i="30"/>
  <c r="G102" i="30"/>
  <c r="F102" i="30"/>
  <c r="E102" i="30"/>
  <c r="D102" i="30"/>
  <c r="L101" i="30"/>
  <c r="K101" i="30"/>
  <c r="J101" i="30"/>
  <c r="I101" i="30"/>
  <c r="H101" i="30"/>
  <c r="G101" i="30"/>
  <c r="F101" i="30"/>
  <c r="E101" i="30"/>
  <c r="D101" i="30"/>
  <c r="L99" i="30"/>
  <c r="K99" i="30"/>
  <c r="J99" i="30"/>
  <c r="I99" i="30"/>
  <c r="H99" i="30"/>
  <c r="G99" i="30"/>
  <c r="F99" i="30"/>
  <c r="E99" i="30"/>
  <c r="D99" i="30"/>
  <c r="L83" i="30"/>
  <c r="K83" i="30"/>
  <c r="J83" i="30"/>
  <c r="I83" i="30"/>
  <c r="H83" i="30"/>
  <c r="G83" i="30"/>
  <c r="F83" i="30"/>
  <c r="E83" i="30"/>
  <c r="D83" i="30"/>
  <c r="L69" i="30"/>
  <c r="K69" i="30"/>
  <c r="J69" i="30"/>
  <c r="I69" i="30"/>
  <c r="H69" i="30"/>
  <c r="G69" i="30"/>
  <c r="F69" i="30"/>
  <c r="E69" i="30"/>
  <c r="D69" i="30"/>
  <c r="L68" i="30"/>
  <c r="K68" i="30"/>
  <c r="J68" i="30"/>
  <c r="I68" i="30"/>
  <c r="H68" i="30"/>
  <c r="G68" i="30"/>
  <c r="F68" i="30"/>
  <c r="E68" i="30"/>
  <c r="D68" i="30"/>
  <c r="L67" i="30"/>
  <c r="K67" i="30"/>
  <c r="J67" i="30"/>
  <c r="I67" i="30"/>
  <c r="H67" i="30"/>
  <c r="G67" i="30"/>
  <c r="F67" i="30"/>
  <c r="E67" i="30"/>
  <c r="D67" i="30"/>
  <c r="L66" i="30"/>
  <c r="K66" i="30"/>
  <c r="J66" i="30"/>
  <c r="I66" i="30"/>
  <c r="H66" i="30"/>
  <c r="G66" i="30"/>
  <c r="F66" i="30"/>
  <c r="E66" i="30"/>
  <c r="D66" i="30"/>
  <c r="L65" i="30"/>
  <c r="K65" i="30"/>
  <c r="J65" i="30"/>
  <c r="I65" i="30"/>
  <c r="H65" i="30"/>
  <c r="G65" i="30"/>
  <c r="F65" i="30"/>
  <c r="E65" i="30"/>
  <c r="D65" i="30"/>
  <c r="L64" i="30"/>
  <c r="K64" i="30"/>
  <c r="J64" i="30"/>
  <c r="I64" i="30"/>
  <c r="H64" i="30"/>
  <c r="G64" i="30"/>
  <c r="F64" i="30"/>
  <c r="E64" i="30"/>
  <c r="D64" i="30"/>
  <c r="L63" i="30"/>
  <c r="K63" i="30"/>
  <c r="J63" i="30"/>
  <c r="I63" i="30"/>
  <c r="H63" i="30"/>
  <c r="G63" i="30"/>
  <c r="F63" i="30"/>
  <c r="E63" i="30"/>
  <c r="D63" i="30"/>
  <c r="L62" i="30"/>
  <c r="K62" i="30"/>
  <c r="J62" i="30"/>
  <c r="I62" i="30"/>
  <c r="H62" i="30"/>
  <c r="G62" i="30"/>
  <c r="F62" i="30"/>
  <c r="E62" i="30"/>
  <c r="D62" i="30"/>
  <c r="L61" i="30"/>
  <c r="K61" i="30"/>
  <c r="J61" i="30"/>
  <c r="I61" i="30"/>
  <c r="H61" i="30"/>
  <c r="G61" i="30"/>
  <c r="F61" i="30"/>
  <c r="E61" i="30"/>
  <c r="D61" i="30"/>
  <c r="L60" i="30"/>
  <c r="K60" i="30"/>
  <c r="J60" i="30"/>
  <c r="I60" i="30"/>
  <c r="H60" i="30"/>
  <c r="G60" i="30"/>
  <c r="F60" i="30"/>
  <c r="E60" i="30"/>
  <c r="D60" i="30"/>
  <c r="L59" i="30"/>
  <c r="K59" i="30"/>
  <c r="J59" i="30"/>
  <c r="I59" i="30"/>
  <c r="H59" i="30"/>
  <c r="G59" i="30"/>
  <c r="F59" i="30"/>
  <c r="E59" i="30"/>
  <c r="D59" i="30"/>
  <c r="L58" i="30"/>
  <c r="K58" i="30"/>
  <c r="J58" i="30"/>
  <c r="I58" i="30"/>
  <c r="H58" i="30"/>
  <c r="G58" i="30"/>
  <c r="F58" i="30"/>
  <c r="E58" i="30"/>
  <c r="D58" i="30"/>
  <c r="L57" i="30"/>
  <c r="K57" i="30"/>
  <c r="J57" i="30"/>
  <c r="I57" i="30"/>
  <c r="H57" i="30"/>
  <c r="G57" i="30"/>
  <c r="F57" i="30"/>
  <c r="E57" i="30"/>
  <c r="D57" i="30"/>
  <c r="L56" i="30"/>
  <c r="K56" i="30"/>
  <c r="J56" i="30"/>
  <c r="I56" i="30"/>
  <c r="H56" i="30"/>
  <c r="G56" i="30"/>
  <c r="F56" i="30"/>
  <c r="E56" i="30"/>
  <c r="D56" i="30"/>
  <c r="L54" i="30"/>
  <c r="K54" i="30"/>
  <c r="J54" i="30"/>
  <c r="I54" i="30"/>
  <c r="H54" i="30"/>
  <c r="G54" i="30"/>
  <c r="F54" i="30"/>
  <c r="E54" i="30"/>
  <c r="D54" i="30"/>
  <c r="L166" i="30"/>
  <c r="L124" i="30"/>
  <c r="L82" i="30"/>
  <c r="L73" i="30"/>
  <c r="K171" i="30"/>
  <c r="I170" i="30"/>
  <c r="I161" i="30"/>
  <c r="I119" i="30"/>
  <c r="I77" i="30"/>
  <c r="K121" i="30"/>
  <c r="H167" i="30"/>
  <c r="E125" i="30"/>
  <c r="J122" i="30"/>
  <c r="D73" i="30"/>
  <c r="G162" i="30"/>
  <c r="G76" i="30"/>
  <c r="F170" i="30"/>
  <c r="F161" i="30"/>
  <c r="F119" i="30"/>
  <c r="F77" i="30"/>
  <c r="E121" i="30"/>
  <c r="E167" i="30"/>
  <c r="E124" i="30"/>
  <c r="J121" i="30"/>
  <c r="H72" i="30"/>
  <c r="G170" i="30"/>
  <c r="G80" i="30"/>
  <c r="D163" i="30"/>
  <c r="K117" i="30"/>
  <c r="J123" i="30"/>
  <c r="G81" i="30"/>
  <c r="D72" i="30"/>
  <c r="J79" i="30"/>
  <c r="J126" i="30"/>
  <c r="K82" i="30"/>
  <c r="L168" i="30"/>
  <c r="L126" i="30"/>
  <c r="L117" i="30"/>
  <c r="L75" i="30"/>
  <c r="E119" i="30"/>
  <c r="K126" i="30"/>
  <c r="I166" i="30"/>
  <c r="I124" i="30"/>
  <c r="I82" i="30"/>
  <c r="I73" i="30"/>
  <c r="H172" i="30"/>
  <c r="H163" i="30"/>
  <c r="J170" i="30"/>
  <c r="H80" i="30"/>
  <c r="D162" i="30"/>
  <c r="G126" i="30"/>
  <c r="K74" i="30"/>
  <c r="F172" i="30"/>
  <c r="F163" i="30"/>
  <c r="F121" i="30"/>
  <c r="F79" i="30"/>
  <c r="H124" i="30"/>
  <c r="E169" i="30"/>
  <c r="E127" i="30"/>
  <c r="J127" i="30"/>
  <c r="H75" i="30"/>
  <c r="J75" i="30"/>
  <c r="G116" i="30"/>
  <c r="D171" i="30"/>
  <c r="J72" i="30"/>
  <c r="H117" i="30"/>
  <c r="K76" i="30"/>
  <c r="D166" i="30"/>
  <c r="D161" i="30"/>
  <c r="H120" i="30"/>
  <c r="G78" i="30"/>
  <c r="J81" i="30"/>
  <c r="L164" i="30"/>
  <c r="L122" i="30"/>
  <c r="L80" i="30"/>
  <c r="L71" i="30"/>
  <c r="K169" i="30"/>
  <c r="I171" i="30"/>
  <c r="I162" i="30"/>
  <c r="I120" i="30"/>
  <c r="I78" i="30"/>
  <c r="E123" i="30"/>
  <c r="H168" i="30"/>
  <c r="H126" i="30"/>
  <c r="J125" i="30"/>
  <c r="H74" i="30"/>
  <c r="G165" i="30"/>
  <c r="K77" i="30"/>
  <c r="D122" i="30"/>
  <c r="F165" i="30"/>
  <c r="F123" i="30"/>
  <c r="F81" i="30"/>
  <c r="F72" i="30"/>
  <c r="E171" i="30"/>
  <c r="E162" i="30"/>
  <c r="J166" i="30"/>
  <c r="H78" i="30"/>
  <c r="E72" i="30"/>
  <c r="K81" i="30"/>
  <c r="D167" i="30"/>
  <c r="E80" i="30"/>
  <c r="J165" i="30"/>
  <c r="G121" i="30"/>
  <c r="E78" i="30"/>
  <c r="J71" i="30"/>
  <c r="H79" i="30"/>
  <c r="K73" i="30"/>
  <c r="L172" i="30"/>
  <c r="L163" i="30"/>
  <c r="L121" i="30"/>
  <c r="L79" i="30"/>
  <c r="H125" i="30"/>
  <c r="K167" i="30"/>
  <c r="I167" i="30"/>
  <c r="I125" i="30"/>
  <c r="I116" i="30"/>
  <c r="I74" i="30"/>
  <c r="E117" i="30"/>
  <c r="H164" i="30"/>
  <c r="K116" i="30"/>
  <c r="D82" i="30"/>
  <c r="E81" i="30"/>
  <c r="G120" i="30"/>
  <c r="K71" i="30"/>
  <c r="F167" i="30"/>
  <c r="F125" i="30"/>
  <c r="F116" i="30"/>
  <c r="F74" i="30"/>
  <c r="H116" i="30"/>
  <c r="E164" i="30"/>
  <c r="J172" i="30"/>
  <c r="H81" i="30"/>
  <c r="D169" i="30"/>
  <c r="G161" i="30"/>
  <c r="K75" i="30"/>
  <c r="E116" i="30"/>
  <c r="K164" i="30"/>
  <c r="H73" i="30"/>
  <c r="J73" i="30"/>
  <c r="G169" i="30"/>
  <c r="J74" i="30"/>
  <c r="D75" i="30"/>
  <c r="E82" i="30"/>
  <c r="L165" i="30"/>
  <c r="L123" i="30"/>
  <c r="L81" i="30"/>
  <c r="L72" i="30"/>
  <c r="K170" i="30"/>
  <c r="I172" i="30"/>
  <c r="I163" i="30"/>
  <c r="I121" i="30"/>
  <c r="I79" i="30"/>
  <c r="K124" i="30"/>
  <c r="H169" i="30"/>
  <c r="H127" i="30"/>
  <c r="J161" i="30"/>
  <c r="D76" i="30"/>
  <c r="E77" i="30"/>
  <c r="G117" i="30"/>
  <c r="D172" i="30"/>
  <c r="F169" i="30"/>
  <c r="F127" i="30"/>
  <c r="F118" i="30"/>
  <c r="F76" i="30"/>
  <c r="K119" i="30"/>
  <c r="E166" i="30"/>
  <c r="H121" i="30"/>
  <c r="J118" i="30"/>
  <c r="D71" i="30"/>
  <c r="G167" i="30"/>
  <c r="K78" i="30"/>
  <c r="D125" i="30"/>
  <c r="K168" i="30"/>
  <c r="H82" i="30"/>
  <c r="J171" i="30"/>
  <c r="G127" i="30"/>
  <c r="E76" i="30"/>
  <c r="J117" i="30"/>
  <c r="D170" i="30"/>
  <c r="L170" i="30"/>
  <c r="L161" i="30"/>
  <c r="L119" i="30"/>
  <c r="L77" i="30"/>
  <c r="E122" i="30"/>
  <c r="K163" i="30"/>
  <c r="I168" i="30"/>
  <c r="I126" i="30"/>
  <c r="I117" i="30"/>
  <c r="I75" i="30"/>
  <c r="H118" i="30"/>
  <c r="H165" i="30"/>
  <c r="H119" i="30"/>
  <c r="J116" i="30"/>
  <c r="D120" i="30"/>
  <c r="G123" i="30"/>
  <c r="G73" i="30"/>
  <c r="F171" i="30"/>
  <c r="F162" i="30"/>
  <c r="F120" i="30"/>
  <c r="F78" i="30"/>
  <c r="K122" i="30"/>
  <c r="E168" i="30"/>
  <c r="E126" i="30"/>
  <c r="J124" i="30"/>
  <c r="D74" i="30"/>
  <c r="G164" i="30"/>
  <c r="G77" i="30"/>
  <c r="D121" i="30"/>
  <c r="K166" i="30"/>
  <c r="D78" i="30"/>
  <c r="J162" i="30"/>
  <c r="G118" i="30"/>
  <c r="D119" i="30"/>
  <c r="D123" i="30"/>
  <c r="D124" i="30"/>
  <c r="L169" i="30"/>
  <c r="L127" i="30"/>
  <c r="L118" i="30"/>
  <c r="L76" i="30"/>
  <c r="K120" i="30"/>
  <c r="K161" i="30"/>
  <c r="I164" i="30"/>
  <c r="I122" i="30"/>
  <c r="I80" i="30"/>
  <c r="I71" i="30"/>
  <c r="H170" i="30"/>
  <c r="H161" i="30"/>
  <c r="J164" i="30"/>
  <c r="H77" i="30"/>
  <c r="G171" i="30"/>
  <c r="K80" i="30"/>
  <c r="D164" i="30"/>
  <c r="F164" i="30"/>
  <c r="F122" i="30"/>
  <c r="F80" i="30"/>
  <c r="F71" i="30"/>
  <c r="E170" i="30"/>
  <c r="E161" i="30"/>
  <c r="J163" i="30"/>
  <c r="D77" i="30"/>
  <c r="E79" i="30"/>
  <c r="G119" i="30"/>
  <c r="G71" i="30"/>
  <c r="E75" i="30"/>
  <c r="K125" i="30"/>
  <c r="G172" i="30"/>
  <c r="J120" i="30"/>
  <c r="K79" i="30"/>
  <c r="J76" i="30"/>
  <c r="E74" i="30"/>
  <c r="L171" i="30"/>
  <c r="L162" i="30"/>
  <c r="L120" i="30"/>
  <c r="L78" i="30"/>
  <c r="K123" i="30"/>
  <c r="K165" i="30"/>
  <c r="I169" i="30"/>
  <c r="I127" i="30"/>
  <c r="I118" i="30"/>
  <c r="I76" i="30"/>
  <c r="E120" i="30"/>
  <c r="H166" i="30"/>
  <c r="H122" i="30"/>
  <c r="J119" i="30"/>
  <c r="H71" i="30"/>
  <c r="G168" i="30"/>
  <c r="G79" i="30"/>
  <c r="D127" i="30"/>
  <c r="F166" i="30"/>
  <c r="F124" i="30"/>
  <c r="F82" i="30"/>
  <c r="F73" i="30"/>
  <c r="E172" i="30"/>
  <c r="E163" i="30"/>
  <c r="J169" i="30"/>
  <c r="D80" i="30"/>
  <c r="D126" i="30"/>
  <c r="G125" i="30"/>
  <c r="G74" i="30"/>
  <c r="J80" i="30"/>
  <c r="K162" i="30"/>
  <c r="G163" i="30"/>
  <c r="D81" i="30"/>
  <c r="G75" i="30"/>
  <c r="G72" i="30"/>
  <c r="G166" i="30"/>
  <c r="J78" i="30"/>
  <c r="L167" i="30"/>
  <c r="L125" i="30"/>
  <c r="L116" i="30"/>
  <c r="L74" i="30"/>
  <c r="K172" i="30"/>
  <c r="H123" i="30"/>
  <c r="I165" i="30"/>
  <c r="I123" i="30"/>
  <c r="I81" i="30"/>
  <c r="I72" i="30"/>
  <c r="H171" i="30"/>
  <c r="H162" i="30"/>
  <c r="J167" i="30"/>
  <c r="D79" i="30"/>
  <c r="E73" i="30"/>
  <c r="G82" i="30"/>
  <c r="D168" i="30"/>
  <c r="F168" i="30"/>
  <c r="F126" i="30"/>
  <c r="F117" i="30"/>
  <c r="F75" i="30"/>
  <c r="E118" i="30"/>
  <c r="E165" i="30"/>
  <c r="K118" i="30"/>
  <c r="D116" i="30"/>
  <c r="D117" i="30"/>
  <c r="G122" i="30"/>
  <c r="K72" i="30"/>
  <c r="J77" i="30"/>
  <c r="K127" i="30"/>
  <c r="J82" i="30"/>
  <c r="H76" i="30"/>
  <c r="D118" i="30"/>
  <c r="J168" i="30"/>
  <c r="G124" i="30"/>
  <c r="E71" i="30"/>
  <c r="D165" i="30"/>
  <c r="E188" i="30" l="1"/>
  <c r="E179" i="30"/>
  <c r="E84" i="30"/>
  <c r="E85" i="30" s="1"/>
  <c r="J84" i="30"/>
  <c r="J85" i="30" s="1"/>
  <c r="J179" i="30"/>
  <c r="J180" i="30"/>
  <c r="J181" i="30"/>
  <c r="J182" i="30"/>
  <c r="E183" i="30"/>
  <c r="E184" i="30"/>
  <c r="J184" i="30"/>
  <c r="J185" i="30"/>
  <c r="J186" i="30"/>
  <c r="J187" i="30"/>
  <c r="J188" i="30"/>
  <c r="J189" i="30"/>
  <c r="E190" i="30"/>
  <c r="E191" i="30"/>
  <c r="E129" i="30"/>
  <c r="E130" i="30" s="1"/>
  <c r="D193" i="30"/>
  <c r="D194" i="30"/>
  <c r="D196" i="30"/>
  <c r="D197" i="30"/>
  <c r="D199" i="30"/>
  <c r="D200" i="30"/>
  <c r="D202" i="30"/>
  <c r="D203" i="30"/>
  <c r="D174" i="30"/>
  <c r="D175" i="30" s="1"/>
  <c r="D205" i="30"/>
  <c r="D206" i="30"/>
  <c r="D207" i="30"/>
  <c r="D209" i="30"/>
  <c r="D210" i="30"/>
  <c r="D212" i="30"/>
  <c r="D213" i="30"/>
  <c r="D214" i="30"/>
  <c r="G179" i="30"/>
  <c r="G84" i="30"/>
  <c r="G85" i="30" s="1"/>
  <c r="K179" i="30"/>
  <c r="K84" i="30"/>
  <c r="K85" i="30" s="1"/>
  <c r="G180" i="30"/>
  <c r="K180" i="30"/>
  <c r="G181" i="30"/>
  <c r="K181" i="30"/>
  <c r="G182" i="30"/>
  <c r="K182" i="30"/>
  <c r="G183" i="30"/>
  <c r="K183" i="30"/>
  <c r="G184" i="30"/>
  <c r="K184" i="30"/>
  <c r="G185" i="30"/>
  <c r="K185" i="30"/>
  <c r="G186" i="30"/>
  <c r="K186" i="30"/>
  <c r="G187" i="30"/>
  <c r="K187" i="30"/>
  <c r="G188" i="30"/>
  <c r="K188" i="30"/>
  <c r="G189" i="30"/>
  <c r="K189" i="30"/>
  <c r="G190" i="30"/>
  <c r="K190" i="30"/>
  <c r="G191" i="30"/>
  <c r="G129" i="30"/>
  <c r="G130" i="30" s="1"/>
  <c r="G192" i="30"/>
  <c r="G193" i="30"/>
  <c r="G194" i="30"/>
  <c r="G195" i="30"/>
  <c r="G196" i="30"/>
  <c r="G197" i="30"/>
  <c r="G198" i="30"/>
  <c r="G199" i="30"/>
  <c r="G200" i="30"/>
  <c r="G201" i="30"/>
  <c r="G202" i="30"/>
  <c r="G203" i="30"/>
  <c r="G174" i="30"/>
  <c r="G175" i="30" s="1"/>
  <c r="G204" i="30"/>
  <c r="G205" i="30"/>
  <c r="G206" i="30"/>
  <c r="G207" i="30"/>
  <c r="G208" i="30"/>
  <c r="G209" i="30"/>
  <c r="G210" i="30"/>
  <c r="G211" i="30"/>
  <c r="G212" i="30"/>
  <c r="G213" i="30"/>
  <c r="G214" i="30"/>
  <c r="E180" i="30"/>
  <c r="E181" i="30"/>
  <c r="E182" i="30"/>
  <c r="J183" i="30"/>
  <c r="E185" i="30"/>
  <c r="E186" i="30"/>
  <c r="E187" i="30"/>
  <c r="E189" i="30"/>
  <c r="J190" i="30"/>
  <c r="D192" i="30"/>
  <c r="D195" i="30"/>
  <c r="D198" i="30"/>
  <c r="D201" i="30"/>
  <c r="D204" i="30"/>
  <c r="D208" i="30"/>
  <c r="D211" i="30"/>
  <c r="D179" i="30"/>
  <c r="D84" i="30"/>
  <c r="D85" i="30" s="1"/>
  <c r="H179" i="30"/>
  <c r="H84" i="30"/>
  <c r="H85" i="30" s="1"/>
  <c r="D180" i="30"/>
  <c r="H180" i="30"/>
  <c r="D181" i="30"/>
  <c r="H181" i="30"/>
  <c r="D182" i="30"/>
  <c r="H182" i="30"/>
  <c r="D183" i="30"/>
  <c r="H183" i="30"/>
  <c r="D184" i="30"/>
  <c r="H184" i="30"/>
  <c r="D185" i="30"/>
  <c r="H185" i="30"/>
  <c r="D186" i="30"/>
  <c r="H186" i="30"/>
  <c r="D187" i="30"/>
  <c r="H187" i="30"/>
  <c r="D188" i="30"/>
  <c r="H188" i="30"/>
  <c r="D189" i="30"/>
  <c r="H189" i="30"/>
  <c r="D190" i="30"/>
  <c r="H190" i="30"/>
  <c r="D191" i="30"/>
  <c r="D129" i="30"/>
  <c r="D130" i="30" s="1"/>
  <c r="J191" i="30"/>
  <c r="J129" i="30"/>
  <c r="J130" i="30" s="1"/>
  <c r="J192" i="30"/>
  <c r="J193" i="30"/>
  <c r="J194" i="30"/>
  <c r="J195" i="30"/>
  <c r="J196" i="30"/>
  <c r="J197" i="30"/>
  <c r="J198" i="30"/>
  <c r="J199" i="30"/>
  <c r="J200" i="30"/>
  <c r="J201" i="30"/>
  <c r="J202" i="30"/>
  <c r="J203" i="30"/>
  <c r="J174" i="30"/>
  <c r="J175" i="30" s="1"/>
  <c r="J204" i="30"/>
  <c r="J205" i="30"/>
  <c r="J206" i="30"/>
  <c r="J207" i="30"/>
  <c r="J208" i="30"/>
  <c r="J209" i="30"/>
  <c r="J210" i="30"/>
  <c r="J211" i="30"/>
  <c r="J212" i="30"/>
  <c r="J213" i="30"/>
  <c r="J214" i="30"/>
  <c r="K129" i="30"/>
  <c r="K130" i="30" s="1"/>
  <c r="K191" i="30"/>
  <c r="H192" i="30"/>
  <c r="K193" i="30"/>
  <c r="H194" i="30"/>
  <c r="H195" i="30"/>
  <c r="H196" i="30"/>
  <c r="H197" i="30"/>
  <c r="H198" i="30"/>
  <c r="E199" i="30"/>
  <c r="E200" i="30"/>
  <c r="K200" i="30"/>
  <c r="E201" i="30"/>
  <c r="H201" i="30"/>
  <c r="K201" i="30"/>
  <c r="E202" i="30"/>
  <c r="H202" i="30"/>
  <c r="K202" i="30"/>
  <c r="E174" i="30"/>
  <c r="E175" i="30" s="1"/>
  <c r="E203" i="30"/>
  <c r="H203" i="30"/>
  <c r="H174" i="30"/>
  <c r="H175" i="30" s="1"/>
  <c r="K203" i="30"/>
  <c r="K174" i="30"/>
  <c r="K175" i="30" s="1"/>
  <c r="E204" i="30"/>
  <c r="H204" i="30"/>
  <c r="K204" i="30"/>
  <c r="E205" i="30"/>
  <c r="H205" i="30"/>
  <c r="K205" i="30"/>
  <c r="E206" i="30"/>
  <c r="H206" i="30"/>
  <c r="K206" i="30"/>
  <c r="E207" i="30"/>
  <c r="H207" i="30"/>
  <c r="K207" i="30"/>
  <c r="E208" i="30"/>
  <c r="H208" i="30"/>
  <c r="K208" i="30"/>
  <c r="E209" i="30"/>
  <c r="H209" i="30"/>
  <c r="K209" i="30"/>
  <c r="E210" i="30"/>
  <c r="H210" i="30"/>
  <c r="K210" i="30"/>
  <c r="E211" i="30"/>
  <c r="H211" i="30"/>
  <c r="K211" i="30"/>
  <c r="E212" i="30"/>
  <c r="H212" i="30"/>
  <c r="K212" i="30"/>
  <c r="E213" i="30"/>
  <c r="H213" i="30"/>
  <c r="K213" i="30"/>
  <c r="E214" i="30"/>
  <c r="H214" i="30"/>
  <c r="K214" i="30"/>
  <c r="H129" i="30"/>
  <c r="H130" i="30" s="1"/>
  <c r="H191" i="30"/>
  <c r="E192" i="30"/>
  <c r="K192" i="30"/>
  <c r="E193" i="30"/>
  <c r="H193" i="30"/>
  <c r="E194" i="30"/>
  <c r="K194" i="30"/>
  <c r="E195" i="30"/>
  <c r="K195" i="30"/>
  <c r="E196" i="30"/>
  <c r="K196" i="30"/>
  <c r="E197" i="30"/>
  <c r="K197" i="30"/>
  <c r="E198" i="30"/>
  <c r="K198" i="30"/>
  <c r="H199" i="30"/>
  <c r="K199" i="30"/>
  <c r="H200" i="30"/>
  <c r="F179" i="30"/>
  <c r="F84" i="30"/>
  <c r="F85" i="30" s="1"/>
  <c r="I179" i="30"/>
  <c r="I84" i="30"/>
  <c r="I85" i="30" s="1"/>
  <c r="F180" i="30"/>
  <c r="I180" i="30"/>
  <c r="F181" i="30"/>
  <c r="I181" i="30"/>
  <c r="F182" i="30"/>
  <c r="I182" i="30"/>
  <c r="F183" i="30"/>
  <c r="I183" i="30"/>
  <c r="F184" i="30"/>
  <c r="I184" i="30"/>
  <c r="F185" i="30"/>
  <c r="I185" i="30"/>
  <c r="F186" i="30"/>
  <c r="I186" i="30"/>
  <c r="F187" i="30"/>
  <c r="I187" i="30"/>
  <c r="F188" i="30"/>
  <c r="I188" i="30"/>
  <c r="F189" i="30"/>
  <c r="I189" i="30"/>
  <c r="F190" i="30"/>
  <c r="I190" i="30"/>
  <c r="F191" i="30"/>
  <c r="F129" i="30"/>
  <c r="F130" i="30" s="1"/>
  <c r="I191" i="30"/>
  <c r="I129" i="30"/>
  <c r="I130" i="30" s="1"/>
  <c r="F192" i="30"/>
  <c r="I192" i="30"/>
  <c r="F193" i="30"/>
  <c r="I193" i="30"/>
  <c r="F194" i="30"/>
  <c r="I194" i="30"/>
  <c r="F195" i="30"/>
  <c r="I195" i="30"/>
  <c r="F196" i="30"/>
  <c r="I196" i="30"/>
  <c r="F197" i="30"/>
  <c r="I197" i="30"/>
  <c r="F198" i="30"/>
  <c r="I198" i="30"/>
  <c r="F199" i="30"/>
  <c r="I199" i="30"/>
  <c r="F200" i="30"/>
  <c r="I200" i="30"/>
  <c r="F201" i="30"/>
  <c r="I201" i="30"/>
  <c r="F202" i="30"/>
  <c r="I202" i="30"/>
  <c r="F203" i="30"/>
  <c r="F174" i="30"/>
  <c r="F175" i="30" s="1"/>
  <c r="I174" i="30"/>
  <c r="I175" i="30" s="1"/>
  <c r="I203" i="30"/>
  <c r="F204" i="30"/>
  <c r="I204" i="30"/>
  <c r="F205" i="30"/>
  <c r="I205" i="30"/>
  <c r="F206" i="30"/>
  <c r="I206" i="30"/>
  <c r="F207" i="30"/>
  <c r="I207" i="30"/>
  <c r="F208" i="30"/>
  <c r="I208" i="30"/>
  <c r="F209" i="30"/>
  <c r="I209" i="30"/>
  <c r="F210" i="30"/>
  <c r="I210" i="30"/>
  <c r="F211" i="30"/>
  <c r="I211" i="30"/>
  <c r="F212" i="30"/>
  <c r="I212" i="30"/>
  <c r="F213" i="30"/>
  <c r="I213" i="30"/>
  <c r="F214" i="30"/>
  <c r="I214" i="30"/>
  <c r="L174" i="30"/>
  <c r="L175" i="30" s="1"/>
  <c r="L129" i="30"/>
  <c r="L130" i="30" s="1"/>
  <c r="L84" i="30"/>
  <c r="L85" i="30" s="1"/>
  <c r="F38" i="21"/>
  <c r="F32" i="21"/>
  <c r="F31" i="21"/>
  <c r="F24" i="21"/>
  <c r="F23" i="21"/>
  <c r="L199" i="30"/>
  <c r="L198" i="30"/>
  <c r="L194" i="30"/>
  <c r="L192" i="30"/>
  <c r="L185" i="30"/>
  <c r="L183" i="30"/>
  <c r="L182" i="30"/>
  <c r="L196" i="30"/>
  <c r="L197" i="30"/>
  <c r="L211" i="30"/>
  <c r="L189" i="30"/>
  <c r="L209" i="30"/>
  <c r="L205" i="30"/>
  <c r="L200" i="30"/>
  <c r="L180" i="30"/>
  <c r="F35" i="21"/>
  <c r="L188" i="30"/>
  <c r="L204" i="30"/>
  <c r="L203" i="30"/>
  <c r="L179" i="30"/>
  <c r="L214" i="30"/>
  <c r="F34" i="21"/>
  <c r="L212" i="30"/>
  <c r="L195" i="30"/>
  <c r="L208" i="30"/>
  <c r="L210" i="30"/>
  <c r="L206" i="30"/>
  <c r="L207" i="30"/>
  <c r="L201" i="30"/>
  <c r="L184" i="30"/>
  <c r="L190" i="30"/>
  <c r="L191" i="30"/>
  <c r="L213" i="30"/>
  <c r="L202" i="30"/>
  <c r="L187" i="30"/>
  <c r="L181" i="30"/>
  <c r="L193" i="30"/>
  <c r="L186" i="30"/>
  <c r="F37" i="21" l="1"/>
  <c r="D47" i="18"/>
  <c r="E38" i="21"/>
  <c r="E32" i="21"/>
  <c r="E31" i="21"/>
  <c r="E24" i="21"/>
  <c r="E23" i="21"/>
  <c r="F39" i="21"/>
  <c r="E34" i="21"/>
  <c r="E35" i="21"/>
  <c r="E37" i="21" l="1"/>
  <c r="D38" i="21"/>
  <c r="D32" i="21"/>
  <c r="D31" i="21"/>
  <c r="D24" i="21"/>
  <c r="D23" i="21"/>
  <c r="D35" i="21"/>
  <c r="D34" i="21"/>
  <c r="E39" i="21"/>
  <c r="D37" i="21" l="1"/>
  <c r="C38" i="21"/>
  <c r="C32" i="21"/>
  <c r="C31" i="21"/>
  <c r="C24" i="21"/>
  <c r="C23" i="21"/>
  <c r="D39" i="21"/>
  <c r="C35" i="21"/>
  <c r="C34" i="21"/>
  <c r="C37" i="21" l="1"/>
  <c r="L40" i="30"/>
  <c r="C39" i="21"/>
  <c r="K40" i="30" l="1"/>
  <c r="K39" i="30"/>
  <c r="L39" i="30"/>
  <c r="K287" i="28" l="1"/>
  <c r="P229" i="25" l="1"/>
  <c r="C73" i="25" l="1"/>
  <c r="C74" i="25"/>
  <c r="G99" i="10"/>
  <c r="D58" i="18"/>
  <c r="L71" i="19"/>
  <c r="L56" i="19"/>
  <c r="J71" i="19"/>
  <c r="L66" i="19"/>
  <c r="J66" i="19"/>
  <c r="H66" i="19"/>
  <c r="L51" i="19"/>
  <c r="H56" i="19"/>
  <c r="J56" i="19"/>
  <c r="J51" i="19"/>
  <c r="H71" i="19"/>
  <c r="H51" i="19"/>
  <c r="F33" i="15"/>
  <c r="F69" i="10"/>
  <c r="E69" i="10"/>
  <c r="D69" i="10"/>
  <c r="D28" i="18"/>
  <c r="P148" i="25"/>
  <c r="F229" i="25"/>
  <c r="P310" i="25"/>
  <c r="D310" i="25" s="1"/>
  <c r="D209" i="28"/>
  <c r="C17" i="9"/>
  <c r="D5" i="24"/>
  <c r="C9" i="9" s="1"/>
  <c r="C35" i="9"/>
  <c r="Y39" i="21"/>
  <c r="X39" i="21"/>
  <c r="W39" i="21"/>
  <c r="V39" i="21"/>
  <c r="U39" i="21"/>
  <c r="T39" i="21"/>
  <c r="S39" i="21"/>
  <c r="R39" i="21"/>
  <c r="Q39" i="21"/>
  <c r="P39" i="21"/>
  <c r="O39" i="21"/>
  <c r="N39" i="21"/>
  <c r="M39" i="21"/>
  <c r="L39" i="21"/>
  <c r="G74"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F40" i="30"/>
  <c r="E40" i="30"/>
  <c r="D40" i="30"/>
  <c r="J39" i="30"/>
  <c r="I39" i="30"/>
  <c r="H39" i="30"/>
  <c r="G39" i="30"/>
  <c r="F39" i="30"/>
  <c r="E39" i="30"/>
  <c r="D39" i="30"/>
  <c r="C34" i="30"/>
  <c r="O34" i="30" s="1"/>
  <c r="B34" i="30"/>
  <c r="C33" i="30"/>
  <c r="M33" i="30" s="1"/>
  <c r="B33" i="30"/>
  <c r="C32" i="30"/>
  <c r="I32" i="30" s="1"/>
  <c r="B32" i="30"/>
  <c r="C31" i="30"/>
  <c r="O31" i="30" s="1"/>
  <c r="B31" i="30"/>
  <c r="C30" i="30"/>
  <c r="I30" i="30"/>
  <c r="B30" i="30"/>
  <c r="C29" i="30"/>
  <c r="I29" i="30" s="1"/>
  <c r="B29" i="30"/>
  <c r="C28" i="30"/>
  <c r="G28" i="30" s="1"/>
  <c r="I28" i="30"/>
  <c r="B28" i="30"/>
  <c r="C27" i="30"/>
  <c r="B27" i="30"/>
  <c r="C26" i="30"/>
  <c r="M26" i="30" s="1"/>
  <c r="B26" i="30"/>
  <c r="N24" i="30"/>
  <c r="J24" i="30"/>
  <c r="F24" i="30"/>
  <c r="L23" i="30"/>
  <c r="H23" i="30"/>
  <c r="D23" i="30"/>
  <c r="K30" i="30"/>
  <c r="K32" i="30"/>
  <c r="O27" i="30"/>
  <c r="G27" i="30"/>
  <c r="M27" i="30"/>
  <c r="O29" i="30"/>
  <c r="G29" i="30"/>
  <c r="M29" i="30"/>
  <c r="O33" i="30"/>
  <c r="G33" i="30"/>
  <c r="E27" i="30"/>
  <c r="E29" i="30"/>
  <c r="E31" i="30"/>
  <c r="I27" i="30"/>
  <c r="O28" i="30"/>
  <c r="O30" i="30"/>
  <c r="G30" i="30"/>
  <c r="M30" i="30"/>
  <c r="I31" i="30"/>
  <c r="O32" i="30"/>
  <c r="G32" i="30"/>
  <c r="M32" i="30"/>
  <c r="I33" i="30"/>
  <c r="E26" i="30"/>
  <c r="K27" i="30"/>
  <c r="E28" i="30"/>
  <c r="K29" i="30"/>
  <c r="E30" i="30"/>
  <c r="E32" i="30"/>
  <c r="K33" i="30"/>
  <c r="E116" i="31"/>
  <c r="F116" i="31"/>
  <c r="F117" i="31"/>
  <c r="E117" i="31"/>
  <c r="E118" i="31"/>
  <c r="F118" i="31"/>
  <c r="G59" i="19"/>
  <c r="H39" i="27"/>
  <c r="H55" i="27" s="1"/>
  <c r="G9" i="26"/>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E66" i="15" s="1"/>
  <c r="B66" i="15"/>
  <c r="C65" i="15"/>
  <c r="B65" i="15"/>
  <c r="C64" i="15"/>
  <c r="B64" i="15"/>
  <c r="F72" i="15"/>
  <c r="F71" i="15"/>
  <c r="C63" i="15"/>
  <c r="B63" i="15"/>
  <c r="E72" i="15"/>
  <c r="E71" i="15"/>
  <c r="C62" i="15"/>
  <c r="G62" i="15" s="1"/>
  <c r="B62" i="15"/>
  <c r="C61" i="15"/>
  <c r="B61" i="15"/>
  <c r="D38" i="10"/>
  <c r="A35" i="10"/>
  <c r="D104" i="10"/>
  <c r="G6" i="26"/>
  <c r="F39" i="19"/>
  <c r="E39" i="19"/>
  <c r="D39" i="19"/>
  <c r="F30" i="19"/>
  <c r="E30" i="19"/>
  <c r="D30" i="19"/>
  <c r="C60" i="15"/>
  <c r="B60" i="15"/>
  <c r="C59" i="15"/>
  <c r="G59" i="15" s="1"/>
  <c r="B59" i="15"/>
  <c r="D72" i="15"/>
  <c r="I68" i="15"/>
  <c r="E15" i="19"/>
  <c r="D15"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s="1"/>
  <c r="C31" i="9"/>
  <c r="C26" i="9"/>
  <c r="C14" i="9"/>
  <c r="F57" i="15"/>
  <c r="G63" i="15"/>
  <c r="G64" i="15"/>
  <c r="O63" i="15"/>
  <c r="O64" i="15"/>
  <c r="K63" i="15"/>
  <c r="K64" i="15"/>
  <c r="O62" i="15"/>
  <c r="K62" i="15"/>
  <c r="H235" i="10"/>
  <c r="I66" i="15"/>
  <c r="M66" i="15"/>
  <c r="G280" i="10"/>
  <c r="F15" i="19"/>
  <c r="E229" i="25"/>
  <c r="J229" i="25"/>
  <c r="O229" i="25"/>
  <c r="L156" i="15"/>
  <c r="L104" i="15"/>
  <c r="L113" i="15"/>
  <c r="L155" i="15"/>
  <c r="L159" i="15"/>
  <c r="L203" i="15"/>
  <c r="L108" i="15"/>
  <c r="L150" i="15"/>
  <c r="L158" i="15"/>
  <c r="L109" i="15"/>
  <c r="L151" i="15"/>
  <c r="L194" i="15"/>
  <c r="L199" i="15"/>
  <c r="L196" i="15"/>
  <c r="L107" i="15"/>
  <c r="L149" i="15"/>
  <c r="L111" i="15"/>
  <c r="L153" i="15"/>
  <c r="L201" i="15"/>
  <c r="L103" i="15"/>
  <c r="L112" i="15"/>
  <c r="L154" i="15"/>
  <c r="L202" i="15"/>
  <c r="L110" i="15"/>
  <c r="L152" i="15"/>
  <c r="L197" i="15"/>
  <c r="L200" i="15"/>
  <c r="L157" i="15"/>
  <c r="L105" i="15"/>
  <c r="L114" i="15"/>
  <c r="L195" i="15"/>
  <c r="L204" i="15"/>
  <c r="L193" i="15"/>
  <c r="L106" i="15"/>
  <c r="L148" i="15"/>
  <c r="L198" i="15"/>
  <c r="M72" i="28" l="1"/>
  <c r="L72" i="28"/>
  <c r="K72" i="28"/>
  <c r="I72" i="28"/>
  <c r="E72" i="28"/>
  <c r="G72" i="28"/>
  <c r="F72" i="28"/>
  <c r="H72" i="28"/>
  <c r="J72" i="28"/>
  <c r="M163" i="28"/>
  <c r="L163" i="28"/>
  <c r="K163" i="28"/>
  <c r="J163" i="28"/>
  <c r="I163" i="28"/>
  <c r="E163" i="28"/>
  <c r="F163" i="28"/>
  <c r="G163" i="28"/>
  <c r="H163" i="28"/>
  <c r="M211" i="28"/>
  <c r="L211" i="28"/>
  <c r="K211" i="28"/>
  <c r="J211" i="28"/>
  <c r="E211" i="28"/>
  <c r="F211" i="28"/>
  <c r="G211" i="28"/>
  <c r="I211" i="28"/>
  <c r="H211" i="28"/>
  <c r="L161" i="15"/>
  <c r="L206" i="15"/>
  <c r="L116" i="15"/>
  <c r="E146" i="15"/>
  <c r="E191" i="15"/>
  <c r="E101" i="15"/>
  <c r="G146" i="15"/>
  <c r="G191" i="15"/>
  <c r="G101" i="15"/>
  <c r="D191" i="15"/>
  <c r="D101" i="15"/>
  <c r="D146" i="15"/>
  <c r="I191" i="15"/>
  <c r="I101" i="15"/>
  <c r="I146" i="15"/>
  <c r="F191" i="15"/>
  <c r="F101" i="15"/>
  <c r="F146" i="15"/>
  <c r="H146" i="15"/>
  <c r="H191" i="15"/>
  <c r="H101" i="15"/>
  <c r="L191" i="15"/>
  <c r="L146" i="15"/>
  <c r="L101" i="15"/>
  <c r="J74" i="19"/>
  <c r="H74" i="19"/>
  <c r="J59" i="19"/>
  <c r="L59" i="19"/>
  <c r="K59" i="15"/>
  <c r="G67" i="15"/>
  <c r="K67" i="15"/>
  <c r="F28" i="18"/>
  <c r="P39" i="25"/>
  <c r="I13" i="27" s="1"/>
  <c r="J19" i="10"/>
  <c r="H19" i="10"/>
  <c r="D69" i="28"/>
  <c r="D271" i="28"/>
  <c r="D274" i="28" s="1"/>
  <c r="O60" i="15"/>
  <c r="G60" i="15"/>
  <c r="G61" i="15"/>
  <c r="O61" i="15"/>
  <c r="M65" i="15"/>
  <c r="E65" i="15"/>
  <c r="I65" i="15"/>
  <c r="D231" i="28"/>
  <c r="K61" i="15"/>
  <c r="I26" i="30"/>
  <c r="K26" i="30"/>
  <c r="O26" i="30"/>
  <c r="G26" i="30"/>
  <c r="G31" i="30"/>
  <c r="M31" i="30"/>
  <c r="K31" i="30"/>
  <c r="I34" i="30"/>
  <c r="K34" i="30"/>
  <c r="G34" i="30"/>
  <c r="E34" i="30"/>
  <c r="M34" i="30"/>
  <c r="K60" i="15"/>
  <c r="D234" i="28"/>
  <c r="D126" i="31"/>
  <c r="E126" i="31"/>
  <c r="D116" i="28"/>
  <c r="O59" i="15"/>
  <c r="M28" i="30"/>
  <c r="K28" i="30"/>
  <c r="D118" i="28"/>
  <c r="K15" i="27"/>
  <c r="E15" i="28"/>
  <c r="E33" i="30"/>
  <c r="D74" i="28"/>
  <c r="D165" i="28"/>
  <c r="D252" i="28"/>
  <c r="D212" i="28"/>
  <c r="D208" i="28" s="1"/>
  <c r="F221" i="25"/>
  <c r="G182" i="27"/>
  <c r="D222" i="25"/>
  <c r="H182" i="27"/>
  <c r="D303" i="25"/>
  <c r="H280" i="10"/>
  <c r="L280" i="10"/>
  <c r="E72" i="10"/>
  <c r="D190" i="10"/>
  <c r="D235" i="10"/>
  <c r="E129" i="31"/>
  <c r="E131" i="31" s="1"/>
  <c r="K45" i="27"/>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F166" i="28" l="1"/>
  <c r="I166" i="28"/>
  <c r="H166" i="28"/>
  <c r="M166" i="28"/>
  <c r="L166" i="28"/>
  <c r="K166" i="28"/>
  <c r="J166" i="28"/>
  <c r="G166" i="28"/>
  <c r="E166" i="28"/>
  <c r="M117" i="28"/>
  <c r="L117" i="28"/>
  <c r="K117" i="28"/>
  <c r="J117" i="28"/>
  <c r="G117" i="28"/>
  <c r="E117" i="28"/>
  <c r="F117" i="28"/>
  <c r="I117" i="28"/>
  <c r="H117" i="28"/>
  <c r="G84" i="28"/>
  <c r="E84" i="28"/>
  <c r="H84" i="28"/>
  <c r="J84" i="28"/>
  <c r="K84" i="28"/>
  <c r="F84" i="28"/>
  <c r="M84" i="28"/>
  <c r="L84" i="28"/>
  <c r="I84" i="28"/>
  <c r="E75" i="28"/>
  <c r="F75" i="28"/>
  <c r="J75" i="28"/>
  <c r="M75" i="28"/>
  <c r="I75" i="28"/>
  <c r="H75" i="28"/>
  <c r="K75" i="28"/>
  <c r="G75" i="28"/>
  <c r="L75" i="28"/>
  <c r="K251" i="28"/>
  <c r="L251" i="28"/>
  <c r="I251" i="28"/>
  <c r="M251" i="28"/>
  <c r="H251" i="28"/>
  <c r="E251" i="28"/>
  <c r="F251" i="28"/>
  <c r="J251" i="28"/>
  <c r="G251" i="28"/>
  <c r="P41" i="25"/>
  <c r="K13" i="27" s="1"/>
  <c r="L267" i="10"/>
  <c r="K19" i="10"/>
  <c r="K22" i="10" s="1"/>
  <c r="D130" i="28"/>
  <c r="D114" i="28"/>
  <c r="D213" i="28"/>
  <c r="D190" i="28"/>
  <c r="I182" i="27"/>
  <c r="G131" i="31"/>
  <c r="M140" i="25"/>
  <c r="L140" i="25"/>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E175" i="28" l="1"/>
  <c r="G175" i="28"/>
  <c r="I175" i="28"/>
  <c r="H175" i="28"/>
  <c r="M175" i="28"/>
  <c r="L175" i="28"/>
  <c r="F175" i="28"/>
  <c r="J175" i="28"/>
  <c r="K175" i="28"/>
  <c r="E129" i="28"/>
  <c r="G129" i="28"/>
  <c r="M129" i="28"/>
  <c r="L129" i="28"/>
  <c r="J129" i="28"/>
  <c r="K129" i="28"/>
  <c r="I129" i="28"/>
  <c r="F129" i="28"/>
  <c r="H129" i="28"/>
  <c r="F214" i="28"/>
  <c r="I214" i="28"/>
  <c r="K214" i="28"/>
  <c r="H214" i="28"/>
  <c r="G214" i="28"/>
  <c r="M214" i="28"/>
  <c r="L214" i="28"/>
  <c r="J214" i="28"/>
  <c r="E214" i="28"/>
  <c r="G132" i="28"/>
  <c r="E132" i="28"/>
  <c r="M132" i="28"/>
  <c r="I132" i="28"/>
  <c r="K132" i="28"/>
  <c r="J132" i="28"/>
  <c r="L132" i="28"/>
  <c r="H132" i="28"/>
  <c r="F132" i="28"/>
  <c r="F120" i="28"/>
  <c r="M120" i="28"/>
  <c r="K120" i="28"/>
  <c r="J120" i="28"/>
  <c r="E120" i="28"/>
  <c r="L120" i="28"/>
  <c r="I120" i="28"/>
  <c r="G120" i="28"/>
  <c r="H120" i="28"/>
  <c r="L254" i="28"/>
  <c r="E254" i="28"/>
  <c r="K254" i="28"/>
  <c r="F254" i="28"/>
  <c r="M254" i="28"/>
  <c r="I254" i="28"/>
  <c r="H254" i="28"/>
  <c r="J254" i="28"/>
  <c r="G254" i="28"/>
  <c r="I22" i="10"/>
  <c r="J22" i="10"/>
  <c r="H22" i="10"/>
  <c r="K8" i="10"/>
  <c r="K8" i="27" s="1"/>
  <c r="D86" i="28"/>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E143" i="28" l="1"/>
  <c r="H143" i="28"/>
  <c r="G143" i="28"/>
  <c r="J143" i="28"/>
  <c r="F143" i="28"/>
  <c r="M143" i="28"/>
  <c r="K143" i="28"/>
  <c r="I143" i="28"/>
  <c r="L143" i="28"/>
  <c r="F98" i="28"/>
  <c r="J98" i="28"/>
  <c r="E98" i="28"/>
  <c r="G98" i="28"/>
  <c r="H98" i="28"/>
  <c r="M98" i="28"/>
  <c r="L98" i="28"/>
  <c r="K98" i="28"/>
  <c r="I98" i="28"/>
  <c r="G87" i="28"/>
  <c r="H87" i="28"/>
  <c r="E87" i="28"/>
  <c r="J87" i="28"/>
  <c r="I87" i="28"/>
  <c r="K87" i="28"/>
  <c r="L87" i="28"/>
  <c r="M87" i="28"/>
  <c r="F87" i="28"/>
  <c r="E178" i="28"/>
  <c r="G178" i="28"/>
  <c r="H178" i="28"/>
  <c r="I178" i="28"/>
  <c r="M178" i="28"/>
  <c r="K178" i="28"/>
  <c r="F178" i="28"/>
  <c r="J178" i="28"/>
  <c r="L178" i="28"/>
  <c r="G189" i="28"/>
  <c r="E189" i="28"/>
  <c r="J189" i="28"/>
  <c r="I189" i="28"/>
  <c r="L189" i="28"/>
  <c r="K189" i="28"/>
  <c r="M189" i="28"/>
  <c r="F189" i="28"/>
  <c r="H189" i="28"/>
  <c r="H24" i="10"/>
  <c r="H27" i="10"/>
  <c r="H8" i="10"/>
  <c r="H8" i="27" s="1"/>
  <c r="J24" i="10"/>
  <c r="J27" i="10"/>
  <c r="O144" i="10" s="1"/>
  <c r="J8" i="10"/>
  <c r="J8" i="27" s="1"/>
  <c r="I27" i="10"/>
  <c r="K144" i="10" s="1"/>
  <c r="I24" i="10"/>
  <c r="I8" i="10"/>
  <c r="I8" i="27" s="1"/>
  <c r="D88" i="28"/>
  <c r="O57" i="15"/>
  <c r="K57" i="15"/>
  <c r="H46" i="27"/>
  <c r="O72" i="27" s="1"/>
  <c r="O74" i="27" s="1"/>
  <c r="I46" i="27"/>
  <c r="I48" i="27" s="1"/>
  <c r="Q72" i="27"/>
  <c r="Q74" i="27" s="1"/>
  <c r="J48" i="27"/>
  <c r="J51" i="27"/>
  <c r="K72" i="27" s="1"/>
  <c r="P304" i="25"/>
  <c r="P223" i="25"/>
  <c r="P222" i="25"/>
  <c r="D100" i="28"/>
  <c r="D140" i="28"/>
  <c r="D148" i="28" s="1"/>
  <c r="D95" i="28"/>
  <c r="D103" i="28" s="1"/>
  <c r="D186" i="28"/>
  <c r="D194" i="28" s="1"/>
  <c r="D191" i="28"/>
  <c r="D145" i="28"/>
  <c r="F20" i="28"/>
  <c r="F17" i="28"/>
  <c r="D179" i="28"/>
  <c r="D180" i="28"/>
  <c r="F22" i="28"/>
  <c r="F23" i="28"/>
  <c r="F18" i="28"/>
  <c r="D193" i="28"/>
  <c r="D236" i="28"/>
  <c r="D215" i="28"/>
  <c r="D133" i="28"/>
  <c r="D134" i="28"/>
  <c r="E101" i="28" l="1"/>
  <c r="G101" i="28"/>
  <c r="F101" i="28"/>
  <c r="J101" i="28"/>
  <c r="H101" i="28"/>
  <c r="L101" i="28"/>
  <c r="K101" i="28"/>
  <c r="M101" i="28"/>
  <c r="I101" i="28"/>
  <c r="G146" i="28"/>
  <c r="J146" i="28"/>
  <c r="H146" i="28"/>
  <c r="E146" i="28"/>
  <c r="F146" i="28"/>
  <c r="I146" i="28"/>
  <c r="M146" i="28"/>
  <c r="K146" i="28"/>
  <c r="L146" i="28"/>
  <c r="G192" i="28"/>
  <c r="E192" i="28"/>
  <c r="J192" i="28"/>
  <c r="I192" i="28"/>
  <c r="H192" i="28"/>
  <c r="M192" i="28"/>
  <c r="F192" i="28"/>
  <c r="K192" i="28"/>
  <c r="L192" i="28"/>
  <c r="H51" i="27"/>
  <c r="P72" i="27"/>
  <c r="P74" i="27" s="1"/>
  <c r="I25" i="10"/>
  <c r="I143" i="10"/>
  <c r="O153" i="10"/>
  <c r="K279" i="10" s="1"/>
  <c r="O152" i="10"/>
  <c r="J279" i="10" s="1"/>
  <c r="K27" i="10"/>
  <c r="K26" i="10" s="1"/>
  <c r="G144" i="10"/>
  <c r="K153" i="10"/>
  <c r="K234" i="10" s="1"/>
  <c r="K152" i="10"/>
  <c r="J234" i="10" s="1"/>
  <c r="J25" i="10"/>
  <c r="M143" i="10"/>
  <c r="H25" i="10"/>
  <c r="E143" i="10"/>
  <c r="K24" i="10"/>
  <c r="K23" i="10" s="1"/>
  <c r="D147" i="28"/>
  <c r="H48" i="27"/>
  <c r="C72" i="27" s="1"/>
  <c r="K65" i="15"/>
  <c r="J145" i="15" s="1"/>
  <c r="K66" i="15"/>
  <c r="K145" i="15" s="1"/>
  <c r="M56" i="15"/>
  <c r="G57" i="15"/>
  <c r="I56" i="15"/>
  <c r="O65" i="15"/>
  <c r="J190" i="15" s="1"/>
  <c r="O66" i="15"/>
  <c r="K190" i="15" s="1"/>
  <c r="E56" i="15"/>
  <c r="I51" i="27"/>
  <c r="J72" i="27" s="1"/>
  <c r="D72" i="27"/>
  <c r="I49" i="27"/>
  <c r="E72" i="27"/>
  <c r="J49" i="27"/>
  <c r="I72" i="27"/>
  <c r="D102" i="28"/>
  <c r="J133" i="15" l="1"/>
  <c r="J144" i="15"/>
  <c r="J143" i="15"/>
  <c r="J142" i="15"/>
  <c r="J141" i="15"/>
  <c r="J140" i="15"/>
  <c r="J139" i="15"/>
  <c r="J138" i="15"/>
  <c r="J137" i="15"/>
  <c r="J136" i="15"/>
  <c r="J135" i="15"/>
  <c r="J134" i="15"/>
  <c r="J146" i="15"/>
  <c r="J188" i="15"/>
  <c r="J185" i="15"/>
  <c r="J182" i="15"/>
  <c r="J179" i="15"/>
  <c r="J189" i="15"/>
  <c r="J186" i="15"/>
  <c r="J183" i="15"/>
  <c r="J180" i="15"/>
  <c r="J187" i="15"/>
  <c r="J184" i="15"/>
  <c r="J181" i="15"/>
  <c r="J178" i="15"/>
  <c r="J191" i="15"/>
  <c r="K189" i="15"/>
  <c r="K188" i="15"/>
  <c r="K187" i="15"/>
  <c r="K186" i="15"/>
  <c r="K185" i="15"/>
  <c r="K184" i="15"/>
  <c r="K183" i="15"/>
  <c r="K182" i="15"/>
  <c r="K181" i="15"/>
  <c r="K180" i="15"/>
  <c r="K179" i="15"/>
  <c r="K178" i="15"/>
  <c r="K191" i="15"/>
  <c r="K144" i="15"/>
  <c r="K143" i="15"/>
  <c r="K142" i="15"/>
  <c r="K141" i="15"/>
  <c r="K140" i="15"/>
  <c r="K139" i="15"/>
  <c r="K138" i="15"/>
  <c r="K137" i="15"/>
  <c r="K136" i="15"/>
  <c r="K135" i="15"/>
  <c r="K134" i="15"/>
  <c r="K133" i="15"/>
  <c r="K146" i="15"/>
  <c r="E148" i="10"/>
  <c r="F189" i="10" s="1"/>
  <c r="E147" i="10"/>
  <c r="E189" i="10" s="1"/>
  <c r="E149" i="10"/>
  <c r="G189" i="10" s="1"/>
  <c r="E154" i="10"/>
  <c r="L189" i="10" s="1"/>
  <c r="E146" i="10"/>
  <c r="D189" i="10" s="1"/>
  <c r="E150" i="10"/>
  <c r="H189" i="10" s="1"/>
  <c r="E151" i="10"/>
  <c r="I189" i="10" s="1"/>
  <c r="K267" i="10"/>
  <c r="K268" i="10"/>
  <c r="K277" i="10"/>
  <c r="K269" i="10"/>
  <c r="K271" i="10"/>
  <c r="K278" i="10"/>
  <c r="K275" i="10"/>
  <c r="K294" i="10"/>
  <c r="K273" i="10"/>
  <c r="K280" i="10"/>
  <c r="K270" i="10"/>
  <c r="K272" i="10"/>
  <c r="K276" i="10"/>
  <c r="K274" i="10"/>
  <c r="G153" i="10"/>
  <c r="K189" i="10" s="1"/>
  <c r="G152" i="10"/>
  <c r="J189" i="10" s="1"/>
  <c r="J232" i="10"/>
  <c r="J249" i="10"/>
  <c r="J226" i="10"/>
  <c r="J227" i="10"/>
  <c r="J233" i="10"/>
  <c r="J230" i="10"/>
  <c r="J224" i="10"/>
  <c r="J229" i="10"/>
  <c r="J225" i="10"/>
  <c r="J228" i="10"/>
  <c r="J235" i="10"/>
  <c r="J222" i="10"/>
  <c r="J223" i="10"/>
  <c r="J231" i="10"/>
  <c r="I151" i="10"/>
  <c r="I234" i="10" s="1"/>
  <c r="I149" i="10"/>
  <c r="G234" i="10" s="1"/>
  <c r="I150" i="10"/>
  <c r="H234" i="10" s="1"/>
  <c r="I147" i="10"/>
  <c r="E234" i="10" s="1"/>
  <c r="I148" i="10"/>
  <c r="F234" i="10" s="1"/>
  <c r="I146" i="10"/>
  <c r="D234" i="10" s="1"/>
  <c r="M148" i="10"/>
  <c r="F279" i="10" s="1"/>
  <c r="M146" i="10"/>
  <c r="D279" i="10" s="1"/>
  <c r="M147" i="10"/>
  <c r="E279" i="10" s="1"/>
  <c r="M151" i="10"/>
  <c r="I279" i="10" s="1"/>
  <c r="M149" i="10"/>
  <c r="G279" i="10" s="1"/>
  <c r="M150" i="10"/>
  <c r="H279" i="10" s="1"/>
  <c r="K230" i="10"/>
  <c r="K227" i="10"/>
  <c r="K231" i="10"/>
  <c r="K249" i="10"/>
  <c r="K222" i="10"/>
  <c r="K235" i="10"/>
  <c r="K224" i="10"/>
  <c r="K233" i="10"/>
  <c r="K229" i="10"/>
  <c r="K226" i="10"/>
  <c r="K223" i="10"/>
  <c r="K228" i="10"/>
  <c r="K225" i="10"/>
  <c r="K232" i="10"/>
  <c r="J271" i="10"/>
  <c r="J274" i="10"/>
  <c r="J275" i="10"/>
  <c r="J273" i="10"/>
  <c r="J267" i="10"/>
  <c r="J270" i="10"/>
  <c r="J278" i="10"/>
  <c r="J280" i="10"/>
  <c r="J269" i="10"/>
  <c r="J268" i="10"/>
  <c r="J276" i="10"/>
  <c r="J272" i="10"/>
  <c r="J294" i="10"/>
  <c r="J277" i="10"/>
  <c r="K51" i="27"/>
  <c r="K50" i="27" s="1"/>
  <c r="K48" i="27"/>
  <c r="K47" i="27" s="1"/>
  <c r="H49" i="27"/>
  <c r="G65" i="15"/>
  <c r="J100" i="15" s="1"/>
  <c r="G66" i="15"/>
  <c r="K100" i="15" s="1"/>
  <c r="M64" i="15"/>
  <c r="I190" i="15" s="1"/>
  <c r="M67" i="15"/>
  <c r="L190" i="15" s="1"/>
  <c r="M63" i="15"/>
  <c r="H190" i="15" s="1"/>
  <c r="M61" i="15"/>
  <c r="F190" i="15" s="1"/>
  <c r="M59" i="15"/>
  <c r="D190" i="15" s="1"/>
  <c r="M62" i="15"/>
  <c r="G190" i="15" s="1"/>
  <c r="M60" i="15"/>
  <c r="E190" i="15" s="1"/>
  <c r="E67" i="15"/>
  <c r="L100" i="15" s="1"/>
  <c r="E63" i="15"/>
  <c r="H100" i="15" s="1"/>
  <c r="E61" i="15"/>
  <c r="F100" i="15" s="1"/>
  <c r="E64" i="15"/>
  <c r="I100" i="15" s="1"/>
  <c r="E62" i="15"/>
  <c r="G100" i="15" s="1"/>
  <c r="E60" i="15"/>
  <c r="E100" i="15" s="1"/>
  <c r="E59" i="15"/>
  <c r="D100" i="15" s="1"/>
  <c r="I67" i="15"/>
  <c r="L145" i="15" s="1"/>
  <c r="I64" i="15"/>
  <c r="I145" i="15" s="1"/>
  <c r="I63" i="15"/>
  <c r="H145" i="15" s="1"/>
  <c r="I60" i="15"/>
  <c r="E145" i="15" s="1"/>
  <c r="I62" i="15"/>
  <c r="G145" i="15" s="1"/>
  <c r="I59" i="15"/>
  <c r="D145" i="15" s="1"/>
  <c r="I61" i="15"/>
  <c r="F145" i="15" s="1"/>
  <c r="F144" i="15" l="1"/>
  <c r="F143" i="15"/>
  <c r="F142" i="15"/>
  <c r="F141" i="15"/>
  <c r="F140" i="15"/>
  <c r="F139" i="15"/>
  <c r="F138" i="15"/>
  <c r="F137" i="15"/>
  <c r="F136" i="15"/>
  <c r="F135" i="15"/>
  <c r="F134" i="15"/>
  <c r="F133" i="15"/>
  <c r="G144" i="15"/>
  <c r="G143" i="15"/>
  <c r="G142" i="15"/>
  <c r="G141" i="15"/>
  <c r="G140" i="15"/>
  <c r="G139" i="15"/>
  <c r="G138" i="15"/>
  <c r="G137" i="15"/>
  <c r="G136" i="15"/>
  <c r="G135" i="15"/>
  <c r="G134" i="15"/>
  <c r="G133" i="15"/>
  <c r="I133" i="15"/>
  <c r="I143" i="15"/>
  <c r="I140" i="15"/>
  <c r="I137" i="15"/>
  <c r="I134" i="15"/>
  <c r="I144" i="15"/>
  <c r="I141" i="15"/>
  <c r="I138" i="15"/>
  <c r="I135" i="15"/>
  <c r="I142" i="15"/>
  <c r="I139" i="15"/>
  <c r="I136" i="15"/>
  <c r="E99" i="15"/>
  <c r="E98" i="15"/>
  <c r="E97" i="15"/>
  <c r="E96" i="15"/>
  <c r="E95" i="15"/>
  <c r="E94" i="15"/>
  <c r="E93" i="15"/>
  <c r="E92" i="15"/>
  <c r="E91" i="15"/>
  <c r="E90" i="15"/>
  <c r="E89" i="15"/>
  <c r="E88" i="15"/>
  <c r="F99" i="15"/>
  <c r="F98" i="15"/>
  <c r="F97" i="15"/>
  <c r="F96" i="15"/>
  <c r="F95" i="15"/>
  <c r="F94" i="15"/>
  <c r="F93" i="15"/>
  <c r="F92" i="15"/>
  <c r="F91" i="15"/>
  <c r="F90" i="15"/>
  <c r="F89" i="15"/>
  <c r="F88" i="15"/>
  <c r="E187" i="15"/>
  <c r="E184" i="15"/>
  <c r="E181" i="15"/>
  <c r="E178" i="15"/>
  <c r="E188" i="15"/>
  <c r="E185" i="15"/>
  <c r="E182" i="15"/>
  <c r="E179" i="15"/>
  <c r="E189" i="15"/>
  <c r="E186" i="15"/>
  <c r="E183" i="15"/>
  <c r="E180" i="15"/>
  <c r="F189" i="15"/>
  <c r="F188" i="15"/>
  <c r="F187" i="15"/>
  <c r="F186" i="15"/>
  <c r="F185" i="15"/>
  <c r="F184" i="15"/>
  <c r="F183" i="15"/>
  <c r="F182" i="15"/>
  <c r="F181" i="15"/>
  <c r="F180" i="15"/>
  <c r="F179" i="15"/>
  <c r="F178" i="15"/>
  <c r="I189" i="15"/>
  <c r="I188" i="15"/>
  <c r="I187" i="15"/>
  <c r="I186" i="15"/>
  <c r="I185" i="15"/>
  <c r="I184" i="15"/>
  <c r="I183" i="15"/>
  <c r="I182" i="15"/>
  <c r="I181" i="15"/>
  <c r="I180" i="15"/>
  <c r="I179" i="15"/>
  <c r="I178" i="15"/>
  <c r="K160" i="15"/>
  <c r="E144" i="15"/>
  <c r="E143" i="15"/>
  <c r="E142" i="15"/>
  <c r="E141" i="15"/>
  <c r="E140" i="15"/>
  <c r="E139" i="15"/>
  <c r="E138" i="15"/>
  <c r="E137" i="15"/>
  <c r="E136" i="15"/>
  <c r="E135" i="15"/>
  <c r="E134" i="15"/>
  <c r="E133" i="15"/>
  <c r="L144" i="15"/>
  <c r="L143" i="15"/>
  <c r="L142" i="15"/>
  <c r="L141" i="15"/>
  <c r="L140" i="15"/>
  <c r="L139" i="15"/>
  <c r="L138" i="15"/>
  <c r="L137" i="15"/>
  <c r="L136" i="15"/>
  <c r="L135" i="15"/>
  <c r="L134" i="15"/>
  <c r="L133" i="15"/>
  <c r="G99" i="15"/>
  <c r="G98" i="15"/>
  <c r="G97" i="15"/>
  <c r="G96" i="15"/>
  <c r="G95" i="15"/>
  <c r="G94" i="15"/>
  <c r="G93" i="15"/>
  <c r="G92" i="15"/>
  <c r="G91" i="15"/>
  <c r="G90" i="15"/>
  <c r="G89" i="15"/>
  <c r="G88" i="15"/>
  <c r="H99" i="15"/>
  <c r="H98" i="15"/>
  <c r="H97" i="15"/>
  <c r="H96" i="15"/>
  <c r="H95" i="15"/>
  <c r="H94" i="15"/>
  <c r="H93" i="15"/>
  <c r="H92" i="15"/>
  <c r="H91" i="15"/>
  <c r="H90" i="15"/>
  <c r="H89" i="15"/>
  <c r="H88" i="15"/>
  <c r="G189" i="15"/>
  <c r="G188" i="15"/>
  <c r="G187" i="15"/>
  <c r="G186" i="15"/>
  <c r="G185" i="15"/>
  <c r="G184" i="15"/>
  <c r="G183" i="15"/>
  <c r="G182" i="15"/>
  <c r="G181" i="15"/>
  <c r="G180" i="15"/>
  <c r="G179" i="15"/>
  <c r="G178" i="15"/>
  <c r="H189" i="15"/>
  <c r="H188" i="15"/>
  <c r="H187" i="15"/>
  <c r="H186" i="15"/>
  <c r="H185" i="15"/>
  <c r="H184" i="15"/>
  <c r="H183" i="15"/>
  <c r="H182" i="15"/>
  <c r="H181" i="15"/>
  <c r="H180" i="15"/>
  <c r="H179" i="15"/>
  <c r="H178" i="15"/>
  <c r="K99" i="15"/>
  <c r="K98" i="15"/>
  <c r="K97" i="15"/>
  <c r="K96" i="15"/>
  <c r="K95" i="15"/>
  <c r="K94" i="15"/>
  <c r="K93" i="15"/>
  <c r="K92" i="15"/>
  <c r="K91" i="15"/>
  <c r="K90" i="15"/>
  <c r="K89" i="15"/>
  <c r="K88" i="15"/>
  <c r="K101" i="15"/>
  <c r="K205" i="15"/>
  <c r="D134" i="15"/>
  <c r="D133" i="15"/>
  <c r="D142" i="15"/>
  <c r="D139" i="15"/>
  <c r="D136" i="15"/>
  <c r="D143" i="15"/>
  <c r="D140" i="15"/>
  <c r="D137" i="15"/>
  <c r="D144" i="15"/>
  <c r="D141" i="15"/>
  <c r="D138" i="15"/>
  <c r="D135" i="15"/>
  <c r="H144" i="15"/>
  <c r="H143" i="15"/>
  <c r="H142" i="15"/>
  <c r="H141" i="15"/>
  <c r="H140" i="15"/>
  <c r="H139" i="15"/>
  <c r="H138" i="15"/>
  <c r="H137" i="15"/>
  <c r="H136" i="15"/>
  <c r="H135" i="15"/>
  <c r="H134" i="15"/>
  <c r="H133" i="15"/>
  <c r="D99" i="15"/>
  <c r="D98" i="15"/>
  <c r="D97" i="15"/>
  <c r="D96" i="15"/>
  <c r="D95" i="15"/>
  <c r="D94" i="15"/>
  <c r="D93" i="15"/>
  <c r="D92" i="15"/>
  <c r="D91" i="15"/>
  <c r="D90" i="15"/>
  <c r="D89" i="15"/>
  <c r="D88" i="15"/>
  <c r="I99" i="15"/>
  <c r="I98" i="15"/>
  <c r="I97" i="15"/>
  <c r="I96" i="15"/>
  <c r="I95" i="15"/>
  <c r="I94" i="15"/>
  <c r="I93" i="15"/>
  <c r="I92" i="15"/>
  <c r="I91" i="15"/>
  <c r="I90" i="15"/>
  <c r="I89" i="15"/>
  <c r="I88" i="15"/>
  <c r="L99" i="15"/>
  <c r="L98" i="15"/>
  <c r="L97" i="15"/>
  <c r="L96" i="15"/>
  <c r="L95" i="15"/>
  <c r="L94" i="15"/>
  <c r="L93" i="15"/>
  <c r="L92" i="15"/>
  <c r="L91" i="15"/>
  <c r="L90" i="15"/>
  <c r="L89" i="15"/>
  <c r="L88" i="15"/>
  <c r="D189" i="15"/>
  <c r="D188" i="15"/>
  <c r="D187" i="15"/>
  <c r="D186" i="15"/>
  <c r="D185" i="15"/>
  <c r="D184" i="15"/>
  <c r="D183" i="15"/>
  <c r="D182" i="15"/>
  <c r="D181" i="15"/>
  <c r="D180" i="15"/>
  <c r="D179" i="15"/>
  <c r="D178" i="15"/>
  <c r="L189" i="15"/>
  <c r="L188" i="15"/>
  <c r="L187" i="15"/>
  <c r="L186" i="15"/>
  <c r="L185" i="15"/>
  <c r="L184" i="15"/>
  <c r="L183" i="15"/>
  <c r="L182" i="15"/>
  <c r="L181" i="15"/>
  <c r="L180" i="15"/>
  <c r="L179" i="15"/>
  <c r="L178" i="15"/>
  <c r="J99" i="15"/>
  <c r="J98" i="15"/>
  <c r="J97" i="15"/>
  <c r="J96" i="15"/>
  <c r="J95" i="15"/>
  <c r="J94" i="15"/>
  <c r="J93" i="15"/>
  <c r="J92" i="15"/>
  <c r="J91" i="15"/>
  <c r="J90" i="15"/>
  <c r="J89" i="15"/>
  <c r="J88" i="15"/>
  <c r="J101" i="15"/>
  <c r="J205" i="15"/>
  <c r="J160" i="15"/>
  <c r="G273" i="10"/>
  <c r="G271" i="10"/>
  <c r="G275" i="10"/>
  <c r="G277" i="10"/>
  <c r="G278" i="10"/>
  <c r="G276" i="10"/>
  <c r="G272" i="10"/>
  <c r="G269" i="10"/>
  <c r="G268" i="10"/>
  <c r="G267" i="10"/>
  <c r="G274" i="10"/>
  <c r="G270" i="10"/>
  <c r="G233" i="10"/>
  <c r="G231" i="10"/>
  <c r="G227" i="10"/>
  <c r="G232" i="10"/>
  <c r="G228" i="10"/>
  <c r="G229" i="10"/>
  <c r="G226" i="10"/>
  <c r="G225" i="10"/>
  <c r="G222" i="10"/>
  <c r="G230" i="10"/>
  <c r="G223" i="10"/>
  <c r="G224" i="10"/>
  <c r="H180" i="10"/>
  <c r="H181" i="10"/>
  <c r="H179" i="10"/>
  <c r="H186" i="10"/>
  <c r="H184" i="10"/>
  <c r="H187" i="10"/>
  <c r="H178" i="10"/>
  <c r="H185" i="10"/>
  <c r="H177" i="10"/>
  <c r="H183" i="10"/>
  <c r="H182" i="10"/>
  <c r="H188" i="10"/>
  <c r="I277" i="10"/>
  <c r="I275" i="10"/>
  <c r="I269" i="10"/>
  <c r="I272" i="10"/>
  <c r="I268" i="10"/>
  <c r="I274" i="10"/>
  <c r="I276" i="10"/>
  <c r="I270" i="10"/>
  <c r="I273" i="10"/>
  <c r="I267" i="10"/>
  <c r="I278" i="10"/>
  <c r="I271" i="10"/>
  <c r="F278" i="10"/>
  <c r="F276" i="10"/>
  <c r="F268" i="10"/>
  <c r="F274" i="10"/>
  <c r="F273" i="10"/>
  <c r="F270" i="10"/>
  <c r="F277" i="10"/>
  <c r="F272" i="10"/>
  <c r="F275" i="10"/>
  <c r="F271" i="10"/>
  <c r="F267" i="10"/>
  <c r="F269" i="10"/>
  <c r="E230" i="10"/>
  <c r="E223" i="10"/>
  <c r="E228" i="10"/>
  <c r="E233" i="10"/>
  <c r="E229" i="10"/>
  <c r="E225" i="10"/>
  <c r="E226" i="10"/>
  <c r="E227" i="10"/>
  <c r="E232" i="10"/>
  <c r="E224" i="10"/>
  <c r="E222" i="10"/>
  <c r="E231" i="10"/>
  <c r="I223" i="10"/>
  <c r="I222" i="10"/>
  <c r="I228" i="10"/>
  <c r="I232" i="10"/>
  <c r="I230" i="10"/>
  <c r="I226" i="10"/>
  <c r="I229" i="10"/>
  <c r="I225" i="10"/>
  <c r="I233" i="10"/>
  <c r="I227" i="10"/>
  <c r="I231" i="10"/>
  <c r="I224" i="10"/>
  <c r="J188" i="10"/>
  <c r="J204" i="10"/>
  <c r="J185" i="10"/>
  <c r="J184" i="10"/>
  <c r="J190" i="10"/>
  <c r="J180" i="10"/>
  <c r="J186" i="10"/>
  <c r="J181" i="10"/>
  <c r="J182" i="10"/>
  <c r="J179" i="10"/>
  <c r="J178" i="10"/>
  <c r="J183" i="10"/>
  <c r="J187" i="10"/>
  <c r="J177" i="10"/>
  <c r="D180" i="10"/>
  <c r="D186" i="10"/>
  <c r="D181" i="10"/>
  <c r="D177" i="10"/>
  <c r="D188" i="10"/>
  <c r="D185" i="10"/>
  <c r="D179" i="10"/>
  <c r="D184" i="10"/>
  <c r="D183" i="10"/>
  <c r="D178" i="10"/>
  <c r="D187" i="10"/>
  <c r="D182" i="10"/>
  <c r="E184" i="10"/>
  <c r="E178" i="10"/>
  <c r="E188" i="10"/>
  <c r="E180" i="10"/>
  <c r="E187" i="10"/>
  <c r="E182" i="10"/>
  <c r="E183" i="10"/>
  <c r="E185" i="10"/>
  <c r="E179" i="10"/>
  <c r="E186" i="10"/>
  <c r="E177" i="10"/>
  <c r="E181" i="10"/>
  <c r="D270" i="10"/>
  <c r="D278" i="10"/>
  <c r="D277" i="10"/>
  <c r="D269" i="10"/>
  <c r="D271" i="10"/>
  <c r="D272" i="10"/>
  <c r="D274" i="10"/>
  <c r="D267" i="10"/>
  <c r="D273" i="10"/>
  <c r="D275" i="10"/>
  <c r="D268" i="10"/>
  <c r="D276" i="10"/>
  <c r="F233" i="10"/>
  <c r="F222" i="10"/>
  <c r="F224" i="10"/>
  <c r="F231" i="10"/>
  <c r="F232" i="10"/>
  <c r="F230" i="10"/>
  <c r="F227" i="10"/>
  <c r="F225" i="10"/>
  <c r="F226" i="10"/>
  <c r="F223" i="10"/>
  <c r="F229" i="10"/>
  <c r="F228" i="10"/>
  <c r="G178" i="10"/>
  <c r="G179" i="10"/>
  <c r="G181" i="10"/>
  <c r="G185" i="10"/>
  <c r="G184" i="10"/>
  <c r="G183" i="10"/>
  <c r="G182" i="10"/>
  <c r="G177" i="10"/>
  <c r="G180" i="10"/>
  <c r="G187" i="10"/>
  <c r="G188" i="10"/>
  <c r="G186" i="10"/>
  <c r="H278" i="10"/>
  <c r="H267" i="10"/>
  <c r="H272" i="10"/>
  <c r="H276" i="10"/>
  <c r="H268" i="10"/>
  <c r="H277" i="10"/>
  <c r="H270" i="10"/>
  <c r="H274" i="10"/>
  <c r="H275" i="10"/>
  <c r="H271" i="10"/>
  <c r="H269" i="10"/>
  <c r="H273" i="10"/>
  <c r="E278" i="10"/>
  <c r="E271" i="10"/>
  <c r="E277" i="10"/>
  <c r="E273" i="10"/>
  <c r="E269" i="10"/>
  <c r="E274" i="10"/>
  <c r="E276" i="10"/>
  <c r="E267" i="10"/>
  <c r="E272" i="10"/>
  <c r="E270" i="10"/>
  <c r="E275" i="10"/>
  <c r="E268" i="10"/>
  <c r="D223" i="10"/>
  <c r="D230" i="10"/>
  <c r="D227" i="10"/>
  <c r="D228" i="10"/>
  <c r="D229" i="10"/>
  <c r="D231" i="10"/>
  <c r="D224" i="10"/>
  <c r="D226" i="10"/>
  <c r="D233" i="10"/>
  <c r="D225" i="10"/>
  <c r="D232" i="10"/>
  <c r="D222" i="10"/>
  <c r="H224" i="10"/>
  <c r="H233" i="10"/>
  <c r="H231" i="10"/>
  <c r="H225" i="10"/>
  <c r="H229" i="10"/>
  <c r="H232" i="10"/>
  <c r="H222" i="10"/>
  <c r="H228" i="10"/>
  <c r="H227" i="10"/>
  <c r="H226" i="10"/>
  <c r="H230" i="10"/>
  <c r="H223" i="10"/>
  <c r="K181" i="10"/>
  <c r="K180" i="10"/>
  <c r="K177" i="10"/>
  <c r="K187" i="10"/>
  <c r="K186" i="10"/>
  <c r="K184" i="10"/>
  <c r="K204" i="10"/>
  <c r="K188" i="10"/>
  <c r="K185" i="10"/>
  <c r="K178" i="10"/>
  <c r="K190" i="10"/>
  <c r="K182" i="10"/>
  <c r="K179" i="10"/>
  <c r="K183" i="10"/>
  <c r="I182" i="10"/>
  <c r="I180" i="10"/>
  <c r="I185" i="10"/>
  <c r="I184" i="10"/>
  <c r="I188" i="10"/>
  <c r="I177" i="10"/>
  <c r="I186" i="10"/>
  <c r="I179" i="10"/>
  <c r="I181" i="10"/>
  <c r="I178" i="10"/>
  <c r="I187" i="10"/>
  <c r="I183" i="10"/>
  <c r="L179" i="10"/>
  <c r="L177" i="10"/>
  <c r="L185" i="10"/>
  <c r="L182" i="10"/>
  <c r="L183" i="10"/>
  <c r="L184" i="10"/>
  <c r="L178" i="10"/>
  <c r="L188" i="10"/>
  <c r="L180" i="10"/>
  <c r="L181" i="10"/>
  <c r="L186" i="10"/>
  <c r="L187" i="10"/>
  <c r="L204" i="10"/>
  <c r="F182" i="10"/>
  <c r="F184" i="10"/>
  <c r="F179" i="10"/>
  <c r="F187" i="10"/>
  <c r="F185" i="10"/>
  <c r="F183" i="10"/>
  <c r="F186" i="10"/>
  <c r="F181" i="10"/>
  <c r="F180" i="10"/>
  <c r="F177" i="10"/>
  <c r="F188" i="10"/>
  <c r="F178" i="10"/>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F159" i="15"/>
  <c r="F156" i="15"/>
  <c r="F153" i="15"/>
  <c r="F150" i="15"/>
  <c r="G159" i="15"/>
  <c r="G156" i="15"/>
  <c r="G153" i="15"/>
  <c r="G150" i="15"/>
  <c r="I148" i="15"/>
  <c r="I152" i="15"/>
  <c r="I156" i="15"/>
  <c r="I157" i="15"/>
  <c r="F114" i="15"/>
  <c r="F111" i="15"/>
  <c r="F108" i="15"/>
  <c r="F105" i="15"/>
  <c r="E202" i="15"/>
  <c r="K202" i="15"/>
  <c r="E193" i="15"/>
  <c r="K193" i="15"/>
  <c r="E197" i="15"/>
  <c r="K197" i="15"/>
  <c r="E201" i="15"/>
  <c r="K201" i="15"/>
  <c r="F204" i="15"/>
  <c r="F201" i="15"/>
  <c r="F198" i="15"/>
  <c r="F195" i="15"/>
  <c r="I204" i="15"/>
  <c r="I201" i="15"/>
  <c r="I198" i="15"/>
  <c r="I195" i="15"/>
  <c r="E157" i="15"/>
  <c r="K157" i="15"/>
  <c r="E154" i="15"/>
  <c r="K154" i="15"/>
  <c r="E151" i="15"/>
  <c r="K151" i="15"/>
  <c r="E148" i="15"/>
  <c r="K148" i="15"/>
  <c r="G112" i="15"/>
  <c r="G109" i="15"/>
  <c r="G106" i="15"/>
  <c r="G103" i="15"/>
  <c r="H112" i="15"/>
  <c r="H109" i="15"/>
  <c r="H106" i="15"/>
  <c r="H103" i="15"/>
  <c r="G202" i="15"/>
  <c r="G199" i="15"/>
  <c r="G196" i="15"/>
  <c r="G193" i="15"/>
  <c r="H202" i="15"/>
  <c r="H199" i="15"/>
  <c r="H196" i="15"/>
  <c r="H193" i="15"/>
  <c r="K112" i="15"/>
  <c r="E112" i="15"/>
  <c r="K109" i="15"/>
  <c r="E109" i="15"/>
  <c r="K106" i="15"/>
  <c r="E106" i="15"/>
  <c r="K103" i="15"/>
  <c r="E103" i="15"/>
  <c r="J149" i="15"/>
  <c r="D149" i="15"/>
  <c r="J154" i="15"/>
  <c r="D154" i="15"/>
  <c r="J155" i="15"/>
  <c r="D155" i="15"/>
  <c r="J156" i="15"/>
  <c r="D156" i="15"/>
  <c r="H159" i="15"/>
  <c r="H156" i="15"/>
  <c r="H153" i="15"/>
  <c r="H150" i="15"/>
  <c r="I114" i="15"/>
  <c r="I111" i="15"/>
  <c r="I108" i="15"/>
  <c r="I105" i="15"/>
  <c r="J204" i="15"/>
  <c r="D204" i="15"/>
  <c r="J201" i="15"/>
  <c r="D201" i="15"/>
  <c r="J198" i="15"/>
  <c r="D198" i="15"/>
  <c r="J195" i="15"/>
  <c r="D195" i="15"/>
  <c r="D114" i="15"/>
  <c r="J114" i="15"/>
  <c r="D111" i="15"/>
  <c r="J111" i="15"/>
  <c r="D108" i="15"/>
  <c r="J108" i="15"/>
  <c r="D105" i="15"/>
  <c r="J105" i="15"/>
  <c r="J194" i="15"/>
  <c r="D194" i="15"/>
  <c r="D107" i="15"/>
  <c r="J107" i="15"/>
  <c r="F158" i="15"/>
  <c r="F155" i="15"/>
  <c r="F152" i="15"/>
  <c r="F149" i="15"/>
  <c r="G158" i="15"/>
  <c r="G155" i="15"/>
  <c r="G152" i="15"/>
  <c r="G149" i="15"/>
  <c r="I158" i="15"/>
  <c r="I149" i="15"/>
  <c r="I153" i="15"/>
  <c r="I154" i="15"/>
  <c r="F113" i="15"/>
  <c r="F110" i="15"/>
  <c r="F107" i="15"/>
  <c r="F104" i="15"/>
  <c r="E199" i="15"/>
  <c r="K199" i="15"/>
  <c r="E203" i="15"/>
  <c r="K203" i="15"/>
  <c r="E194" i="15"/>
  <c r="K194" i="15"/>
  <c r="E198" i="15"/>
  <c r="K198" i="15"/>
  <c r="F203" i="15"/>
  <c r="F200" i="15"/>
  <c r="F197" i="15"/>
  <c r="F194" i="15"/>
  <c r="I203" i="15"/>
  <c r="I200" i="15"/>
  <c r="I197" i="15"/>
  <c r="I194" i="15"/>
  <c r="E159" i="15"/>
  <c r="K159" i="15"/>
  <c r="E156" i="15"/>
  <c r="K156" i="15"/>
  <c r="E153" i="15"/>
  <c r="K153" i="15"/>
  <c r="E150" i="15"/>
  <c r="K150" i="15"/>
  <c r="G114" i="15"/>
  <c r="G111" i="15"/>
  <c r="G108" i="15"/>
  <c r="G105" i="15"/>
  <c r="H114" i="15"/>
  <c r="H111" i="15"/>
  <c r="H108" i="15"/>
  <c r="H105" i="15"/>
  <c r="G204" i="15"/>
  <c r="G201" i="15"/>
  <c r="G198" i="15"/>
  <c r="G195" i="15"/>
  <c r="H204" i="15"/>
  <c r="H201" i="15"/>
  <c r="H198" i="15"/>
  <c r="H195" i="15"/>
  <c r="K114" i="15"/>
  <c r="E114" i="15"/>
  <c r="K111" i="15"/>
  <c r="E111" i="15"/>
  <c r="K108" i="15"/>
  <c r="E108" i="15"/>
  <c r="K105" i="15"/>
  <c r="E105" i="15"/>
  <c r="J148" i="15"/>
  <c r="D148" i="15"/>
  <c r="J151" i="15"/>
  <c r="D151" i="15"/>
  <c r="J152" i="15"/>
  <c r="D152" i="15"/>
  <c r="J153" i="15"/>
  <c r="D153" i="15"/>
  <c r="H158" i="15"/>
  <c r="H155" i="15"/>
  <c r="H152" i="15"/>
  <c r="H149" i="15"/>
  <c r="I113" i="15"/>
  <c r="I110" i="15"/>
  <c r="I107" i="15"/>
  <c r="I104" i="15"/>
  <c r="J200" i="15"/>
  <c r="D200" i="15"/>
  <c r="J197" i="15"/>
  <c r="D197" i="15"/>
  <c r="D113" i="15"/>
  <c r="J113" i="15"/>
  <c r="D104" i="15"/>
  <c r="J104" i="15"/>
  <c r="F157" i="15"/>
  <c r="F154" i="15"/>
  <c r="F151" i="15"/>
  <c r="F148" i="15"/>
  <c r="G157" i="15"/>
  <c r="G154" i="15"/>
  <c r="G151" i="15"/>
  <c r="G148" i="15"/>
  <c r="I155" i="15"/>
  <c r="I159" i="15"/>
  <c r="I150" i="15"/>
  <c r="I151" i="15"/>
  <c r="F112" i="15"/>
  <c r="F109" i="15"/>
  <c r="F106" i="15"/>
  <c r="F103" i="15"/>
  <c r="E196" i="15"/>
  <c r="K196" i="15"/>
  <c r="E200" i="15"/>
  <c r="K200" i="15"/>
  <c r="E204" i="15"/>
  <c r="K204" i="15"/>
  <c r="E195" i="15"/>
  <c r="K195" i="15"/>
  <c r="F202" i="15"/>
  <c r="F199" i="15"/>
  <c r="F196" i="15"/>
  <c r="F193" i="15"/>
  <c r="I202" i="15"/>
  <c r="I199" i="15"/>
  <c r="I196" i="15"/>
  <c r="I193" i="15"/>
  <c r="E158" i="15"/>
  <c r="K158" i="15"/>
  <c r="E155" i="15"/>
  <c r="K155" i="15"/>
  <c r="E152" i="15"/>
  <c r="K152" i="15"/>
  <c r="E149" i="15"/>
  <c r="K149" i="15"/>
  <c r="G113" i="15"/>
  <c r="G110" i="15"/>
  <c r="G107" i="15"/>
  <c r="G104" i="15"/>
  <c r="H113" i="15"/>
  <c r="H110" i="15"/>
  <c r="H107" i="15"/>
  <c r="H104" i="15"/>
  <c r="G203" i="15"/>
  <c r="G200" i="15"/>
  <c r="G197" i="15"/>
  <c r="G194" i="15"/>
  <c r="H203" i="15"/>
  <c r="H200" i="15"/>
  <c r="H197" i="15"/>
  <c r="H194" i="15"/>
  <c r="K113" i="15"/>
  <c r="E113" i="15"/>
  <c r="K110" i="15"/>
  <c r="E110" i="15"/>
  <c r="K107" i="15"/>
  <c r="E107" i="15"/>
  <c r="K104" i="15"/>
  <c r="E104" i="15"/>
  <c r="J157" i="15"/>
  <c r="D157" i="15"/>
  <c r="J158" i="15"/>
  <c r="D158" i="15"/>
  <c r="J159" i="15"/>
  <c r="D159" i="15"/>
  <c r="J150" i="15"/>
  <c r="D150" i="15"/>
  <c r="H157" i="15"/>
  <c r="H154" i="15"/>
  <c r="H151" i="15"/>
  <c r="H148" i="15"/>
  <c r="I112" i="15"/>
  <c r="I109" i="15"/>
  <c r="I106" i="15"/>
  <c r="I103" i="15"/>
  <c r="J202" i="15"/>
  <c r="D202" i="15"/>
  <c r="J199" i="15"/>
  <c r="D199" i="15"/>
  <c r="J196" i="15"/>
  <c r="D196" i="15"/>
  <c r="J193" i="15"/>
  <c r="D193" i="15"/>
  <c r="D112" i="15"/>
  <c r="J112" i="15"/>
  <c r="D109" i="15"/>
  <c r="J109" i="15"/>
  <c r="D106" i="15"/>
  <c r="J106" i="15"/>
  <c r="D103" i="15"/>
  <c r="J103" i="15"/>
  <c r="J203" i="15"/>
  <c r="D203" i="15"/>
  <c r="D110" i="15"/>
  <c r="J110" i="15"/>
  <c r="J218" i="15" l="1"/>
  <c r="D218" i="15"/>
  <c r="D245" i="15"/>
  <c r="J245" i="15"/>
  <c r="J116" i="15"/>
  <c r="J211" i="15"/>
  <c r="D116" i="15"/>
  <c r="D211" i="15"/>
  <c r="J214" i="15"/>
  <c r="D214" i="15"/>
  <c r="J217" i="15"/>
  <c r="D217" i="15"/>
  <c r="J220" i="15"/>
  <c r="D220" i="15"/>
  <c r="D206" i="15"/>
  <c r="D235" i="15"/>
  <c r="J235" i="15"/>
  <c r="J206" i="15"/>
  <c r="J207" i="15" s="1"/>
  <c r="D238" i="15"/>
  <c r="J238" i="15"/>
  <c r="D241" i="15"/>
  <c r="J241" i="15"/>
  <c r="D244" i="15"/>
  <c r="J244" i="15"/>
  <c r="I211" i="15"/>
  <c r="I116" i="15"/>
  <c r="I214" i="15"/>
  <c r="I217" i="15"/>
  <c r="I220" i="15"/>
  <c r="H223" i="15"/>
  <c r="H161" i="15"/>
  <c r="H226" i="15"/>
  <c r="H229" i="15"/>
  <c r="H232" i="15"/>
  <c r="D225" i="15"/>
  <c r="J225" i="15"/>
  <c r="D234" i="15"/>
  <c r="J234" i="15"/>
  <c r="D233" i="15"/>
  <c r="J233" i="15"/>
  <c r="D232" i="15"/>
  <c r="J232" i="15"/>
  <c r="E212" i="15"/>
  <c r="K212" i="15"/>
  <c r="E215" i="15"/>
  <c r="K215" i="15"/>
  <c r="E218" i="15"/>
  <c r="K218" i="15"/>
  <c r="E221" i="15"/>
  <c r="K221" i="15"/>
  <c r="H236" i="15"/>
  <c r="H239" i="15"/>
  <c r="H242" i="15"/>
  <c r="H245" i="15"/>
  <c r="G236" i="15"/>
  <c r="G239" i="15"/>
  <c r="G242" i="15"/>
  <c r="G245" i="15"/>
  <c r="H212" i="15"/>
  <c r="H215" i="15"/>
  <c r="H218" i="15"/>
  <c r="H221" i="15"/>
  <c r="G212" i="15"/>
  <c r="G215" i="15"/>
  <c r="G218" i="15"/>
  <c r="G221" i="15"/>
  <c r="K224" i="15"/>
  <c r="E224" i="15"/>
  <c r="K227" i="15"/>
  <c r="E227" i="15"/>
  <c r="K230" i="15"/>
  <c r="E230" i="15"/>
  <c r="K233" i="15"/>
  <c r="E233" i="15"/>
  <c r="I235" i="15"/>
  <c r="I206" i="15"/>
  <c r="I238" i="15"/>
  <c r="I241" i="15"/>
  <c r="I244" i="15"/>
  <c r="F235" i="15"/>
  <c r="F206" i="15"/>
  <c r="F238" i="15"/>
  <c r="F241" i="15"/>
  <c r="F244" i="15"/>
  <c r="K237" i="15"/>
  <c r="E237" i="15"/>
  <c r="K246" i="15"/>
  <c r="E246" i="15"/>
  <c r="K242" i="15"/>
  <c r="E242" i="15"/>
  <c r="K238" i="15"/>
  <c r="E238" i="15"/>
  <c r="F116" i="15"/>
  <c r="F211" i="15"/>
  <c r="F214" i="15"/>
  <c r="F217" i="15"/>
  <c r="F220" i="15"/>
  <c r="I226" i="15"/>
  <c r="I225" i="15"/>
  <c r="I234" i="15"/>
  <c r="I230" i="15"/>
  <c r="G161" i="15"/>
  <c r="G223" i="15"/>
  <c r="G226" i="15"/>
  <c r="G229" i="15"/>
  <c r="G232" i="15"/>
  <c r="F223" i="15"/>
  <c r="F161" i="15"/>
  <c r="F226" i="15"/>
  <c r="F229" i="15"/>
  <c r="F232" i="15"/>
  <c r="J212" i="15"/>
  <c r="D212" i="15"/>
  <c r="J221" i="15"/>
  <c r="D221" i="15"/>
  <c r="D239" i="15"/>
  <c r="J239" i="15"/>
  <c r="D242" i="15"/>
  <c r="J242" i="15"/>
  <c r="I212" i="15"/>
  <c r="I215" i="15"/>
  <c r="I218" i="15"/>
  <c r="I221" i="15"/>
  <c r="H224" i="15"/>
  <c r="H227" i="15"/>
  <c r="H230" i="15"/>
  <c r="H233" i="15"/>
  <c r="D228" i="15"/>
  <c r="J228" i="15"/>
  <c r="D227" i="15"/>
  <c r="J227" i="15"/>
  <c r="D226" i="15"/>
  <c r="J226" i="15"/>
  <c r="D223" i="15"/>
  <c r="D161" i="15"/>
  <c r="J223" i="15"/>
  <c r="J161" i="15"/>
  <c r="J162" i="15" s="1"/>
  <c r="E213" i="15"/>
  <c r="K213" i="15"/>
  <c r="E216" i="15"/>
  <c r="K216" i="15"/>
  <c r="E219" i="15"/>
  <c r="K219" i="15"/>
  <c r="E222" i="15"/>
  <c r="K222" i="15"/>
  <c r="H237" i="15"/>
  <c r="H240" i="15"/>
  <c r="H243" i="15"/>
  <c r="H246" i="15"/>
  <c r="G237" i="15"/>
  <c r="G240" i="15"/>
  <c r="G243" i="15"/>
  <c r="G246" i="15"/>
  <c r="H213" i="15"/>
  <c r="H216" i="15"/>
  <c r="H219" i="15"/>
  <c r="H222" i="15"/>
  <c r="G213" i="15"/>
  <c r="G216" i="15"/>
  <c r="G219" i="15"/>
  <c r="G222" i="15"/>
  <c r="K225" i="15"/>
  <c r="E225" i="15"/>
  <c r="K228" i="15"/>
  <c r="E228" i="15"/>
  <c r="K231" i="15"/>
  <c r="E231" i="15"/>
  <c r="K234" i="15"/>
  <c r="E234" i="15"/>
  <c r="I236" i="15"/>
  <c r="I239" i="15"/>
  <c r="I242" i="15"/>
  <c r="I245" i="15"/>
  <c r="F236" i="15"/>
  <c r="F239" i="15"/>
  <c r="F242" i="15"/>
  <c r="F245" i="15"/>
  <c r="K240" i="15"/>
  <c r="E240" i="15"/>
  <c r="K236" i="15"/>
  <c r="E236" i="15"/>
  <c r="K245" i="15"/>
  <c r="E245" i="15"/>
  <c r="K241" i="15"/>
  <c r="E241" i="15"/>
  <c r="F212" i="15"/>
  <c r="F215" i="15"/>
  <c r="F218" i="15"/>
  <c r="F221" i="15"/>
  <c r="I229" i="15"/>
  <c r="I228" i="15"/>
  <c r="I224" i="15"/>
  <c r="I233" i="15"/>
  <c r="G224" i="15"/>
  <c r="G227" i="15"/>
  <c r="G230" i="15"/>
  <c r="G233" i="15"/>
  <c r="F224" i="15"/>
  <c r="F227" i="15"/>
  <c r="F230" i="15"/>
  <c r="F233" i="15"/>
  <c r="J215" i="15"/>
  <c r="D215" i="15"/>
  <c r="D236" i="15"/>
  <c r="J236" i="15"/>
  <c r="J213" i="15"/>
  <c r="D213" i="15"/>
  <c r="J216" i="15"/>
  <c r="D216" i="15"/>
  <c r="J219" i="15"/>
  <c r="D219" i="15"/>
  <c r="J222" i="15"/>
  <c r="D222" i="15"/>
  <c r="D237" i="15"/>
  <c r="J237" i="15"/>
  <c r="D240" i="15"/>
  <c r="J240" i="15"/>
  <c r="D243" i="15"/>
  <c r="J243" i="15"/>
  <c r="D246" i="15"/>
  <c r="J246" i="15"/>
  <c r="I213" i="15"/>
  <c r="I216" i="15"/>
  <c r="I219" i="15"/>
  <c r="I222" i="15"/>
  <c r="H225" i="15"/>
  <c r="H228" i="15"/>
  <c r="H231" i="15"/>
  <c r="H234" i="15"/>
  <c r="D231" i="15"/>
  <c r="J231" i="15"/>
  <c r="D230" i="15"/>
  <c r="J230" i="15"/>
  <c r="D229" i="15"/>
  <c r="J229" i="15"/>
  <c r="D224" i="15"/>
  <c r="J224" i="15"/>
  <c r="E116" i="15"/>
  <c r="E211" i="15"/>
  <c r="K211" i="15"/>
  <c r="K116" i="15"/>
  <c r="E214" i="15"/>
  <c r="K214" i="15"/>
  <c r="E217" i="15"/>
  <c r="K217" i="15"/>
  <c r="E220" i="15"/>
  <c r="K220" i="15"/>
  <c r="H206" i="15"/>
  <c r="H235" i="15"/>
  <c r="H238" i="15"/>
  <c r="H241" i="15"/>
  <c r="H244" i="15"/>
  <c r="G235" i="15"/>
  <c r="G206" i="15"/>
  <c r="G238" i="15"/>
  <c r="G241" i="15"/>
  <c r="G244" i="15"/>
  <c r="H211" i="15"/>
  <c r="H116" i="15"/>
  <c r="H214" i="15"/>
  <c r="H217" i="15"/>
  <c r="H220" i="15"/>
  <c r="G116" i="15"/>
  <c r="G211" i="15"/>
  <c r="G214" i="15"/>
  <c r="G217" i="15"/>
  <c r="G220" i="15"/>
  <c r="K223" i="15"/>
  <c r="K161" i="15"/>
  <c r="K162" i="15" s="1"/>
  <c r="E161" i="15"/>
  <c r="E223" i="15"/>
  <c r="K226" i="15"/>
  <c r="E226" i="15"/>
  <c r="K229" i="15"/>
  <c r="E229" i="15"/>
  <c r="K232" i="15"/>
  <c r="E232" i="15"/>
  <c r="I237" i="15"/>
  <c r="I240" i="15"/>
  <c r="I243" i="15"/>
  <c r="I246" i="15"/>
  <c r="F237" i="15"/>
  <c r="F240" i="15"/>
  <c r="F243" i="15"/>
  <c r="F246" i="15"/>
  <c r="K243" i="15"/>
  <c r="E243" i="15"/>
  <c r="K239" i="15"/>
  <c r="E239" i="15"/>
  <c r="K235" i="15"/>
  <c r="K206" i="15"/>
  <c r="K207" i="15" s="1"/>
  <c r="E235" i="15"/>
  <c r="E206" i="15"/>
  <c r="K244" i="15"/>
  <c r="E244" i="15"/>
  <c r="F213" i="15"/>
  <c r="F216" i="15"/>
  <c r="F219" i="15"/>
  <c r="F222" i="15"/>
  <c r="I232" i="15"/>
  <c r="I231" i="15"/>
  <c r="I227" i="15"/>
  <c r="I223" i="15"/>
  <c r="I161" i="15"/>
  <c r="G225" i="15"/>
  <c r="G228" i="15"/>
  <c r="G231" i="15"/>
  <c r="G234" i="15"/>
  <c r="F225" i="15"/>
  <c r="F228" i="15"/>
  <c r="F231" i="15"/>
  <c r="F234" i="15"/>
  <c r="J115" i="15"/>
  <c r="L205" i="15"/>
  <c r="L207" i="15" s="1"/>
  <c r="D205" i="15"/>
  <c r="L115" i="15"/>
  <c r="L117" i="15" s="1"/>
  <c r="I115" i="15"/>
  <c r="D115" i="15"/>
  <c r="H160" i="15"/>
  <c r="I205" i="15"/>
  <c r="F205" i="15"/>
  <c r="F115" i="15"/>
  <c r="E115" i="15"/>
  <c r="G160" i="15"/>
  <c r="F160" i="15"/>
  <c r="D160" i="15"/>
  <c r="K115" i="15"/>
  <c r="H205" i="15"/>
  <c r="G205" i="15"/>
  <c r="H115" i="15"/>
  <c r="G115" i="15"/>
  <c r="L160" i="15"/>
  <c r="L162" i="15" s="1"/>
  <c r="E160" i="15"/>
  <c r="E205" i="15"/>
  <c r="I160" i="15"/>
  <c r="F204" i="10"/>
  <c r="D204" i="10"/>
  <c r="H204" i="10"/>
  <c r="G249" i="10"/>
  <c r="D249" i="10"/>
  <c r="I249" i="10"/>
  <c r="E249" i="10"/>
  <c r="F294" i="10"/>
  <c r="H249" i="10"/>
  <c r="I204" i="10"/>
  <c r="E294" i="10"/>
  <c r="H294" i="10"/>
  <c r="G204" i="10"/>
  <c r="F249" i="10"/>
  <c r="D294" i="10"/>
  <c r="E204" i="10"/>
  <c r="I294" i="10"/>
  <c r="G294" i="10"/>
  <c r="L215" i="15"/>
  <c r="L224" i="15"/>
  <c r="L233" i="15"/>
  <c r="L237" i="15"/>
  <c r="L238" i="15"/>
  <c r="L213" i="15"/>
  <c r="L222" i="15"/>
  <c r="L231" i="15"/>
  <c r="L240" i="15"/>
  <c r="L241" i="15"/>
  <c r="L220" i="15"/>
  <c r="L223" i="15"/>
  <c r="L229" i="15"/>
  <c r="L243" i="15"/>
  <c r="L221" i="15"/>
  <c r="L230" i="15"/>
  <c r="L242" i="15"/>
  <c r="L219" i="15"/>
  <c r="L228" i="15"/>
  <c r="L245" i="15"/>
  <c r="L217" i="15"/>
  <c r="L212" i="15"/>
  <c r="L226" i="15"/>
  <c r="L235" i="15"/>
  <c r="L218" i="15"/>
  <c r="L227" i="15"/>
  <c r="L246" i="15"/>
  <c r="L216" i="15"/>
  <c r="L225" i="15"/>
  <c r="L234" i="15"/>
  <c r="L236" i="15"/>
  <c r="L211" i="15"/>
  <c r="L214" i="15"/>
  <c r="L232" i="15"/>
  <c r="L239" i="15"/>
  <c r="L244" i="15"/>
  <c r="E162" i="15" l="1"/>
  <c r="D162" i="15"/>
  <c r="F162" i="15"/>
  <c r="G162" i="15"/>
  <c r="F117" i="15"/>
  <c r="F207" i="15"/>
  <c r="D207" i="15"/>
  <c r="E207" i="15"/>
  <c r="G117" i="15"/>
  <c r="G207" i="15"/>
  <c r="H207" i="15"/>
  <c r="I117" i="15"/>
  <c r="J117" i="15"/>
  <c r="I162" i="15"/>
  <c r="H117" i="15"/>
  <c r="K117" i="15"/>
  <c r="E117" i="15"/>
  <c r="I207" i="15"/>
  <c r="H162" i="15"/>
  <c r="D117" i="15"/>
  <c r="C44" i="21"/>
  <c r="C167" i="30" l="1"/>
  <c r="C154" i="15"/>
  <c r="C112" i="15"/>
  <c r="C103" i="15"/>
  <c r="C107" i="15"/>
  <c r="C106" i="15"/>
  <c r="C116" i="30"/>
  <c r="C161" i="30"/>
  <c r="C170" i="30"/>
  <c r="C74" i="30"/>
  <c r="C111" i="15"/>
  <c r="C202" i="15"/>
  <c r="C109" i="15"/>
  <c r="C203" i="15"/>
  <c r="C117" i="30"/>
  <c r="C79" i="30"/>
  <c r="C126" i="30"/>
  <c r="C166" i="30"/>
  <c r="C158" i="15"/>
  <c r="C159" i="15"/>
  <c r="C120" i="30"/>
  <c r="C121" i="30"/>
  <c r="C148" i="15"/>
  <c r="C156" i="15"/>
  <c r="C114" i="15"/>
  <c r="C162" i="30"/>
  <c r="C195" i="15"/>
  <c r="C155" i="15"/>
  <c r="C157" i="15"/>
  <c r="C152" i="15"/>
  <c r="C149" i="15"/>
  <c r="C171" i="30"/>
  <c r="C199" i="15"/>
  <c r="C122" i="30"/>
  <c r="C196" i="15"/>
  <c r="C163" i="30"/>
  <c r="C200" i="15"/>
  <c r="C71" i="30"/>
  <c r="C125" i="30"/>
  <c r="C127" i="30"/>
  <c r="C164" i="30"/>
  <c r="C75" i="30"/>
  <c r="C165" i="30"/>
  <c r="C78" i="30"/>
  <c r="C150" i="15"/>
  <c r="C169" i="30"/>
  <c r="C153" i="15"/>
  <c r="C151" i="15"/>
  <c r="C108" i="15"/>
  <c r="C124" i="30"/>
  <c r="C73" i="30"/>
  <c r="C204" i="15"/>
  <c r="C105" i="15"/>
  <c r="C72" i="30"/>
  <c r="C118" i="30"/>
  <c r="C197" i="15"/>
  <c r="C119" i="30"/>
  <c r="C168" i="30"/>
  <c r="C80" i="30"/>
  <c r="C81" i="30"/>
  <c r="C172" i="30"/>
  <c r="C82" i="30"/>
  <c r="C193" i="15"/>
  <c r="C110" i="15"/>
  <c r="C194" i="15"/>
  <c r="C198" i="15"/>
  <c r="C104" i="15"/>
  <c r="C76" i="30"/>
  <c r="C201" i="15"/>
  <c r="C123" i="30"/>
  <c r="C77" i="30"/>
  <c r="C113" i="15"/>
  <c r="L61" i="19" l="1"/>
  <c r="G61" i="19"/>
  <c r="J76" i="19"/>
  <c r="H76" i="19"/>
  <c r="H61" i="19"/>
  <c r="L76" i="19"/>
  <c r="J61" i="19"/>
  <c r="D109" i="25" l="1"/>
  <c r="H286" i="10"/>
  <c r="F162" i="25"/>
  <c r="K248" i="10"/>
  <c r="G237" i="10"/>
  <c r="E279" i="25"/>
  <c r="K93" i="25"/>
  <c r="H273" i="25"/>
  <c r="H255" i="25"/>
  <c r="I239" i="10"/>
  <c r="O192" i="25"/>
  <c r="N261" i="25"/>
  <c r="K192" i="25"/>
  <c r="D59" i="18"/>
  <c r="I246" i="10"/>
  <c r="M144" i="25"/>
  <c r="F199" i="10"/>
  <c r="J238" i="10"/>
  <c r="F248" i="10"/>
  <c r="D266" i="25"/>
  <c r="L267" i="25"/>
  <c r="O204" i="25"/>
  <c r="D260" i="25"/>
  <c r="I267" i="25"/>
  <c r="J285" i="10"/>
  <c r="E99" i="10"/>
  <c r="K180" i="25"/>
  <c r="H237" i="10"/>
  <c r="N81" i="25"/>
  <c r="O111" i="25"/>
  <c r="I291" i="10"/>
  <c r="I195" i="10"/>
  <c r="D161" i="25"/>
  <c r="G196" i="10"/>
  <c r="I202" i="10"/>
  <c r="L202" i="10"/>
  <c r="D272" i="25"/>
  <c r="M186" i="25"/>
  <c r="F284" i="10"/>
  <c r="H180" i="25"/>
  <c r="F105" i="25"/>
  <c r="J210" i="25"/>
  <c r="J93" i="25"/>
  <c r="H291" i="25"/>
  <c r="K279" i="25"/>
  <c r="G290" i="10"/>
  <c r="N279" i="25"/>
  <c r="J247" i="10"/>
  <c r="N285" i="25"/>
  <c r="H282" i="10"/>
  <c r="H249" i="25"/>
  <c r="O162" i="25"/>
  <c r="K111" i="25"/>
  <c r="G241" i="10"/>
  <c r="K194" i="10"/>
  <c r="E117" i="25"/>
  <c r="O306" i="25"/>
  <c r="F243" i="25"/>
  <c r="F210" i="25"/>
  <c r="H287" i="10"/>
  <c r="N180" i="25"/>
  <c r="I123" i="25"/>
  <c r="N162" i="25"/>
  <c r="G87" i="25"/>
  <c r="G244" i="10"/>
  <c r="I243" i="10"/>
  <c r="L284" i="10"/>
  <c r="J239" i="10"/>
  <c r="D179" i="25"/>
  <c r="J111" i="25"/>
  <c r="D289" i="10"/>
  <c r="H202" i="10"/>
  <c r="L203" i="10"/>
  <c r="F306" i="25"/>
  <c r="D129" i="25"/>
  <c r="F196" i="10"/>
  <c r="F290" i="10"/>
  <c r="G282" i="10"/>
  <c r="L293" i="10"/>
  <c r="E123" i="25"/>
  <c r="L197" i="10"/>
  <c r="H168" i="25"/>
  <c r="K201" i="10"/>
  <c r="J285" i="25"/>
  <c r="K174" i="25"/>
  <c r="G289" i="10"/>
  <c r="D285" i="25"/>
  <c r="I306" i="25"/>
  <c r="D197" i="10"/>
  <c r="N210" i="25"/>
  <c r="D160" i="25"/>
  <c r="J129" i="25"/>
  <c r="E267" i="25"/>
  <c r="I290" i="10"/>
  <c r="I241" i="10"/>
  <c r="F99" i="25"/>
  <c r="M180" i="25"/>
  <c r="G201" i="10"/>
  <c r="L239" i="10"/>
  <c r="H288" i="10"/>
  <c r="D193" i="10"/>
  <c r="K210" i="25"/>
  <c r="D203" i="25"/>
  <c r="D166" i="25"/>
  <c r="L93" i="25"/>
  <c r="O144" i="25"/>
  <c r="J203" i="10"/>
  <c r="H174" i="25"/>
  <c r="M87" i="25"/>
  <c r="N186" i="25"/>
  <c r="L240" i="10"/>
  <c r="F202" i="10"/>
  <c r="D122" i="25"/>
  <c r="D197" i="25"/>
  <c r="G93" i="25"/>
  <c r="K273" i="25"/>
  <c r="D285" i="10"/>
  <c r="K99" i="25"/>
  <c r="H198" i="10"/>
  <c r="F117" i="25"/>
  <c r="I286" i="10"/>
  <c r="O81" i="25"/>
  <c r="L123" i="25"/>
  <c r="L246" i="10"/>
  <c r="D192" i="25"/>
  <c r="E240" i="10"/>
  <c r="E243" i="25"/>
  <c r="N273" i="25"/>
  <c r="E246" i="10"/>
  <c r="J202" i="10"/>
  <c r="N255" i="25"/>
  <c r="F238" i="10"/>
  <c r="I192" i="10"/>
  <c r="D97" i="25"/>
  <c r="E199" i="10"/>
  <c r="J174" i="25"/>
  <c r="E273" i="25"/>
  <c r="J192" i="25"/>
  <c r="N225" i="25"/>
  <c r="O210" i="25"/>
  <c r="G286" i="10"/>
  <c r="J279" i="25"/>
  <c r="D98" i="25"/>
  <c r="G162" i="25"/>
  <c r="I210" i="25"/>
  <c r="K237" i="10"/>
  <c r="K144" i="25"/>
  <c r="L162" i="25"/>
  <c r="J237" i="10"/>
  <c r="H199" i="10"/>
  <c r="M285" i="25"/>
  <c r="F282" i="10"/>
  <c r="H87" i="25"/>
  <c r="G105" i="25"/>
  <c r="K123" i="25"/>
  <c r="D284" i="25"/>
  <c r="K240" i="10"/>
  <c r="G247" i="10"/>
  <c r="D253" i="25"/>
  <c r="H186" i="25"/>
  <c r="F192" i="10"/>
  <c r="N168" i="25"/>
  <c r="D225" i="25"/>
  <c r="K285" i="25"/>
  <c r="E168" i="25"/>
  <c r="I284" i="10"/>
  <c r="D283" i="25"/>
  <c r="J248" i="10"/>
  <c r="L210" i="25"/>
  <c r="F267" i="25"/>
  <c r="M306" i="25"/>
  <c r="J290" i="10"/>
  <c r="D248" i="25"/>
  <c r="D99" i="10"/>
  <c r="G238" i="10"/>
  <c r="E293" i="10"/>
  <c r="H192" i="25"/>
  <c r="F59" i="18"/>
  <c r="I194" i="10"/>
  <c r="G291" i="25"/>
  <c r="E204" i="25"/>
  <c r="J198" i="25"/>
  <c r="D196" i="25"/>
  <c r="F194" i="10"/>
  <c r="G288" i="10"/>
  <c r="N249" i="25"/>
  <c r="I237" i="10"/>
  <c r="D279" i="25"/>
  <c r="D184" i="25"/>
  <c r="D204" i="25"/>
  <c r="M174" i="25"/>
  <c r="E192" i="25"/>
  <c r="J123" i="25"/>
  <c r="G248" i="10"/>
  <c r="I247" i="10"/>
  <c r="N111" i="25"/>
  <c r="H247" i="10"/>
  <c r="E306" i="25"/>
  <c r="K200" i="10"/>
  <c r="O261" i="25"/>
  <c r="L243" i="10"/>
  <c r="J282" i="10"/>
  <c r="N192" i="25"/>
  <c r="L194" i="10"/>
  <c r="G279" i="25"/>
  <c r="F174" i="25"/>
  <c r="E195" i="10"/>
  <c r="I93" i="25"/>
  <c r="H279" i="25"/>
  <c r="N129" i="25"/>
  <c r="G203" i="10"/>
  <c r="D261" i="25"/>
  <c r="K283" i="10"/>
  <c r="L282" i="10"/>
  <c r="I288" i="10"/>
  <c r="E291" i="10"/>
  <c r="D201" i="10"/>
  <c r="J240" i="10"/>
  <c r="N267" i="25"/>
  <c r="I285" i="10"/>
  <c r="E180" i="25"/>
  <c r="D196" i="10"/>
  <c r="I245" i="10"/>
  <c r="L200" i="10"/>
  <c r="K105" i="25"/>
  <c r="D288" i="10"/>
  <c r="M267" i="25"/>
  <c r="D284" i="10"/>
  <c r="G193" i="10"/>
  <c r="O273" i="25"/>
  <c r="D117" i="25"/>
  <c r="H293" i="10"/>
  <c r="H291" i="10"/>
  <c r="O255" i="25"/>
  <c r="D186" i="25"/>
  <c r="E202" i="10"/>
  <c r="L204" i="25"/>
  <c r="J225" i="25"/>
  <c r="M129" i="25"/>
  <c r="I180" i="25"/>
  <c r="O105" i="25"/>
  <c r="O123" i="25"/>
  <c r="O168" i="25"/>
  <c r="D111" i="25"/>
  <c r="J194" i="10"/>
  <c r="D192" i="10"/>
  <c r="J287" i="10"/>
  <c r="N87" i="25"/>
  <c r="F168" i="25"/>
  <c r="D242" i="10"/>
  <c r="I117" i="25"/>
  <c r="K249" i="25"/>
  <c r="K255" i="25"/>
  <c r="I240" i="10"/>
  <c r="G285" i="25"/>
  <c r="G199" i="10"/>
  <c r="J192" i="10"/>
  <c r="D267" i="25"/>
  <c r="H193" i="10"/>
  <c r="N117" i="25"/>
  <c r="H192" i="10"/>
  <c r="H201" i="10"/>
  <c r="J288" i="10"/>
  <c r="G246" i="10"/>
  <c r="K292" i="10"/>
  <c r="D191" i="25"/>
  <c r="J246" i="10"/>
  <c r="I244" i="10"/>
  <c r="K168" i="25"/>
  <c r="F111" i="25"/>
  <c r="F193" i="10"/>
  <c r="O279" i="25"/>
  <c r="E162" i="25"/>
  <c r="E242" i="10"/>
  <c r="I198" i="25"/>
  <c r="K186" i="25"/>
  <c r="D86" i="25"/>
  <c r="L285" i="25"/>
  <c r="J243" i="10"/>
  <c r="I243" i="25"/>
  <c r="H123" i="25"/>
  <c r="I238" i="10"/>
  <c r="K282" i="10"/>
  <c r="M105" i="25"/>
  <c r="D244" i="10"/>
  <c r="I225" i="25"/>
  <c r="G243" i="10"/>
  <c r="E105" i="25"/>
  <c r="H244" i="10"/>
  <c r="L237" i="10"/>
  <c r="D278" i="25"/>
  <c r="H225" i="25"/>
  <c r="D85" i="25"/>
  <c r="N93" i="25"/>
  <c r="E201" i="10"/>
  <c r="E255" i="25"/>
  <c r="D202" i="25"/>
  <c r="N306" i="25"/>
  <c r="L87" i="25"/>
  <c r="L195" i="10"/>
  <c r="E243" i="10"/>
  <c r="O93" i="25"/>
  <c r="M99" i="25"/>
  <c r="L285" i="10"/>
  <c r="D287" i="10"/>
  <c r="G174" i="25"/>
  <c r="F204" i="25"/>
  <c r="D209" i="25"/>
  <c r="L261" i="25"/>
  <c r="L242" i="10"/>
  <c r="G292" i="10"/>
  <c r="H285" i="25"/>
  <c r="H105" i="25"/>
  <c r="G117" i="25"/>
  <c r="M243" i="25"/>
  <c r="K195" i="10"/>
  <c r="F192" i="25"/>
  <c r="I198" i="10"/>
  <c r="E197" i="10"/>
  <c r="D92" i="25"/>
  <c r="E282" i="10"/>
  <c r="H248" i="10"/>
  <c r="G144" i="25"/>
  <c r="L249" i="25"/>
  <c r="D290" i="25"/>
  <c r="E193" i="10"/>
  <c r="K202" i="10"/>
  <c r="G243" i="25"/>
  <c r="E196" i="10"/>
  <c r="D103" i="25"/>
  <c r="J289" i="10"/>
  <c r="D210" i="25"/>
  <c r="F247" i="10"/>
  <c r="D208" i="25"/>
  <c r="H292" i="10"/>
  <c r="E129" i="25"/>
  <c r="D247" i="25"/>
  <c r="L192" i="10"/>
  <c r="O267" i="25"/>
  <c r="H117" i="25"/>
  <c r="F241" i="10"/>
  <c r="J105" i="25"/>
  <c r="N198" i="25"/>
  <c r="L174" i="25"/>
  <c r="D123" i="25"/>
  <c r="G111" i="25"/>
  <c r="J201" i="10"/>
  <c r="F244" i="10"/>
  <c r="D242" i="25"/>
  <c r="G287" i="10"/>
  <c r="D185" i="25"/>
  <c r="G284" i="10"/>
  <c r="D241" i="10"/>
  <c r="F93" i="25"/>
  <c r="F239" i="10"/>
  <c r="I248" i="10"/>
  <c r="H195" i="10"/>
  <c r="L129" i="25"/>
  <c r="E283" i="10"/>
  <c r="I111" i="25"/>
  <c r="E99" i="25"/>
  <c r="L199" i="10"/>
  <c r="O243" i="25"/>
  <c r="L196" i="10"/>
  <c r="D245" i="10"/>
  <c r="H285" i="10"/>
  <c r="F243" i="10"/>
  <c r="D178" i="25"/>
  <c r="J99" i="25"/>
  <c r="J204" i="25"/>
  <c r="F245" i="10"/>
  <c r="F293" i="10"/>
  <c r="E93" i="25"/>
  <c r="J180" i="25"/>
  <c r="F225" i="25"/>
  <c r="O87" i="25"/>
  <c r="F144" i="25"/>
  <c r="M168" i="25"/>
  <c r="K244" i="10"/>
  <c r="H267" i="25"/>
  <c r="K290" i="10"/>
  <c r="F291" i="10"/>
  <c r="G285" i="10"/>
  <c r="E198" i="25"/>
  <c r="L180" i="25"/>
  <c r="J162" i="25"/>
  <c r="N105" i="25"/>
  <c r="E285" i="25"/>
  <c r="E285" i="10"/>
  <c r="J293" i="10"/>
  <c r="J144" i="25"/>
  <c r="M204" i="25"/>
  <c r="H204" i="25"/>
  <c r="J193" i="10"/>
  <c r="O180" i="25"/>
  <c r="E241" i="10"/>
  <c r="I174" i="25"/>
  <c r="H81" i="25"/>
  <c r="H162" i="25"/>
  <c r="G195" i="10"/>
  <c r="D247" i="10"/>
  <c r="D198" i="10"/>
  <c r="F237" i="10"/>
  <c r="J255" i="25"/>
  <c r="K196" i="10"/>
  <c r="I289" i="10"/>
  <c r="K81" i="25"/>
  <c r="L241" i="10"/>
  <c r="L111" i="25"/>
  <c r="D190" i="25"/>
  <c r="I261" i="25"/>
  <c r="L292" i="10"/>
  <c r="D167" i="25"/>
  <c r="F203" i="10"/>
  <c r="H246" i="10"/>
  <c r="D277" i="25"/>
  <c r="L225" i="25"/>
  <c r="M261" i="25"/>
  <c r="I292" i="10"/>
  <c r="F285" i="10"/>
  <c r="K87" i="25"/>
  <c r="H289" i="10"/>
  <c r="G192" i="10"/>
  <c r="K286" i="10"/>
  <c r="L192" i="25"/>
  <c r="L289" i="10"/>
  <c r="K306" i="25"/>
  <c r="H240" i="10"/>
  <c r="I282" i="10"/>
  <c r="E286" i="10"/>
  <c r="M123" i="25"/>
  <c r="F198" i="25"/>
  <c r="G129" i="25"/>
  <c r="D80" i="25"/>
  <c r="D81" i="25"/>
  <c r="M255" i="25"/>
  <c r="D243" i="10"/>
  <c r="J186" i="25"/>
  <c r="H200" i="10"/>
  <c r="F291" i="25"/>
  <c r="J117" i="25"/>
  <c r="N291" i="25"/>
  <c r="J273" i="25"/>
  <c r="E174" i="25"/>
  <c r="G168" i="25"/>
  <c r="D128" i="25"/>
  <c r="F292" i="10"/>
  <c r="F261" i="25"/>
  <c r="L186" i="25"/>
  <c r="O117" i="25"/>
  <c r="H93" i="25"/>
  <c r="J292" i="10"/>
  <c r="D104" i="25"/>
  <c r="F287" i="10"/>
  <c r="J200" i="10"/>
  <c r="G255" i="25"/>
  <c r="J199" i="10"/>
  <c r="N99" i="25"/>
  <c r="E245" i="10"/>
  <c r="J245" i="10"/>
  <c r="G291" i="10"/>
  <c r="H144" i="25"/>
  <c r="L286" i="10"/>
  <c r="F123" i="25"/>
  <c r="D199" i="10"/>
  <c r="K129" i="25"/>
  <c r="I192" i="25"/>
  <c r="F242" i="10"/>
  <c r="J249" i="25"/>
  <c r="G210" i="25"/>
  <c r="L99" i="25"/>
  <c r="G197" i="10"/>
  <c r="J306" i="25"/>
  <c r="F180" i="25"/>
  <c r="H111" i="25"/>
  <c r="F200" i="10"/>
  <c r="K261" i="25"/>
  <c r="G186" i="25"/>
  <c r="K289" i="10"/>
  <c r="M273" i="25"/>
  <c r="H210" i="25"/>
  <c r="F288" i="10"/>
  <c r="D243" i="25"/>
  <c r="F289" i="10"/>
  <c r="L283" i="10"/>
  <c r="D93" i="25"/>
  <c r="J244" i="10"/>
  <c r="J196" i="10"/>
  <c r="I129" i="25"/>
  <c r="F129" i="25"/>
  <c r="L105" i="25"/>
  <c r="K198" i="10"/>
  <c r="D306" i="25"/>
  <c r="M117" i="25"/>
  <c r="G306" i="25"/>
  <c r="E200" i="10"/>
  <c r="G99" i="25"/>
  <c r="D241" i="25"/>
  <c r="F283" i="10"/>
  <c r="D255" i="25"/>
  <c r="H197" i="10"/>
  <c r="I293" i="10"/>
  <c r="N123" i="25"/>
  <c r="D105" i="25"/>
  <c r="J241" i="10"/>
  <c r="N144" i="25"/>
  <c r="J242" i="10"/>
  <c r="G202" i="10"/>
  <c r="I105" i="25"/>
  <c r="L238" i="10"/>
  <c r="L306" i="25"/>
  <c r="D237" i="10"/>
  <c r="D99" i="25"/>
  <c r="K293" i="10"/>
  <c r="L287" i="10"/>
  <c r="E238" i="10"/>
  <c r="F240" i="10"/>
  <c r="G239" i="10"/>
  <c r="H129" i="25"/>
  <c r="H239" i="10"/>
  <c r="H238" i="10"/>
  <c r="F273" i="25"/>
  <c r="D173" i="25"/>
  <c r="M111" i="25"/>
  <c r="H198" i="25"/>
  <c r="O249" i="25"/>
  <c r="M81" i="25"/>
  <c r="J87" i="25"/>
  <c r="J168" i="25"/>
  <c r="E247" i="10"/>
  <c r="K287" i="10"/>
  <c r="K243" i="25"/>
  <c r="G198" i="25"/>
  <c r="K284" i="10"/>
  <c r="F99" i="10"/>
  <c r="I197" i="10"/>
  <c r="H242" i="10"/>
  <c r="G180" i="25"/>
  <c r="E192" i="10"/>
  <c r="E248" i="10"/>
  <c r="I273" i="25"/>
  <c r="L243" i="25"/>
  <c r="K285" i="10"/>
  <c r="D203" i="10"/>
  <c r="L291" i="10"/>
  <c r="H261" i="25"/>
  <c r="K197" i="10"/>
  <c r="K291" i="10"/>
  <c r="L144" i="25"/>
  <c r="H243" i="10"/>
  <c r="J284" i="10"/>
  <c r="G123" i="25"/>
  <c r="K204" i="25"/>
  <c r="K199" i="10"/>
  <c r="I144" i="25"/>
  <c r="F198" i="10"/>
  <c r="J291" i="10"/>
  <c r="D259" i="25"/>
  <c r="G249" i="25"/>
  <c r="M210" i="25"/>
  <c r="G194" i="10"/>
  <c r="H245" i="10"/>
  <c r="D194" i="10"/>
  <c r="E287" i="10"/>
  <c r="F87" i="25"/>
  <c r="D282" i="10"/>
  <c r="G283" i="10"/>
  <c r="E186" i="25"/>
  <c r="D162" i="25"/>
  <c r="H203" i="10"/>
  <c r="J286" i="10"/>
  <c r="L245" i="10"/>
  <c r="K193" i="10"/>
  <c r="G245" i="10"/>
  <c r="D239" i="10"/>
  <c r="G200" i="10"/>
  <c r="F286" i="10"/>
  <c r="H283" i="10"/>
  <c r="L81" i="25"/>
  <c r="I162" i="25"/>
  <c r="E290" i="10"/>
  <c r="E249" i="25"/>
  <c r="H241" i="10"/>
  <c r="D202" i="10"/>
  <c r="H196" i="10"/>
  <c r="K117" i="25"/>
  <c r="E284" i="10"/>
  <c r="L255" i="25"/>
  <c r="L247" i="10"/>
  <c r="K246" i="10"/>
  <c r="I285" i="25"/>
  <c r="D248" i="10"/>
  <c r="J195" i="10"/>
  <c r="E289" i="10"/>
  <c r="L290" i="10"/>
  <c r="D115" i="25"/>
  <c r="K162" i="25"/>
  <c r="H306" i="25"/>
  <c r="J197" i="10"/>
  <c r="D198" i="25"/>
  <c r="D293" i="10"/>
  <c r="E87" i="25"/>
  <c r="D200" i="10"/>
  <c r="F279" i="25"/>
  <c r="K203" i="10"/>
  <c r="M279" i="25"/>
  <c r="G225" i="25"/>
  <c r="D249" i="25"/>
  <c r="H194" i="10"/>
  <c r="I203" i="10"/>
  <c r="F81" i="25"/>
  <c r="O129" i="25"/>
  <c r="O291" i="25"/>
  <c r="I204" i="25"/>
  <c r="O225" i="25"/>
  <c r="K225" i="25"/>
  <c r="K291" i="25"/>
  <c r="D91" i="25"/>
  <c r="E244" i="10"/>
  <c r="I193" i="10"/>
  <c r="F246" i="10"/>
  <c r="F285" i="25"/>
  <c r="E291" i="25"/>
  <c r="M192" i="25"/>
  <c r="O99" i="25"/>
  <c r="D79" i="25"/>
  <c r="H290" i="10"/>
  <c r="I168" i="25"/>
  <c r="D121" i="25"/>
  <c r="I283" i="10"/>
  <c r="E210" i="25"/>
  <c r="K241" i="10"/>
  <c r="L288" i="10"/>
  <c r="G204" i="25"/>
  <c r="F255" i="25"/>
  <c r="F186" i="25"/>
  <c r="G240" i="10"/>
  <c r="I99" i="25"/>
  <c r="E111" i="25"/>
  <c r="E261" i="25"/>
  <c r="O198" i="25"/>
  <c r="H284" i="10"/>
  <c r="M198" i="25"/>
  <c r="D110" i="25"/>
  <c r="I186" i="25"/>
  <c r="M162" i="25"/>
  <c r="D240" i="10"/>
  <c r="D254" i="25"/>
  <c r="D87" i="25"/>
  <c r="J283" i="10"/>
  <c r="D289" i="25"/>
  <c r="K267" i="25"/>
  <c r="L193" i="10"/>
  <c r="D116" i="25"/>
  <c r="L244" i="10"/>
  <c r="D127" i="25"/>
  <c r="I200" i="10"/>
  <c r="K288" i="10"/>
  <c r="J261" i="25"/>
  <c r="I199" i="10"/>
  <c r="D291" i="10"/>
  <c r="O186" i="25"/>
  <c r="L201" i="10"/>
  <c r="F197" i="10"/>
  <c r="K245" i="10"/>
  <c r="D180" i="25"/>
  <c r="D195" i="10"/>
  <c r="L168" i="25"/>
  <c r="E81" i="25"/>
  <c r="D283" i="10"/>
  <c r="J198" i="10"/>
  <c r="D265" i="25"/>
  <c r="D174" i="25"/>
  <c r="G81" i="25"/>
  <c r="O174" i="25"/>
  <c r="G273" i="25"/>
  <c r="H99" i="25"/>
  <c r="F195" i="10"/>
  <c r="J291" i="25"/>
  <c r="G267" i="25"/>
  <c r="J243" i="25"/>
  <c r="D273" i="25"/>
  <c r="D290" i="10"/>
  <c r="D238" i="10"/>
  <c r="G261" i="25"/>
  <c r="M291" i="25"/>
  <c r="D168" i="25"/>
  <c r="E292" i="10"/>
  <c r="M225" i="25"/>
  <c r="G293" i="10"/>
  <c r="E198" i="10"/>
  <c r="L198" i="25"/>
  <c r="E288" i="10"/>
  <c r="I249" i="25"/>
  <c r="E59" i="18"/>
  <c r="I201" i="10"/>
  <c r="F201" i="10"/>
  <c r="L198" i="10"/>
  <c r="I81" i="25"/>
  <c r="H243" i="25"/>
  <c r="K242" i="10"/>
  <c r="J267" i="25"/>
  <c r="E203" i="10"/>
  <c r="L273" i="25"/>
  <c r="E239" i="10"/>
  <c r="G198" i="10"/>
  <c r="N204" i="25"/>
  <c r="E237" i="10"/>
  <c r="E144" i="25"/>
  <c r="K198" i="25"/>
  <c r="I242" i="10"/>
  <c r="I87" i="25"/>
  <c r="D292" i="10"/>
  <c r="D291" i="25"/>
  <c r="L117" i="25"/>
  <c r="E225" i="25"/>
  <c r="E194" i="10"/>
  <c r="I255" i="25"/>
  <c r="M249" i="25"/>
  <c r="I196" i="10"/>
  <c r="N174" i="25"/>
  <c r="K243" i="10"/>
  <c r="D172" i="25"/>
  <c r="J81" i="25"/>
  <c r="K192" i="10"/>
  <c r="D271" i="25"/>
  <c r="O285" i="25"/>
  <c r="I291" i="25"/>
  <c r="M93" i="25"/>
  <c r="N243" i="25"/>
  <c r="F249" i="25"/>
  <c r="L291" i="25"/>
  <c r="G192" i="25"/>
  <c r="L248" i="10"/>
  <c r="I287" i="10"/>
  <c r="K238" i="10"/>
  <c r="I279" i="25"/>
  <c r="D286" i="10"/>
  <c r="G242" i="10"/>
  <c r="D246" i="10"/>
  <c r="L279" i="25"/>
  <c r="K239" i="10"/>
  <c r="D144" i="25"/>
  <c r="K247" i="10"/>
  <c r="K322" i="10" l="1"/>
  <c r="D146" i="25"/>
  <c r="P144" i="25"/>
  <c r="K314" i="10"/>
  <c r="L280" i="25"/>
  <c r="L282" i="25" s="1"/>
  <c r="L281" i="25"/>
  <c r="D321" i="10"/>
  <c r="C246" i="10"/>
  <c r="G317" i="10"/>
  <c r="D328" i="10"/>
  <c r="C286" i="10"/>
  <c r="I280" i="25"/>
  <c r="I281" i="25"/>
  <c r="K313" i="10"/>
  <c r="I329" i="10"/>
  <c r="G193" i="25"/>
  <c r="G194" i="25"/>
  <c r="L292" i="25"/>
  <c r="L293" i="25"/>
  <c r="F250" i="25"/>
  <c r="F252" i="25" s="1"/>
  <c r="F251" i="25"/>
  <c r="N244" i="25"/>
  <c r="N245" i="25"/>
  <c r="M95" i="25"/>
  <c r="M94" i="25"/>
  <c r="M96" i="25" s="1"/>
  <c r="I292" i="25"/>
  <c r="I294" i="25" s="1"/>
  <c r="I293" i="25"/>
  <c r="O287" i="25"/>
  <c r="O286" i="25"/>
  <c r="O288" i="25" s="1"/>
  <c r="K300" i="10"/>
  <c r="K205" i="10"/>
  <c r="K206" i="10" s="1"/>
  <c r="J82" i="25"/>
  <c r="J83" i="25"/>
  <c r="K318" i="10"/>
  <c r="N176" i="25"/>
  <c r="N175" i="25"/>
  <c r="I304" i="10"/>
  <c r="M251" i="25"/>
  <c r="M250" i="25"/>
  <c r="I256" i="25"/>
  <c r="I257" i="25"/>
  <c r="E302" i="10"/>
  <c r="E227" i="25"/>
  <c r="L118" i="25"/>
  <c r="L120" i="25" s="1"/>
  <c r="L119" i="25"/>
  <c r="D292" i="25"/>
  <c r="D293" i="25"/>
  <c r="P291" i="25"/>
  <c r="D334" i="10"/>
  <c r="C292" i="10"/>
  <c r="I89" i="25"/>
  <c r="I88" i="25"/>
  <c r="I317" i="10"/>
  <c r="K200" i="25"/>
  <c r="K199" i="25"/>
  <c r="K201" i="25" s="1"/>
  <c r="E146" i="25"/>
  <c r="E312" i="10"/>
  <c r="E250" i="10"/>
  <c r="E251" i="10" s="1"/>
  <c r="N206" i="25"/>
  <c r="N205" i="25"/>
  <c r="G306" i="10"/>
  <c r="E314" i="10"/>
  <c r="L275" i="25"/>
  <c r="L274" i="25"/>
  <c r="L276" i="25" s="1"/>
  <c r="E311" i="10"/>
  <c r="J269" i="25"/>
  <c r="J268" i="25"/>
  <c r="J270" i="25" s="1"/>
  <c r="K317" i="10"/>
  <c r="H245" i="25"/>
  <c r="H244" i="25"/>
  <c r="I83" i="25"/>
  <c r="I82" i="25"/>
  <c r="F309" i="10"/>
  <c r="I309" i="10"/>
  <c r="I250" i="25"/>
  <c r="I251" i="25"/>
  <c r="E330" i="10"/>
  <c r="L199" i="25"/>
  <c r="L200" i="25"/>
  <c r="E306" i="10"/>
  <c r="G335" i="10"/>
  <c r="M227" i="25"/>
  <c r="E334" i="10"/>
  <c r="D169" i="25"/>
  <c r="P168" i="25"/>
  <c r="D170" i="25"/>
  <c r="M293" i="25"/>
  <c r="M292" i="25"/>
  <c r="M294" i="25" s="1"/>
  <c r="G262" i="25"/>
  <c r="G264" i="25" s="1"/>
  <c r="G263" i="25"/>
  <c r="C238" i="10"/>
  <c r="D313" i="10"/>
  <c r="C290" i="10"/>
  <c r="D332" i="10"/>
  <c r="P273" i="25"/>
  <c r="D275" i="25"/>
  <c r="D274" i="25"/>
  <c r="J244" i="25"/>
  <c r="J245" i="25"/>
  <c r="G269" i="25"/>
  <c r="G268" i="25"/>
  <c r="G270" i="25" s="1"/>
  <c r="J292" i="25"/>
  <c r="J293" i="25"/>
  <c r="F303" i="10"/>
  <c r="H100" i="25"/>
  <c r="H101" i="25"/>
  <c r="G275" i="25"/>
  <c r="G274" i="25"/>
  <c r="O176" i="25"/>
  <c r="O175" i="25"/>
  <c r="O177" i="25" s="1"/>
  <c r="G83" i="25"/>
  <c r="G82" i="25"/>
  <c r="P174" i="25"/>
  <c r="D176" i="25"/>
  <c r="D175" i="25"/>
  <c r="J306" i="10"/>
  <c r="C283" i="10"/>
  <c r="D325" i="10"/>
  <c r="E82" i="25"/>
  <c r="E83" i="25"/>
  <c r="L169" i="25"/>
  <c r="L170" i="25"/>
  <c r="D303" i="10"/>
  <c r="C195" i="10"/>
  <c r="D182" i="25"/>
  <c r="D181" i="25"/>
  <c r="P180" i="25"/>
  <c r="K320" i="10"/>
  <c r="F305" i="10"/>
  <c r="O187" i="25"/>
  <c r="O188" i="25"/>
  <c r="C291" i="10"/>
  <c r="D333" i="10"/>
  <c r="I307" i="10"/>
  <c r="J263" i="25"/>
  <c r="J262" i="25"/>
  <c r="K330" i="10"/>
  <c r="I308" i="10"/>
  <c r="K269" i="25"/>
  <c r="K268" i="25"/>
  <c r="K270" i="25" s="1"/>
  <c r="J325" i="10"/>
  <c r="D89" i="25"/>
  <c r="P87" i="25"/>
  <c r="D88" i="25"/>
  <c r="C240" i="10"/>
  <c r="D315" i="10"/>
  <c r="M163" i="25"/>
  <c r="M164" i="25"/>
  <c r="I188" i="25"/>
  <c r="I187" i="25"/>
  <c r="M199" i="25"/>
  <c r="M200" i="25"/>
  <c r="H326" i="10"/>
  <c r="O199" i="25"/>
  <c r="O200" i="25"/>
  <c r="E263" i="25"/>
  <c r="E262" i="25"/>
  <c r="E112" i="25"/>
  <c r="E114" i="25" s="1"/>
  <c r="E113" i="25"/>
  <c r="I101" i="25"/>
  <c r="I100" i="25"/>
  <c r="I102" i="25" s="1"/>
  <c r="G315" i="10"/>
  <c r="F188" i="25"/>
  <c r="F187" i="25"/>
  <c r="F189" i="25" s="1"/>
  <c r="F257" i="25"/>
  <c r="F256" i="25"/>
  <c r="G206" i="25"/>
  <c r="G205" i="25"/>
  <c r="K316" i="10"/>
  <c r="E212" i="25"/>
  <c r="E211" i="25"/>
  <c r="I325" i="10"/>
  <c r="I170" i="25"/>
  <c r="I169" i="25"/>
  <c r="H332" i="10"/>
  <c r="O101" i="25"/>
  <c r="O100" i="25"/>
  <c r="M194" i="25"/>
  <c r="M193" i="25"/>
  <c r="E292" i="25"/>
  <c r="E293" i="25"/>
  <c r="F287" i="25"/>
  <c r="F286" i="25"/>
  <c r="F321" i="10"/>
  <c r="I301" i="10"/>
  <c r="E319" i="10"/>
  <c r="K293" i="25"/>
  <c r="K292" i="25"/>
  <c r="K294" i="25" s="1"/>
  <c r="K227" i="25"/>
  <c r="O227" i="25"/>
  <c r="I206" i="25"/>
  <c r="I205" i="25"/>
  <c r="O293" i="25"/>
  <c r="O292" i="25"/>
  <c r="O294" i="25" s="1"/>
  <c r="O131" i="25"/>
  <c r="O130" i="25"/>
  <c r="O132" i="25" s="1"/>
  <c r="F83" i="25"/>
  <c r="F82" i="25"/>
  <c r="I311" i="10"/>
  <c r="H302" i="10"/>
  <c r="D251" i="25"/>
  <c r="D250" i="25"/>
  <c r="P249" i="25"/>
  <c r="G227" i="25"/>
  <c r="M281" i="25"/>
  <c r="M280" i="25"/>
  <c r="M282" i="25" s="1"/>
  <c r="K311" i="10"/>
  <c r="F280" i="25"/>
  <c r="F281" i="25"/>
  <c r="C200" i="10"/>
  <c r="D308" i="10"/>
  <c r="E88" i="25"/>
  <c r="E90" i="25" s="1"/>
  <c r="E89" i="25"/>
  <c r="D335" i="10"/>
  <c r="C293" i="10"/>
  <c r="P198" i="25"/>
  <c r="D199" i="25"/>
  <c r="D200" i="25"/>
  <c r="J305" i="10"/>
  <c r="H308" i="25"/>
  <c r="K163" i="25"/>
  <c r="K164" i="25"/>
  <c r="E331" i="10"/>
  <c r="J303" i="10"/>
  <c r="D323" i="10"/>
  <c r="C248" i="10"/>
  <c r="I286" i="25"/>
  <c r="I287" i="25"/>
  <c r="K321" i="10"/>
  <c r="L257" i="25"/>
  <c r="L256" i="25"/>
  <c r="E326" i="10"/>
  <c r="K119" i="25"/>
  <c r="K118" i="25"/>
  <c r="H304" i="10"/>
  <c r="D310" i="10"/>
  <c r="C202" i="10"/>
  <c r="H316" i="10"/>
  <c r="E251" i="25"/>
  <c r="E250" i="25"/>
  <c r="E332" i="10"/>
  <c r="I164" i="25"/>
  <c r="I163" i="25"/>
  <c r="L83" i="25"/>
  <c r="L82" i="25"/>
  <c r="H325" i="10"/>
  <c r="F328" i="10"/>
  <c r="G308" i="10"/>
  <c r="D314" i="10"/>
  <c r="C239" i="10"/>
  <c r="G320" i="10"/>
  <c r="K301" i="10"/>
  <c r="J328" i="10"/>
  <c r="H311" i="10"/>
  <c r="D163" i="25"/>
  <c r="D164" i="25"/>
  <c r="P162" i="25"/>
  <c r="E188" i="25"/>
  <c r="E187" i="25"/>
  <c r="G325" i="10"/>
  <c r="D324" i="10"/>
  <c r="C282" i="10"/>
  <c r="D295" i="10"/>
  <c r="D296" i="10" s="1"/>
  <c r="F89" i="25"/>
  <c r="F88" i="25"/>
  <c r="E329" i="10"/>
  <c r="C194" i="10"/>
  <c r="D302" i="10"/>
  <c r="H320" i="10"/>
  <c r="G302" i="10"/>
  <c r="M212" i="25"/>
  <c r="M211" i="25"/>
  <c r="G251" i="25"/>
  <c r="G250" i="25"/>
  <c r="G252" i="25" s="1"/>
  <c r="J333" i="10"/>
  <c r="F306" i="10"/>
  <c r="I146" i="25"/>
  <c r="K307" i="10"/>
  <c r="K206" i="25"/>
  <c r="K205" i="25"/>
  <c r="K207" i="25" s="1"/>
  <c r="G124" i="25"/>
  <c r="G126" i="25" s="1"/>
  <c r="G125" i="25"/>
  <c r="J326" i="10"/>
  <c r="H318" i="10"/>
  <c r="L146" i="25"/>
  <c r="K333" i="10"/>
  <c r="K305" i="10"/>
  <c r="H263" i="25"/>
  <c r="H262" i="25"/>
  <c r="H264" i="25" s="1"/>
  <c r="D311" i="10"/>
  <c r="C203" i="10"/>
  <c r="K327" i="10"/>
  <c r="L244" i="25"/>
  <c r="L245" i="25"/>
  <c r="I274" i="25"/>
  <c r="I275" i="25"/>
  <c r="E323" i="10"/>
  <c r="E300" i="10"/>
  <c r="E205" i="10"/>
  <c r="E206" i="10" s="1"/>
  <c r="G182" i="25"/>
  <c r="G181" i="25"/>
  <c r="G183" i="25" s="1"/>
  <c r="H317" i="10"/>
  <c r="I305" i="10"/>
  <c r="K326" i="10"/>
  <c r="G199" i="25"/>
  <c r="G201" i="25" s="1"/>
  <c r="G200" i="25"/>
  <c r="K244" i="25"/>
  <c r="K245" i="25"/>
  <c r="K329" i="10"/>
  <c r="E322" i="10"/>
  <c r="J170" i="25"/>
  <c r="J169" i="25"/>
  <c r="J89" i="25"/>
  <c r="J88" i="25"/>
  <c r="M82" i="25"/>
  <c r="M83" i="25"/>
  <c r="O251" i="25"/>
  <c r="O250" i="25"/>
  <c r="H200" i="25"/>
  <c r="H199" i="25"/>
  <c r="M113" i="25"/>
  <c r="M112" i="25"/>
  <c r="M114" i="25" s="1"/>
  <c r="F274" i="25"/>
  <c r="F276" i="25" s="1"/>
  <c r="F275" i="25"/>
  <c r="H313" i="10"/>
  <c r="H314" i="10"/>
  <c r="H130" i="25"/>
  <c r="H131" i="25"/>
  <c r="G314" i="10"/>
  <c r="F315" i="10"/>
  <c r="E313" i="10"/>
  <c r="K335" i="10"/>
  <c r="P99" i="25"/>
  <c r="D101" i="25"/>
  <c r="D100" i="25"/>
  <c r="D312" i="10"/>
  <c r="C237" i="10"/>
  <c r="D250" i="10"/>
  <c r="D251" i="10" s="1"/>
  <c r="L308" i="25"/>
  <c r="I106" i="25"/>
  <c r="I108" i="25" s="1"/>
  <c r="I107" i="25"/>
  <c r="G310" i="10"/>
  <c r="J317" i="10"/>
  <c r="N146" i="25"/>
  <c r="J316" i="10"/>
  <c r="P105" i="25"/>
  <c r="D106" i="25"/>
  <c r="D107" i="25"/>
  <c r="N124" i="25"/>
  <c r="N126" i="25" s="1"/>
  <c r="N125" i="25"/>
  <c r="I335" i="10"/>
  <c r="H305" i="10"/>
  <c r="D256" i="25"/>
  <c r="D257" i="25"/>
  <c r="P255" i="25"/>
  <c r="F325" i="10"/>
  <c r="G100" i="25"/>
  <c r="G101" i="25"/>
  <c r="E308" i="10"/>
  <c r="G308" i="25"/>
  <c r="M119" i="25"/>
  <c r="M118" i="25"/>
  <c r="D308" i="25"/>
  <c r="P306" i="25"/>
  <c r="K306" i="10"/>
  <c r="L106" i="25"/>
  <c r="L107" i="25"/>
  <c r="F131" i="25"/>
  <c r="F130" i="25"/>
  <c r="I131" i="25"/>
  <c r="I130" i="25"/>
  <c r="J304" i="10"/>
  <c r="J319" i="10"/>
  <c r="P93" i="25"/>
  <c r="D95" i="25"/>
  <c r="D94" i="25"/>
  <c r="F331" i="10"/>
  <c r="D245" i="25"/>
  <c r="D244" i="25"/>
  <c r="P243" i="25"/>
  <c r="F330" i="10"/>
  <c r="H212" i="25"/>
  <c r="H211" i="25"/>
  <c r="H213" i="25" s="1"/>
  <c r="M274" i="25"/>
  <c r="M275" i="25"/>
  <c r="K331" i="10"/>
  <c r="G188" i="25"/>
  <c r="G187" i="25"/>
  <c r="G189" i="25" s="1"/>
  <c r="K262" i="25"/>
  <c r="K264" i="25" s="1"/>
  <c r="K263" i="25"/>
  <c r="F308" i="10"/>
  <c r="H113" i="25"/>
  <c r="H112" i="25"/>
  <c r="F181" i="25"/>
  <c r="F182" i="25"/>
  <c r="J308" i="25"/>
  <c r="G305" i="10"/>
  <c r="L101" i="25"/>
  <c r="L100" i="25"/>
  <c r="G212" i="25"/>
  <c r="G211" i="25"/>
  <c r="G213" i="25" s="1"/>
  <c r="J250" i="25"/>
  <c r="J251" i="25"/>
  <c r="F317" i="10"/>
  <c r="I194" i="25"/>
  <c r="I193" i="25"/>
  <c r="I195" i="25" s="1"/>
  <c r="K131" i="25"/>
  <c r="K130" i="25"/>
  <c r="D307" i="10"/>
  <c r="C199" i="10"/>
  <c r="F124" i="25"/>
  <c r="F125" i="25"/>
  <c r="H146" i="25"/>
  <c r="G333" i="10"/>
  <c r="J320" i="10"/>
  <c r="E320" i="10"/>
  <c r="N101" i="25"/>
  <c r="N100" i="25"/>
  <c r="N102" i="25" s="1"/>
  <c r="J307" i="10"/>
  <c r="G257" i="25"/>
  <c r="G256" i="25"/>
  <c r="G258" i="25" s="1"/>
  <c r="J308" i="10"/>
  <c r="F329" i="10"/>
  <c r="J334" i="10"/>
  <c r="H94" i="25"/>
  <c r="H96" i="25" s="1"/>
  <c r="H95" i="25"/>
  <c r="O119" i="25"/>
  <c r="O118" i="25"/>
  <c r="L188" i="25"/>
  <c r="L187" i="25"/>
  <c r="L189" i="25" s="1"/>
  <c r="F262" i="25"/>
  <c r="F264" i="25" s="1"/>
  <c r="F263" i="25"/>
  <c r="F334" i="10"/>
  <c r="G170" i="25"/>
  <c r="G169" i="25"/>
  <c r="E175" i="25"/>
  <c r="E176" i="25"/>
  <c r="J274" i="25"/>
  <c r="J275" i="25"/>
  <c r="N293" i="25"/>
  <c r="N292" i="25"/>
  <c r="J118" i="25"/>
  <c r="J119" i="25"/>
  <c r="F293" i="25"/>
  <c r="F292" i="25"/>
  <c r="F294" i="25" s="1"/>
  <c r="H308" i="10"/>
  <c r="J188" i="25"/>
  <c r="J187" i="25"/>
  <c r="J189" i="25" s="1"/>
  <c r="C243" i="10"/>
  <c r="D318" i="10"/>
  <c r="M257" i="25"/>
  <c r="M256" i="25"/>
  <c r="P81" i="25"/>
  <c r="D82" i="25"/>
  <c r="D83" i="25"/>
  <c r="G130" i="25"/>
  <c r="G131" i="25"/>
  <c r="F199" i="25"/>
  <c r="F201" i="25" s="1"/>
  <c r="F200" i="25"/>
  <c r="M125" i="25"/>
  <c r="M124" i="25"/>
  <c r="M126" i="25" s="1"/>
  <c r="E328" i="10"/>
  <c r="I324" i="10"/>
  <c r="I295" i="10"/>
  <c r="I296" i="10" s="1"/>
  <c r="H315" i="10"/>
  <c r="K308" i="25"/>
  <c r="L194" i="25"/>
  <c r="L193" i="25"/>
  <c r="K328" i="10"/>
  <c r="G300" i="10"/>
  <c r="G205" i="10"/>
  <c r="G206" i="10" s="1"/>
  <c r="H331" i="10"/>
  <c r="K89" i="25"/>
  <c r="K88" i="25"/>
  <c r="F327" i="10"/>
  <c r="I334" i="10"/>
  <c r="M263" i="25"/>
  <c r="M262" i="25"/>
  <c r="M264" i="25" s="1"/>
  <c r="L227" i="25"/>
  <c r="H321" i="10"/>
  <c r="F311" i="10"/>
  <c r="I262" i="25"/>
  <c r="I264" i="25" s="1"/>
  <c r="I263" i="25"/>
  <c r="L113" i="25"/>
  <c r="L112" i="25"/>
  <c r="K82" i="25"/>
  <c r="K83" i="25"/>
  <c r="I331" i="10"/>
  <c r="K304" i="10"/>
  <c r="J256" i="25"/>
  <c r="J258" i="25" s="1"/>
  <c r="J257" i="25"/>
  <c r="F250" i="10"/>
  <c r="F251" i="10" s="1"/>
  <c r="F312" i="10"/>
  <c r="D306" i="10"/>
  <c r="C198" i="10"/>
  <c r="C247" i="10"/>
  <c r="D322" i="10"/>
  <c r="G303" i="10"/>
  <c r="H164" i="25"/>
  <c r="H163" i="25"/>
  <c r="H83" i="25"/>
  <c r="H82" i="25"/>
  <c r="I176" i="25"/>
  <c r="I175" i="25"/>
  <c r="E316" i="10"/>
  <c r="O181" i="25"/>
  <c r="O183" i="25" s="1"/>
  <c r="O182" i="25"/>
  <c r="J301" i="10"/>
  <c r="H205" i="25"/>
  <c r="H207" i="25" s="1"/>
  <c r="H206" i="25"/>
  <c r="M206" i="25"/>
  <c r="M205" i="25"/>
  <c r="J146" i="25"/>
  <c r="J335" i="10"/>
  <c r="E327" i="10"/>
  <c r="E286" i="25"/>
  <c r="E287" i="25"/>
  <c r="N107" i="25"/>
  <c r="N106" i="25"/>
  <c r="J163" i="25"/>
  <c r="J164" i="25"/>
  <c r="L181" i="25"/>
  <c r="L182" i="25"/>
  <c r="E199" i="25"/>
  <c r="E201" i="25" s="1"/>
  <c r="E200" i="25"/>
  <c r="G327" i="10"/>
  <c r="F333" i="10"/>
  <c r="K332" i="10"/>
  <c r="H269" i="25"/>
  <c r="H268" i="25"/>
  <c r="K319" i="10"/>
  <c r="M169" i="25"/>
  <c r="M170" i="25"/>
  <c r="F146" i="25"/>
  <c r="O88" i="25"/>
  <c r="O89" i="25"/>
  <c r="F227" i="25"/>
  <c r="J181" i="25"/>
  <c r="J183" i="25" s="1"/>
  <c r="J182" i="25"/>
  <c r="E94" i="25"/>
  <c r="E95" i="25"/>
  <c r="F335" i="10"/>
  <c r="F320" i="10"/>
  <c r="J206" i="25"/>
  <c r="J205" i="25"/>
  <c r="J101" i="25"/>
  <c r="J100" i="25"/>
  <c r="J102" i="25" s="1"/>
  <c r="F318" i="10"/>
  <c r="H327" i="10"/>
  <c r="C245" i="10"/>
  <c r="D320" i="10"/>
  <c r="O244" i="25"/>
  <c r="O245" i="25"/>
  <c r="E101" i="25"/>
  <c r="E100" i="25"/>
  <c r="I113" i="25"/>
  <c r="I112" i="25"/>
  <c r="E325" i="10"/>
  <c r="L131" i="25"/>
  <c r="L130" i="25"/>
  <c r="H303" i="10"/>
  <c r="I323" i="10"/>
  <c r="F314" i="10"/>
  <c r="F95" i="25"/>
  <c r="F94" i="25"/>
  <c r="F96" i="25" s="1"/>
  <c r="C241" i="10"/>
  <c r="D316" i="10"/>
  <c r="G326" i="10"/>
  <c r="G329" i="10"/>
  <c r="F319" i="10"/>
  <c r="J309" i="10"/>
  <c r="G112" i="25"/>
  <c r="G114" i="25" s="1"/>
  <c r="G113" i="25"/>
  <c r="D124" i="25"/>
  <c r="D125" i="25"/>
  <c r="P123" i="25"/>
  <c r="L175" i="25"/>
  <c r="L177" i="25" s="1"/>
  <c r="L176" i="25"/>
  <c r="N200" i="25"/>
  <c r="N199" i="25"/>
  <c r="N201" i="25" s="1"/>
  <c r="J106" i="25"/>
  <c r="J108" i="25" s="1"/>
  <c r="J107" i="25"/>
  <c r="F316" i="10"/>
  <c r="H118" i="25"/>
  <c r="H120" i="25" s="1"/>
  <c r="H119" i="25"/>
  <c r="O269" i="25"/>
  <c r="O268" i="25"/>
  <c r="L205" i="10"/>
  <c r="L206" i="10" s="1"/>
  <c r="E131" i="25"/>
  <c r="E130" i="25"/>
  <c r="H334" i="10"/>
  <c r="F322" i="10"/>
  <c r="P210" i="25"/>
  <c r="D212" i="25"/>
  <c r="D211" i="25"/>
  <c r="J331" i="10"/>
  <c r="E304" i="10"/>
  <c r="G244" i="25"/>
  <c r="G245" i="25"/>
  <c r="K310" i="10"/>
  <c r="E301" i="10"/>
  <c r="L250" i="25"/>
  <c r="L252" i="25" s="1"/>
  <c r="L251" i="25"/>
  <c r="G146" i="25"/>
  <c r="H323" i="10"/>
  <c r="E295" i="10"/>
  <c r="E296" i="10" s="1"/>
  <c r="E324" i="10"/>
  <c r="E305" i="10"/>
  <c r="I306" i="10"/>
  <c r="F194" i="25"/>
  <c r="F193" i="25"/>
  <c r="K303" i="10"/>
  <c r="M244" i="25"/>
  <c r="M245" i="25"/>
  <c r="G118" i="25"/>
  <c r="G119" i="25"/>
  <c r="H107" i="25"/>
  <c r="H106" i="25"/>
  <c r="H287" i="25"/>
  <c r="H286" i="25"/>
  <c r="H288" i="25" s="1"/>
  <c r="G334" i="10"/>
  <c r="L263" i="25"/>
  <c r="L262" i="25"/>
  <c r="L264" i="25" s="1"/>
  <c r="F205" i="25"/>
  <c r="F206" i="25"/>
  <c r="G176" i="25"/>
  <c r="G175" i="25"/>
  <c r="D329" i="10"/>
  <c r="C287" i="10"/>
  <c r="M101" i="25"/>
  <c r="M100" i="25"/>
  <c r="O95" i="25"/>
  <c r="O94" i="25"/>
  <c r="E318" i="10"/>
  <c r="L89" i="25"/>
  <c r="L88" i="25"/>
  <c r="N308" i="25"/>
  <c r="E257" i="25"/>
  <c r="E256" i="25"/>
  <c r="E309" i="10"/>
  <c r="N94" i="25"/>
  <c r="N96" i="25" s="1"/>
  <c r="N95" i="25"/>
  <c r="H227" i="25"/>
  <c r="L250" i="10"/>
  <c r="L251" i="10" s="1"/>
  <c r="H319" i="10"/>
  <c r="E107" i="25"/>
  <c r="E106" i="25"/>
  <c r="G318" i="10"/>
  <c r="I227" i="25"/>
  <c r="C244" i="10"/>
  <c r="D319" i="10"/>
  <c r="M106" i="25"/>
  <c r="M107" i="25"/>
  <c r="K295" i="10"/>
  <c r="K296" i="10" s="1"/>
  <c r="K324" i="10"/>
  <c r="I313" i="10"/>
  <c r="H125" i="25"/>
  <c r="H124" i="25"/>
  <c r="I244" i="25"/>
  <c r="I245" i="25"/>
  <c r="J318" i="10"/>
  <c r="L287" i="25"/>
  <c r="L286" i="25"/>
  <c r="K188" i="25"/>
  <c r="K187" i="25"/>
  <c r="I200" i="25"/>
  <c r="I199" i="25"/>
  <c r="E317" i="10"/>
  <c r="E163" i="25"/>
  <c r="E164" i="25"/>
  <c r="O280" i="25"/>
  <c r="O281" i="25"/>
  <c r="F301" i="10"/>
  <c r="F112" i="25"/>
  <c r="F113" i="25"/>
  <c r="K170" i="25"/>
  <c r="K169" i="25"/>
  <c r="I319" i="10"/>
  <c r="J321" i="10"/>
  <c r="K334" i="10"/>
  <c r="G321" i="10"/>
  <c r="J330" i="10"/>
  <c r="H309" i="10"/>
  <c r="H300" i="10"/>
  <c r="H205" i="10"/>
  <c r="H206" i="10" s="1"/>
  <c r="N118" i="25"/>
  <c r="N119" i="25"/>
  <c r="H301" i="10"/>
  <c r="D269" i="25"/>
  <c r="P267" i="25"/>
  <c r="D268" i="25"/>
  <c r="J205" i="10"/>
  <c r="J206" i="10" s="1"/>
  <c r="J300" i="10"/>
  <c r="G307" i="10"/>
  <c r="G287" i="25"/>
  <c r="G286" i="25"/>
  <c r="I315" i="10"/>
  <c r="K256" i="25"/>
  <c r="K257" i="25"/>
  <c r="K251" i="25"/>
  <c r="K250" i="25"/>
  <c r="I119" i="25"/>
  <c r="I118" i="25"/>
  <c r="D317" i="10"/>
  <c r="C242" i="10"/>
  <c r="F169" i="25"/>
  <c r="F170" i="25"/>
  <c r="N89" i="25"/>
  <c r="N88" i="25"/>
  <c r="J329" i="10"/>
  <c r="C192" i="10"/>
  <c r="D205" i="10"/>
  <c r="D206" i="10" s="1"/>
  <c r="D300" i="10"/>
  <c r="J302" i="10"/>
  <c r="D113" i="25"/>
  <c r="D112" i="25"/>
  <c r="P111" i="25"/>
  <c r="O169" i="25"/>
  <c r="O170" i="25"/>
  <c r="O124" i="25"/>
  <c r="O125" i="25"/>
  <c r="O106" i="25"/>
  <c r="O107" i="25"/>
  <c r="I181" i="25"/>
  <c r="I182" i="25"/>
  <c r="M131" i="25"/>
  <c r="M130" i="25"/>
  <c r="J227" i="25"/>
  <c r="L206" i="25"/>
  <c r="L205" i="25"/>
  <c r="E310" i="10"/>
  <c r="P186" i="25"/>
  <c r="D187" i="25"/>
  <c r="D188" i="25"/>
  <c r="O257" i="25"/>
  <c r="O256" i="25"/>
  <c r="H333" i="10"/>
  <c r="H335" i="10"/>
  <c r="D118" i="25"/>
  <c r="D119" i="25"/>
  <c r="P117" i="25"/>
  <c r="O274" i="25"/>
  <c r="O275" i="25"/>
  <c r="G301" i="10"/>
  <c r="C284" i="10"/>
  <c r="D326" i="10"/>
  <c r="M268" i="25"/>
  <c r="M269" i="25"/>
  <c r="C288" i="10"/>
  <c r="D330" i="10"/>
  <c r="K107" i="25"/>
  <c r="K106" i="25"/>
  <c r="K108" i="25" s="1"/>
  <c r="I320" i="10"/>
  <c r="D304" i="10"/>
  <c r="C196" i="10"/>
  <c r="E182" i="25"/>
  <c r="E181" i="25"/>
  <c r="I327" i="10"/>
  <c r="N268" i="25"/>
  <c r="N269" i="25"/>
  <c r="J315" i="10"/>
  <c r="C201" i="10"/>
  <c r="D309" i="10"/>
  <c r="E333" i="10"/>
  <c r="I330" i="10"/>
  <c r="L295" i="10"/>
  <c r="L296" i="10" s="1"/>
  <c r="K325" i="10"/>
  <c r="P261" i="25"/>
  <c r="D263" i="25"/>
  <c r="D262" i="25"/>
  <c r="G311" i="10"/>
  <c r="N130" i="25"/>
  <c r="N131" i="25"/>
  <c r="H280" i="25"/>
  <c r="H281" i="25"/>
  <c r="I95" i="25"/>
  <c r="I94" i="25"/>
  <c r="E303" i="10"/>
  <c r="F176" i="25"/>
  <c r="F175" i="25"/>
  <c r="G281" i="25"/>
  <c r="G280" i="25"/>
  <c r="N193" i="25"/>
  <c r="N194" i="25"/>
  <c r="J324" i="10"/>
  <c r="J295" i="10"/>
  <c r="J296" i="10" s="1"/>
  <c r="O262" i="25"/>
  <c r="O263" i="25"/>
  <c r="K308" i="10"/>
  <c r="E308" i="25"/>
  <c r="H322" i="10"/>
  <c r="N112" i="25"/>
  <c r="N114" i="25" s="1"/>
  <c r="N113" i="25"/>
  <c r="I322" i="10"/>
  <c r="G323" i="10"/>
  <c r="J124" i="25"/>
  <c r="J125" i="25"/>
  <c r="E193" i="25"/>
  <c r="E195" i="25" s="1"/>
  <c r="E194" i="25"/>
  <c r="M176" i="25"/>
  <c r="M175" i="25"/>
  <c r="D205" i="25"/>
  <c r="D206" i="25"/>
  <c r="P204" i="25"/>
  <c r="D281" i="25"/>
  <c r="P279" i="25"/>
  <c r="D280" i="25"/>
  <c r="I250" i="10"/>
  <c r="I251" i="10" s="1"/>
  <c r="I312" i="10"/>
  <c r="N251" i="25"/>
  <c r="N250" i="25"/>
  <c r="G330" i="10"/>
  <c r="F302" i="10"/>
  <c r="J200" i="25"/>
  <c r="J199" i="25"/>
  <c r="J201" i="25" s="1"/>
  <c r="E206" i="25"/>
  <c r="E205" i="25"/>
  <c r="G292" i="25"/>
  <c r="G293" i="25"/>
  <c r="I302" i="10"/>
  <c r="H194" i="25"/>
  <c r="H193" i="25"/>
  <c r="E335" i="10"/>
  <c r="G313" i="10"/>
  <c r="J332" i="10"/>
  <c r="M308" i="25"/>
  <c r="F268" i="25"/>
  <c r="F270" i="25" s="1"/>
  <c r="F269" i="25"/>
  <c r="L211" i="25"/>
  <c r="L212" i="25"/>
  <c r="J323" i="10"/>
  <c r="I326" i="10"/>
  <c r="E169" i="25"/>
  <c r="E171" i="25" s="1"/>
  <c r="E170" i="25"/>
  <c r="K287" i="25"/>
  <c r="K286" i="25"/>
  <c r="K288" i="25" s="1"/>
  <c r="P225" i="25"/>
  <c r="D227" i="25"/>
  <c r="N169" i="25"/>
  <c r="N171" i="25" s="1"/>
  <c r="N170" i="25"/>
  <c r="F300" i="10"/>
  <c r="F205" i="10"/>
  <c r="F206" i="10" s="1"/>
  <c r="H188" i="25"/>
  <c r="H187" i="25"/>
  <c r="G322" i="10"/>
  <c r="K315" i="10"/>
  <c r="K124" i="25"/>
  <c r="K125" i="25"/>
  <c r="G106" i="25"/>
  <c r="G107" i="25"/>
  <c r="H88" i="25"/>
  <c r="H90" i="25" s="1"/>
  <c r="H89" i="25"/>
  <c r="F324" i="10"/>
  <c r="F295" i="10"/>
  <c r="F296" i="10" s="1"/>
  <c r="M286" i="25"/>
  <c r="M287" i="25"/>
  <c r="H307" i="10"/>
  <c r="J312" i="10"/>
  <c r="J250" i="10"/>
  <c r="J251" i="10" s="1"/>
  <c r="L164" i="25"/>
  <c r="L216" i="25" s="1"/>
  <c r="L163" i="25"/>
  <c r="K146" i="25"/>
  <c r="K250" i="10"/>
  <c r="K251" i="10" s="1"/>
  <c r="K312" i="10"/>
  <c r="I212" i="25"/>
  <c r="I211" i="25"/>
  <c r="I213" i="25" s="1"/>
  <c r="G163" i="25"/>
  <c r="G164" i="25"/>
  <c r="G216" i="25" s="1"/>
  <c r="J280" i="25"/>
  <c r="J282" i="25" s="1"/>
  <c r="J281" i="25"/>
  <c r="G328" i="10"/>
  <c r="O211" i="25"/>
  <c r="O213" i="25" s="1"/>
  <c r="O212" i="25"/>
  <c r="N227" i="25"/>
  <c r="J194" i="25"/>
  <c r="J193" i="25"/>
  <c r="E275" i="25"/>
  <c r="E274" i="25"/>
  <c r="E276" i="25" s="1"/>
  <c r="J175" i="25"/>
  <c r="J176" i="25"/>
  <c r="E307" i="10"/>
  <c r="I300" i="10"/>
  <c r="I205" i="10"/>
  <c r="I206" i="10" s="1"/>
  <c r="F313" i="10"/>
  <c r="N256" i="25"/>
  <c r="N257" i="25"/>
  <c r="J310" i="10"/>
  <c r="E321" i="10"/>
  <c r="N274" i="25"/>
  <c r="N275" i="25"/>
  <c r="E245" i="25"/>
  <c r="E244" i="25"/>
  <c r="E315" i="10"/>
  <c r="D193" i="25"/>
  <c r="P192" i="25"/>
  <c r="D194" i="25"/>
  <c r="L124" i="25"/>
  <c r="L125" i="25"/>
  <c r="O83" i="25"/>
  <c r="O82" i="25"/>
  <c r="I328" i="10"/>
  <c r="F118" i="25"/>
  <c r="F120" i="25" s="1"/>
  <c r="F119" i="25"/>
  <c r="H306" i="10"/>
  <c r="K101" i="25"/>
  <c r="K100" i="25"/>
  <c r="D327" i="10"/>
  <c r="C285" i="10"/>
  <c r="K274" i="25"/>
  <c r="K275" i="25"/>
  <c r="G95" i="25"/>
  <c r="G94" i="25"/>
  <c r="F310" i="10"/>
  <c r="N187" i="25"/>
  <c r="N189" i="25" s="1"/>
  <c r="N188" i="25"/>
  <c r="M89" i="25"/>
  <c r="M88" i="25"/>
  <c r="M90" i="25" s="1"/>
  <c r="H176" i="25"/>
  <c r="H175" i="25"/>
  <c r="H177" i="25" s="1"/>
  <c r="J311" i="10"/>
  <c r="O146" i="25"/>
  <c r="L95" i="25"/>
  <c r="L94" i="25"/>
  <c r="L96" i="25" s="1"/>
  <c r="K212" i="25"/>
  <c r="K211" i="25"/>
  <c r="K213" i="25" s="1"/>
  <c r="D301" i="10"/>
  <c r="C193" i="10"/>
  <c r="H330" i="10"/>
  <c r="G309" i="10"/>
  <c r="M182" i="25"/>
  <c r="M181" i="25"/>
  <c r="M183" i="25" s="1"/>
  <c r="F100" i="25"/>
  <c r="F102" i="25" s="1"/>
  <c r="F101" i="25"/>
  <c r="I316" i="10"/>
  <c r="I332" i="10"/>
  <c r="E268" i="25"/>
  <c r="E269" i="25"/>
  <c r="J131" i="25"/>
  <c r="J130" i="25"/>
  <c r="N212" i="25"/>
  <c r="N211" i="25"/>
  <c r="N213" i="25" s="1"/>
  <c r="C197" i="10"/>
  <c r="D305" i="10"/>
  <c r="I308" i="25"/>
  <c r="D287" i="25"/>
  <c r="P285" i="25"/>
  <c r="D286" i="25"/>
  <c r="G331" i="10"/>
  <c r="K175" i="25"/>
  <c r="K176" i="25"/>
  <c r="J286" i="25"/>
  <c r="J287" i="25"/>
  <c r="K309" i="10"/>
  <c r="H170" i="25"/>
  <c r="H169" i="25"/>
  <c r="H171" i="25" s="1"/>
  <c r="E124" i="25"/>
  <c r="E126" i="25" s="1"/>
  <c r="E125" i="25"/>
  <c r="G295" i="10"/>
  <c r="G296" i="10" s="1"/>
  <c r="G324" i="10"/>
  <c r="F332" i="10"/>
  <c r="F304" i="10"/>
  <c r="P129" i="25"/>
  <c r="D131" i="25"/>
  <c r="D130" i="25"/>
  <c r="F308" i="25"/>
  <c r="H310" i="10"/>
  <c r="C289" i="10"/>
  <c r="D331" i="10"/>
  <c r="J112" i="25"/>
  <c r="J113" i="25"/>
  <c r="J314" i="10"/>
  <c r="I318" i="10"/>
  <c r="G319" i="10"/>
  <c r="G88" i="25"/>
  <c r="G90" i="25" s="1"/>
  <c r="G89" i="25"/>
  <c r="N163" i="25"/>
  <c r="N164" i="25"/>
  <c r="I124" i="25"/>
  <c r="I125" i="25"/>
  <c r="N182" i="25"/>
  <c r="N181" i="25"/>
  <c r="H329" i="10"/>
  <c r="F211" i="25"/>
  <c r="F213" i="25" s="1"/>
  <c r="F212" i="25"/>
  <c r="F245" i="25"/>
  <c r="F297" i="25" s="1"/>
  <c r="F244" i="25"/>
  <c r="O308" i="25"/>
  <c r="E118" i="25"/>
  <c r="E119" i="25"/>
  <c r="K302" i="10"/>
  <c r="G316" i="10"/>
  <c r="K112" i="25"/>
  <c r="K114" i="25" s="1"/>
  <c r="K113" i="25"/>
  <c r="O163" i="25"/>
  <c r="O164" i="25"/>
  <c r="H250" i="25"/>
  <c r="H251" i="25"/>
  <c r="H295" i="10"/>
  <c r="H296" i="10" s="1"/>
  <c r="H324" i="10"/>
  <c r="N286" i="25"/>
  <c r="N287" i="25"/>
  <c r="J322" i="10"/>
  <c r="N280" i="25"/>
  <c r="N281" i="25"/>
  <c r="G332" i="10"/>
  <c r="K280" i="25"/>
  <c r="K281" i="25"/>
  <c r="H293" i="25"/>
  <c r="H292" i="25"/>
  <c r="H294" i="25" s="1"/>
  <c r="J95" i="25"/>
  <c r="J94" i="25"/>
  <c r="J211" i="25"/>
  <c r="J212" i="25"/>
  <c r="F106" i="25"/>
  <c r="F107" i="25"/>
  <c r="H182" i="25"/>
  <c r="H181" i="25"/>
  <c r="F326" i="10"/>
  <c r="M187" i="25"/>
  <c r="M189" i="25" s="1"/>
  <c r="M188" i="25"/>
  <c r="I310" i="10"/>
  <c r="G304" i="10"/>
  <c r="I303" i="10"/>
  <c r="I333" i="10"/>
  <c r="O113" i="25"/>
  <c r="O112" i="25"/>
  <c r="N82" i="25"/>
  <c r="N83" i="25"/>
  <c r="N135" i="25" s="1"/>
  <c r="H312" i="10"/>
  <c r="H250" i="10"/>
  <c r="H251" i="10" s="1"/>
  <c r="K182" i="25"/>
  <c r="K181" i="25"/>
  <c r="J327" i="10"/>
  <c r="I268" i="25"/>
  <c r="I270" i="25" s="1"/>
  <c r="I269" i="25"/>
  <c r="O205" i="25"/>
  <c r="O206" i="25"/>
  <c r="L268" i="25"/>
  <c r="L269" i="25"/>
  <c r="F323" i="10"/>
  <c r="J313" i="10"/>
  <c r="F307" i="10"/>
  <c r="M146" i="25"/>
  <c r="I321" i="10"/>
  <c r="K193" i="25"/>
  <c r="K194" i="25"/>
  <c r="N263" i="25"/>
  <c r="N262" i="25"/>
  <c r="N264" i="25" s="1"/>
  <c r="O194" i="25"/>
  <c r="O195" i="25" s="1"/>
  <c r="O193" i="25"/>
  <c r="I314" i="10"/>
  <c r="H256" i="25"/>
  <c r="H258" i="25" s="1"/>
  <c r="H257" i="25"/>
  <c r="H274" i="25"/>
  <c r="H275" i="25"/>
  <c r="K94" i="25"/>
  <c r="K95" i="25"/>
  <c r="E280" i="25"/>
  <c r="E282" i="25" s="1"/>
  <c r="E281" i="25"/>
  <c r="G312" i="10"/>
  <c r="G250" i="10"/>
  <c r="G251" i="10" s="1"/>
  <c r="K323" i="10"/>
  <c r="F164" i="25"/>
  <c r="F216" i="25" s="1"/>
  <c r="F163" i="25"/>
  <c r="H328" i="10"/>
  <c r="L322" i="10"/>
  <c r="L314" i="10"/>
  <c r="L318" i="10"/>
  <c r="L316" i="10"/>
  <c r="J224" i="27"/>
  <c r="L321" i="10"/>
  <c r="D224" i="27"/>
  <c r="L333" i="10"/>
  <c r="L327" i="10"/>
  <c r="L326" i="10"/>
  <c r="L328" i="10"/>
  <c r="H224" i="27"/>
  <c r="L324" i="10"/>
  <c r="L313" i="10"/>
  <c r="L317" i="10"/>
  <c r="L320" i="10"/>
  <c r="L330" i="10"/>
  <c r="L307" i="10"/>
  <c r="L305" i="10"/>
  <c r="L335" i="10"/>
  <c r="L306" i="10"/>
  <c r="L301" i="10"/>
  <c r="L331" i="10"/>
  <c r="I224" i="27"/>
  <c r="L334" i="10"/>
  <c r="L325" i="10"/>
  <c r="L224" i="27"/>
  <c r="L309" i="10"/>
  <c r="K224" i="27"/>
  <c r="L300" i="10"/>
  <c r="L311" i="10"/>
  <c r="E224" i="27"/>
  <c r="L329" i="10"/>
  <c r="M224" i="27"/>
  <c r="L304" i="10"/>
  <c r="L332" i="10"/>
  <c r="L319" i="10"/>
  <c r="C224" i="27"/>
  <c r="G224" i="27"/>
  <c r="L310" i="10"/>
  <c r="L303" i="10"/>
  <c r="L308" i="10"/>
  <c r="L315" i="10"/>
  <c r="L312" i="10"/>
  <c r="F224" i="27"/>
  <c r="N224" i="27"/>
  <c r="L302" i="10"/>
  <c r="L323" i="10"/>
  <c r="G288" i="25" l="1"/>
  <c r="L288" i="25"/>
  <c r="E252" i="25"/>
  <c r="K120" i="25"/>
  <c r="L258" i="25"/>
  <c r="H102" i="25"/>
  <c r="J294" i="25"/>
  <c r="G294" i="25"/>
  <c r="O108" i="25"/>
  <c r="M258" i="25"/>
  <c r="O120" i="25"/>
  <c r="I132" i="25"/>
  <c r="H189" i="25"/>
  <c r="E183" i="25"/>
  <c r="O276" i="25"/>
  <c r="O258" i="25"/>
  <c r="L207" i="25"/>
  <c r="M132" i="25"/>
  <c r="I183" i="25"/>
  <c r="O171" i="25"/>
  <c r="N90" i="25"/>
  <c r="F171" i="25"/>
  <c r="I120" i="25"/>
  <c r="I201" i="25"/>
  <c r="H126" i="25"/>
  <c r="M108" i="25"/>
  <c r="M102" i="25"/>
  <c r="O90" i="25"/>
  <c r="M171" i="25"/>
  <c r="F90" i="25"/>
  <c r="E189" i="25"/>
  <c r="G195" i="25"/>
  <c r="H276" i="25"/>
  <c r="K96" i="25"/>
  <c r="L270" i="25"/>
  <c r="K183" i="25"/>
  <c r="O114" i="25"/>
  <c r="H183" i="25"/>
  <c r="F108" i="25"/>
  <c r="J96" i="25"/>
  <c r="H252" i="25"/>
  <c r="N183" i="25"/>
  <c r="I126" i="25"/>
  <c r="J114" i="25"/>
  <c r="P131" i="25"/>
  <c r="J288" i="25"/>
  <c r="P287" i="25"/>
  <c r="J132" i="25"/>
  <c r="E270" i="25"/>
  <c r="G96" i="25"/>
  <c r="K276" i="25"/>
  <c r="K102" i="25"/>
  <c r="O84" i="25"/>
  <c r="O134" i="25"/>
  <c r="L126" i="25"/>
  <c r="P193" i="25"/>
  <c r="D195" i="25"/>
  <c r="E297" i="25"/>
  <c r="N258" i="25"/>
  <c r="J177" i="25"/>
  <c r="J195" i="25"/>
  <c r="G165" i="25"/>
  <c r="G215" i="25"/>
  <c r="L215" i="25"/>
  <c r="L165" i="25"/>
  <c r="M288" i="25"/>
  <c r="G108" i="25"/>
  <c r="H195" i="25"/>
  <c r="D282" i="25"/>
  <c r="P280" i="25"/>
  <c r="M177" i="25"/>
  <c r="N195" i="25"/>
  <c r="F177" i="25"/>
  <c r="I96" i="25"/>
  <c r="H282" i="25"/>
  <c r="N270" i="25"/>
  <c r="M270" i="25"/>
  <c r="O126" i="25"/>
  <c r="E165" i="25"/>
  <c r="E215" i="25"/>
  <c r="I297" i="25"/>
  <c r="E258" i="25"/>
  <c r="L90" i="25"/>
  <c r="O96" i="25"/>
  <c r="G177" i="25"/>
  <c r="F207" i="25"/>
  <c r="H108" i="25"/>
  <c r="G120" i="25"/>
  <c r="P212" i="25"/>
  <c r="E102" i="25"/>
  <c r="O296" i="25"/>
  <c r="O246" i="25"/>
  <c r="E96" i="25"/>
  <c r="L183" i="25"/>
  <c r="N108" i="25"/>
  <c r="E288" i="25"/>
  <c r="I177" i="25"/>
  <c r="H135" i="25"/>
  <c r="K84" i="25"/>
  <c r="K134" i="25"/>
  <c r="K90" i="25"/>
  <c r="L195" i="25"/>
  <c r="G132" i="25"/>
  <c r="N294" i="25"/>
  <c r="J276" i="25"/>
  <c r="G171" i="25"/>
  <c r="F126" i="25"/>
  <c r="K132" i="25"/>
  <c r="J252" i="25"/>
  <c r="L102" i="25"/>
  <c r="H114" i="25"/>
  <c r="M276" i="25"/>
  <c r="P245" i="25"/>
  <c r="D297" i="25"/>
  <c r="P95" i="25"/>
  <c r="F132" i="25"/>
  <c r="L108" i="25"/>
  <c r="P308" i="25"/>
  <c r="G179" i="27" s="1"/>
  <c r="H184" i="27" s="1"/>
  <c r="G102" i="25"/>
  <c r="P257" i="25"/>
  <c r="P107" i="25"/>
  <c r="H132" i="25"/>
  <c r="O252" i="25"/>
  <c r="M134" i="25"/>
  <c r="M84" i="25"/>
  <c r="J171" i="25"/>
  <c r="L297" i="25"/>
  <c r="P163" i="25"/>
  <c r="D165" i="25"/>
  <c r="D215" i="25"/>
  <c r="I215" i="25"/>
  <c r="I165" i="25"/>
  <c r="K216" i="25"/>
  <c r="P251" i="25"/>
  <c r="F84" i="25"/>
  <c r="F134" i="25"/>
  <c r="I207" i="25"/>
  <c r="F288" i="25"/>
  <c r="E294" i="25"/>
  <c r="O102" i="25"/>
  <c r="I171" i="25"/>
  <c r="E213" i="25"/>
  <c r="G207" i="25"/>
  <c r="I189" i="25"/>
  <c r="M165" i="25"/>
  <c r="M215" i="25"/>
  <c r="D90" i="25"/>
  <c r="P88" i="25"/>
  <c r="D183" i="25"/>
  <c r="P181" i="25"/>
  <c r="E135" i="25"/>
  <c r="P176" i="25"/>
  <c r="G135" i="25"/>
  <c r="G276" i="25"/>
  <c r="J297" i="25"/>
  <c r="P275" i="25"/>
  <c r="P169" i="25"/>
  <c r="D171" i="25"/>
  <c r="L201" i="25"/>
  <c r="I252" i="25"/>
  <c r="I134" i="25"/>
  <c r="I84" i="25"/>
  <c r="H297" i="25"/>
  <c r="N207" i="25"/>
  <c r="M252" i="25"/>
  <c r="N177" i="25"/>
  <c r="J135" i="25"/>
  <c r="L294" i="25"/>
  <c r="I282" i="25"/>
  <c r="O216" i="25"/>
  <c r="F296" i="25"/>
  <c r="F246" i="25"/>
  <c r="N216" i="25"/>
  <c r="P286" i="25"/>
  <c r="D288" i="25"/>
  <c r="O135" i="25"/>
  <c r="P194" i="25"/>
  <c r="P206" i="25"/>
  <c r="G282" i="25"/>
  <c r="D264" i="25"/>
  <c r="P262" i="25"/>
  <c r="P119" i="25"/>
  <c r="P188" i="25"/>
  <c r="D114" i="25"/>
  <c r="P112" i="25"/>
  <c r="K252" i="25"/>
  <c r="K258" i="25"/>
  <c r="P269" i="25"/>
  <c r="N120" i="25"/>
  <c r="K171" i="25"/>
  <c r="F114" i="25"/>
  <c r="O282" i="25"/>
  <c r="K189" i="25"/>
  <c r="I246" i="25"/>
  <c r="I296" i="25"/>
  <c r="E108" i="25"/>
  <c r="M297" i="25"/>
  <c r="F195" i="25"/>
  <c r="G297" i="25"/>
  <c r="E132" i="25"/>
  <c r="O270" i="25"/>
  <c r="P125" i="25"/>
  <c r="L132" i="25"/>
  <c r="I114" i="25"/>
  <c r="J207" i="25"/>
  <c r="H270" i="25"/>
  <c r="J216" i="25"/>
  <c r="M207" i="25"/>
  <c r="H215" i="25"/>
  <c r="H165" i="25"/>
  <c r="L114" i="25"/>
  <c r="P83" i="25"/>
  <c r="D135" i="25"/>
  <c r="M120" i="25"/>
  <c r="P256" i="25"/>
  <c r="D258" i="25"/>
  <c r="D108" i="25"/>
  <c r="P108" i="25" s="1"/>
  <c r="P106" i="25"/>
  <c r="P100" i="25"/>
  <c r="D102" i="25"/>
  <c r="P102" i="25" s="1"/>
  <c r="H201" i="25"/>
  <c r="J90" i="25"/>
  <c r="K297" i="25"/>
  <c r="L296" i="25"/>
  <c r="L246" i="25"/>
  <c r="L298" i="25" s="1"/>
  <c r="M213" i="25"/>
  <c r="L84" i="25"/>
  <c r="L136" i="25" s="1"/>
  <c r="L134" i="25"/>
  <c r="I216" i="25"/>
  <c r="I288" i="25"/>
  <c r="K165" i="25"/>
  <c r="K215" i="25"/>
  <c r="P200" i="25"/>
  <c r="F135" i="25"/>
  <c r="M195" i="25"/>
  <c r="P182" i="25"/>
  <c r="E84" i="25"/>
  <c r="E134" i="25"/>
  <c r="J246" i="25"/>
  <c r="J296" i="25"/>
  <c r="P170" i="25"/>
  <c r="I135" i="25"/>
  <c r="P293" i="25"/>
  <c r="J134" i="25"/>
  <c r="J84" i="25"/>
  <c r="N297" i="25"/>
  <c r="P146" i="25"/>
  <c r="F165" i="25"/>
  <c r="F215" i="25"/>
  <c r="K195" i="25"/>
  <c r="O207" i="25"/>
  <c r="N84" i="25"/>
  <c r="N134" i="25"/>
  <c r="J213" i="25"/>
  <c r="K282" i="25"/>
  <c r="N282" i="25"/>
  <c r="N288" i="25"/>
  <c r="O215" i="25"/>
  <c r="O165" i="25"/>
  <c r="E120" i="25"/>
  <c r="N165" i="25"/>
  <c r="N217" i="25" s="1"/>
  <c r="N230" i="25" s="1"/>
  <c r="N215" i="25"/>
  <c r="P130" i="25"/>
  <c r="D132" i="25"/>
  <c r="K177" i="25"/>
  <c r="E246" i="25"/>
  <c r="E296" i="25"/>
  <c r="N276" i="25"/>
  <c r="K126" i="25"/>
  <c r="P227" i="25"/>
  <c r="F179" i="27" s="1"/>
  <c r="G184" i="27" s="1"/>
  <c r="L213" i="25"/>
  <c r="E207" i="25"/>
  <c r="N252" i="25"/>
  <c r="P281" i="25"/>
  <c r="D207" i="25"/>
  <c r="P207" i="25" s="1"/>
  <c r="P205" i="25"/>
  <c r="J126" i="25"/>
  <c r="O264" i="25"/>
  <c r="N132" i="25"/>
  <c r="P263" i="25"/>
  <c r="D120" i="25"/>
  <c r="P118" i="25"/>
  <c r="D189" i="25"/>
  <c r="P187" i="25"/>
  <c r="P113" i="25"/>
  <c r="D270" i="25"/>
  <c r="P270" i="25" s="1"/>
  <c r="P268" i="25"/>
  <c r="E216" i="25"/>
  <c r="M296" i="25"/>
  <c r="M246" i="25"/>
  <c r="M298" i="25" s="1"/>
  <c r="M311" i="25" s="1"/>
  <c r="G296" i="25"/>
  <c r="G246" i="25"/>
  <c r="G298" i="25" s="1"/>
  <c r="G311" i="25" s="1"/>
  <c r="D213" i="25"/>
  <c r="P213" i="25" s="1"/>
  <c r="P211" i="25"/>
  <c r="P124" i="25"/>
  <c r="D126" i="25"/>
  <c r="O297" i="25"/>
  <c r="J165" i="25"/>
  <c r="J217" i="25" s="1"/>
  <c r="J230" i="25" s="1"/>
  <c r="J215" i="25"/>
  <c r="H84" i="25"/>
  <c r="H136" i="25" s="1"/>
  <c r="H149" i="25" s="1"/>
  <c r="H134" i="25"/>
  <c r="H216" i="25"/>
  <c r="K135" i="25"/>
  <c r="D134" i="25"/>
  <c r="D84" i="25"/>
  <c r="P82" i="25"/>
  <c r="J120" i="25"/>
  <c r="E177" i="25"/>
  <c r="F183" i="25"/>
  <c r="P244" i="25"/>
  <c r="D296" i="25"/>
  <c r="D246" i="25"/>
  <c r="P94" i="25"/>
  <c r="D96" i="25"/>
  <c r="P96" i="25" s="1"/>
  <c r="P101" i="25"/>
  <c r="M135" i="25"/>
  <c r="K246" i="25"/>
  <c r="K298" i="25" s="1"/>
  <c r="K311" i="25" s="1"/>
  <c r="K296" i="25"/>
  <c r="I276" i="25"/>
  <c r="P164" i="25"/>
  <c r="D216" i="25"/>
  <c r="L135" i="25"/>
  <c r="D201" i="25"/>
  <c r="P199" i="25"/>
  <c r="F282" i="25"/>
  <c r="D252" i="25"/>
  <c r="P252" i="25" s="1"/>
  <c r="P250" i="25"/>
  <c r="F258" i="25"/>
  <c r="E264" i="25"/>
  <c r="O201" i="25"/>
  <c r="M201" i="25"/>
  <c r="M216" i="25"/>
  <c r="P89" i="25"/>
  <c r="J264" i="25"/>
  <c r="O189" i="25"/>
  <c r="L171" i="25"/>
  <c r="D177" i="25"/>
  <c r="P175" i="25"/>
  <c r="G134" i="25"/>
  <c r="G84" i="25"/>
  <c r="G136" i="25" s="1"/>
  <c r="G149" i="25" s="1"/>
  <c r="P274" i="25"/>
  <c r="D276" i="25"/>
  <c r="H296" i="25"/>
  <c r="H246" i="25"/>
  <c r="H298" i="25" s="1"/>
  <c r="H311" i="25" s="1"/>
  <c r="I90" i="25"/>
  <c r="D294" i="25"/>
  <c r="P294" i="25" s="1"/>
  <c r="P292" i="25"/>
  <c r="I258" i="25"/>
  <c r="N296" i="25"/>
  <c r="N246" i="25"/>
  <c r="N298" i="25" s="1"/>
  <c r="N311" i="25" s="1"/>
  <c r="F221" i="27"/>
  <c r="L222" i="27"/>
  <c r="K221" i="27"/>
  <c r="F222" i="27"/>
  <c r="E221" i="27"/>
  <c r="C222" i="27"/>
  <c r="G221" i="27"/>
  <c r="J221" i="27"/>
  <c r="G222" i="27"/>
  <c r="N222" i="27"/>
  <c r="K222" i="27"/>
  <c r="I221" i="27"/>
  <c r="N221" i="27"/>
  <c r="M222" i="27"/>
  <c r="I222" i="27"/>
  <c r="C221" i="27"/>
  <c r="L221" i="27"/>
  <c r="H222" i="27"/>
  <c r="H221" i="27"/>
  <c r="D221" i="27"/>
  <c r="J222" i="27"/>
  <c r="M221" i="27"/>
  <c r="D222" i="27"/>
  <c r="E222" i="27"/>
  <c r="P296" i="25" l="1"/>
  <c r="P276" i="25"/>
  <c r="P177" i="25"/>
  <c r="P201" i="25"/>
  <c r="P134" i="25"/>
  <c r="P126" i="25"/>
  <c r="P120" i="25"/>
  <c r="E298" i="25"/>
  <c r="E311" i="25" s="1"/>
  <c r="F217" i="25"/>
  <c r="J136" i="25"/>
  <c r="J149" i="25" s="1"/>
  <c r="J298" i="25"/>
  <c r="L149" i="25"/>
  <c r="P135" i="25"/>
  <c r="D174" i="27" s="1"/>
  <c r="H217" i="25"/>
  <c r="H230" i="25" s="1"/>
  <c r="P114" i="25"/>
  <c r="P288" i="25"/>
  <c r="P171" i="25"/>
  <c r="P183" i="25"/>
  <c r="M136" i="25"/>
  <c r="M149" i="25" s="1"/>
  <c r="O298" i="25"/>
  <c r="P90" i="25"/>
  <c r="L217" i="25"/>
  <c r="G217" i="25"/>
  <c r="G230" i="25" s="1"/>
  <c r="O136" i="25"/>
  <c r="P216" i="25"/>
  <c r="E174" i="27" s="1"/>
  <c r="P246" i="25"/>
  <c r="D298" i="25"/>
  <c r="P189" i="25"/>
  <c r="O217" i="25"/>
  <c r="E179" i="27"/>
  <c r="E136" i="27"/>
  <c r="P132" i="25"/>
  <c r="P264" i="25"/>
  <c r="F298" i="25"/>
  <c r="M217" i="25"/>
  <c r="M230" i="25" s="1"/>
  <c r="P215" i="25"/>
  <c r="E217" i="25"/>
  <c r="E230" i="25" s="1"/>
  <c r="G136" i="27"/>
  <c r="G141" i="27"/>
  <c r="G146" i="27"/>
  <c r="F173" i="27"/>
  <c r="D136" i="25"/>
  <c r="P84" i="25"/>
  <c r="N136" i="25"/>
  <c r="N149" i="25" s="1"/>
  <c r="E136" i="25"/>
  <c r="E149" i="25" s="1"/>
  <c r="K217" i="25"/>
  <c r="K230" i="25" s="1"/>
  <c r="L311" i="25"/>
  <c r="P258" i="25"/>
  <c r="I298" i="25"/>
  <c r="I136" i="25"/>
  <c r="F136" i="25"/>
  <c r="I217" i="25"/>
  <c r="D217" i="25"/>
  <c r="P165" i="25"/>
  <c r="P297" i="25"/>
  <c r="F174" i="27" s="1"/>
  <c r="K136" i="25"/>
  <c r="P282" i="25"/>
  <c r="P195" i="25"/>
  <c r="G223" i="27"/>
  <c r="F223" i="27"/>
  <c r="C223" i="27"/>
  <c r="I223" i="27"/>
  <c r="K223" i="27"/>
  <c r="H223" i="27"/>
  <c r="L223" i="27"/>
  <c r="E223" i="27"/>
  <c r="M223" i="27"/>
  <c r="N223" i="27"/>
  <c r="J223" i="27"/>
  <c r="D223" i="27"/>
  <c r="D230" i="25" l="1"/>
  <c r="P217" i="25"/>
  <c r="E175" i="27" s="1"/>
  <c r="I149" i="25"/>
  <c r="O230" i="25"/>
  <c r="O311" i="25"/>
  <c r="J311" i="25"/>
  <c r="E141" i="27"/>
  <c r="D173" i="27"/>
  <c r="E146" i="27"/>
  <c r="K149" i="25"/>
  <c r="I311" i="25"/>
  <c r="G174" i="27"/>
  <c r="I230" i="25"/>
  <c r="F311" i="25"/>
  <c r="L230" i="25"/>
  <c r="F149" i="25"/>
  <c r="P136" i="25"/>
  <c r="D175" i="27" s="1"/>
  <c r="G175" i="27" s="1"/>
  <c r="D149" i="25"/>
  <c r="F136" i="27"/>
  <c r="F146" i="27"/>
  <c r="E173" i="27"/>
  <c r="F141" i="27"/>
  <c r="F184" i="27"/>
  <c r="I184" i="27" s="1"/>
  <c r="H179" i="27"/>
  <c r="P298" i="25"/>
  <c r="F175" i="27" s="1"/>
  <c r="D311" i="25"/>
  <c r="O149" i="25"/>
  <c r="F230" i="25"/>
  <c r="J225" i="27"/>
  <c r="E225" i="27"/>
  <c r="H225" i="27"/>
  <c r="C225" i="27"/>
  <c r="G225" i="27"/>
  <c r="N225" i="27"/>
  <c r="L225" i="27"/>
  <c r="K225" i="27"/>
  <c r="F225" i="27"/>
  <c r="D225" i="27"/>
  <c r="M225" i="27"/>
  <c r="I225" i="27"/>
  <c r="P149" i="25" l="1"/>
  <c r="D151" i="25"/>
  <c r="P311" i="25"/>
  <c r="D313" i="25"/>
  <c r="G173" i="27"/>
  <c r="P230" i="25"/>
  <c r="D232" i="25"/>
  <c r="D315" i="25"/>
  <c r="D234" i="25"/>
  <c r="D153" i="25"/>
  <c r="G178" i="27" l="1"/>
  <c r="G155" i="27"/>
  <c r="F178" i="27"/>
  <c r="F155" i="27"/>
  <c r="E151" i="25"/>
  <c r="E232" i="25"/>
  <c r="E313" i="25"/>
  <c r="E178" i="27"/>
  <c r="E155" i="27"/>
  <c r="E315" i="25"/>
  <c r="E153" i="25"/>
  <c r="E234" i="25"/>
  <c r="H178" i="27" l="1"/>
  <c r="F232" i="25"/>
  <c r="F151" i="25"/>
  <c r="F313" i="25"/>
  <c r="F234" i="25"/>
  <c r="F153" i="25"/>
  <c r="F315" i="25"/>
  <c r="G313" i="25" l="1"/>
  <c r="G151" i="25"/>
  <c r="G232" i="25"/>
  <c r="G315" i="25"/>
  <c r="G153" i="25"/>
  <c r="G234" i="25"/>
  <c r="H232" i="25" l="1"/>
  <c r="H151" i="25"/>
  <c r="H313" i="25"/>
  <c r="H234" i="25"/>
  <c r="H153" i="25"/>
  <c r="H315" i="25"/>
  <c r="I313" i="25" l="1"/>
  <c r="I151" i="25"/>
  <c r="I232" i="25"/>
  <c r="I315" i="25"/>
  <c r="I153" i="25"/>
  <c r="I234" i="25"/>
  <c r="J232" i="25" l="1"/>
  <c r="J151" i="25"/>
  <c r="J313" i="25"/>
  <c r="J234" i="25"/>
  <c r="J153" i="25"/>
  <c r="J315" i="25"/>
  <c r="K313" i="25" l="1"/>
  <c r="K151" i="25"/>
  <c r="K232" i="25"/>
  <c r="K315" i="25"/>
  <c r="K153" i="25"/>
  <c r="K234" i="25"/>
  <c r="L232" i="25" l="1"/>
  <c r="L151" i="25"/>
  <c r="L313" i="25"/>
  <c r="L234" i="25"/>
  <c r="L153" i="25"/>
  <c r="L315" i="25"/>
  <c r="M313" i="25" l="1"/>
  <c r="M151" i="25"/>
  <c r="M232" i="25"/>
  <c r="M315" i="25"/>
  <c r="M153" i="25"/>
  <c r="M234" i="25"/>
  <c r="N232" i="25" l="1"/>
  <c r="N151" i="25"/>
  <c r="N313" i="25"/>
  <c r="N234" i="25"/>
  <c r="N153" i="25"/>
  <c r="N315" i="25"/>
  <c r="O313" i="25" l="1"/>
  <c r="O151" i="25"/>
  <c r="O232" i="25"/>
  <c r="O315" i="25"/>
  <c r="O153" i="25"/>
  <c r="O234" i="25"/>
  <c r="P234" i="25" l="1"/>
  <c r="P153" i="25"/>
  <c r="P152" i="25" s="1"/>
  <c r="P315" i="25"/>
  <c r="P233" i="25" l="1"/>
  <c r="P314" i="25" s="1"/>
</calcChain>
</file>

<file path=xl/sharedStrings.xml><?xml version="1.0" encoding="utf-8"?>
<sst xmlns="http://schemas.openxmlformats.org/spreadsheetml/2006/main" count="4438" uniqueCount="1492">
  <si>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</si>
  <si>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</si>
  <si>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</si>
  <si>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</si>
  <si>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</si>
  <si>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</si>
  <si>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</si>
  <si>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</si>
  <si>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</si>
  <si>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</si>
  <si>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</si>
  <si>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</si>
  <si>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</si>
  <si>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</si>
  <si>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</si>
  <si>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</si>
  <si>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</si>
  <si>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</si>
  <si>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</si>
  <si>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</si>
  <si>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</si>
  <si>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</si>
  <si>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</si>
  <si>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</si>
  <si>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</si>
  <si>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</si>
  <si>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</si>
  <si>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</si>
  <si>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</si>
  <si>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</si>
  <si>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</si>
  <si>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</si>
  <si>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</si>
  <si>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</si>
  <si>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</si>
  <si>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</si>
  <si>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</si>
  <si>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</si>
  <si>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</si>
  <si>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</si>
  <si>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</si>
  <si>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</si>
  <si>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</si>
  <si>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</si>
  <si>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</si>
  <si>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</si>
  <si>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</si>
  <si>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</si>
  <si>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</si>
  <si>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</si>
  <si>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</si>
  <si>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</si>
  <si>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</si>
  <si>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</si>
  <si>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</si>
  <si>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</si>
  <si>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</si>
  <si>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</si>
  <si>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</si>
  <si>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</si>
  <si>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</si>
  <si>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</si>
  <si>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</si>
  <si>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</si>
  <si>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</si>
  <si>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</si>
  <si>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</si>
  <si>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</si>
  <si>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</si>
  <si>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</si>
  <si>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</si>
  <si>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</si>
  <si>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</si>
  <si>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</si>
  <si>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</si>
  <si>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</si>
  <si>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</si>
  <si>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</si>
  <si>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</si>
  <si>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</si>
  <si>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</si>
  <si>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</si>
  <si>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</si>
  <si>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</si>
  <si>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</si>
  <si>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</si>
  <si>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</si>
  <si>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</si>
  <si>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</si>
  <si>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</si>
  <si>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</si>
  <si>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</si>
  <si>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</si>
  <si>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</si>
  <si>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</si>
  <si>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</si>
  <si>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</si>
  <si>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</si>
  <si>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</si>
  <si>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</si>
  <si>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</si>
  <si>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</si>
  <si>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</si>
  <si>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</si>
  <si>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</si>
  <si>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</si>
  <si>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</si>
  <si>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</si>
  <si>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</si>
  <si>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</si>
  <si>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</si>
  <si>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</si>
  <si>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</si>
  <si>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</si>
  <si>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</si>
  <si>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</si>
  <si>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</si>
  <si>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</si>
  <si>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</si>
  <si>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</si>
  <si>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</si>
  <si>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</si>
  <si>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</si>
  <si>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</si>
  <si>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</si>
  <si>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</si>
  <si>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</si>
  <si>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</si>
  <si>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</si>
  <si>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</si>
  <si>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</si>
  <si>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</si>
  <si>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</si>
  <si>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</si>
  <si>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</si>
  <si>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</si>
  <si>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</si>
  <si>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</si>
  <si>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</si>
  <si>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</si>
  <si>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</si>
  <si>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</si>
  <si>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</si>
  <si>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</si>
  <si>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</si>
  <si>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</si>
  <si>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</si>
  <si>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</si>
  <si>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</si>
  <si>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</si>
  <si>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</si>
  <si>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</si>
  <si>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</si>
  <si>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</si>
  <si>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</si>
  <si>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</si>
  <si>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</si>
  <si>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</si>
  <si>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</si>
  <si>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</si>
  <si>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</si>
  <si>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</si>
  <si>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</si>
  <si>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</si>
  <si>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</si>
  <si>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</si>
  <si>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</si>
  <si>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</si>
  <si>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</si>
  <si>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</si>
  <si>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</si>
  <si>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</si>
  <si>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</si>
  <si>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</si>
  <si>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</si>
  <si>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</si>
  <si>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</si>
  <si>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</si>
  <si>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</si>
  <si>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</si>
  <si>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</si>
  <si>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</si>
  <si>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</si>
  <si>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</si>
  <si>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</si>
  <si>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</si>
  <si>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</si>
  <si>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</si>
  <si>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</si>
  <si>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</si>
  <si>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</si>
  <si>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</si>
  <si>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</si>
  <si>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</si>
  <si>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</si>
  <si>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</si>
  <si>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</si>
  <si>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</si>
  <si>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</si>
  <si>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</si>
  <si>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</si>
  <si>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</si>
  <si>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</si>
  <si>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</si>
  <si>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</si>
  <si>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</si>
  <si>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</si>
  <si>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</si>
  <si>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</si>
  <si>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</si>
  <si>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</si>
  <si>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</si>
  <si>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</si>
  <si>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</si>
  <si>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</si>
  <si>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</si>
  <si>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</si>
  <si>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</si>
  <si>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</si>
  <si>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</si>
  <si>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</si>
  <si>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</si>
  <si>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</si>
  <si>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</si>
  <si>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</si>
  <si>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</si>
  <si>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</si>
  <si>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</si>
  <si>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</si>
  <si>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</si>
  <si>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</si>
  <si>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</si>
  <si>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</si>
  <si>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</si>
  <si>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</si>
  <si>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</si>
  <si>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</si>
  <si>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</si>
  <si>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</si>
  <si>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</si>
  <si>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</si>
  <si>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</si>
  <si>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</si>
  <si>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</si>
  <si>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</si>
  <si>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</si>
  <si>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</si>
  <si>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</si>
  <si>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</si>
  <si>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</si>
  <si>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</si>
  <si>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</si>
  <si>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</si>
  <si>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</si>
  <si>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</si>
  <si>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</si>
  <si>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</si>
  <si>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</si>
  <si>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</si>
  <si>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</si>
  <si>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</si>
  <si>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</si>
  <si>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</si>
  <si>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</si>
  <si>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</si>
  <si>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</si>
  <si>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</si>
  <si>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</si>
  <si>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</si>
  <si>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</si>
  <si>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</si>
  <si>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</si>
  <si>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</si>
  <si>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</si>
  <si>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</si>
  <si>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</si>
  <si>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</si>
  <si>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</si>
  <si>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</si>
  <si>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</si>
  <si>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</si>
  <si>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</si>
  <si>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</si>
  <si>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</si>
  <si>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</si>
  <si>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</si>
  <si>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</si>
  <si>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</si>
  <si>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</si>
  <si>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</si>
  <si>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</si>
  <si>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</si>
  <si>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</si>
  <si>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</si>
  <si>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</si>
  <si>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</si>
  <si>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</si>
  <si>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</si>
  <si>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</si>
  <si>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</si>
  <si>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</si>
  <si>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</si>
  <si>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</si>
  <si>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</si>
  <si>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</si>
  <si>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</si>
  <si>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</si>
  <si>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</si>
  <si>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</si>
  <si>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</si>
  <si>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</si>
  <si>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</si>
  <si>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</si>
  <si>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</si>
  <si>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</si>
  <si>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</si>
  <si>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</si>
  <si>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</si>
  <si>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</si>
  <si>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</si>
  <si>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</si>
  <si>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</si>
  <si>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</si>
  <si>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</si>
  <si>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</si>
  <si>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</si>
  <si>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</si>
  <si>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</si>
  <si>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</si>
  <si>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</si>
  <si>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</si>
  <si>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</si>
  <si>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</si>
  <si>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</si>
  <si>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</si>
  <si>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</si>
  <si>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</si>
  <si>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</si>
  <si>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</si>
  <si>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</si>
  <si>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</si>
  <si>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</si>
  <si>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</si>
  <si>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</si>
  <si>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</si>
  <si>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</si>
  <si>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</si>
  <si>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</si>
  <si>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</si>
  <si>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</si>
  <si>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</si>
  <si>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</si>
  <si>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</si>
  <si>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</si>
  <si>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</si>
  <si>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</si>
  <si>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</si>
  <si>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</si>
  <si>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</si>
  <si>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</si>
  <si>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</si>
  <si>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</si>
  <si>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</si>
  <si>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</si>
  <si>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</si>
  <si>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</si>
  <si>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</si>
  <si>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</si>
  <si>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</si>
  <si>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</si>
  <si>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</si>
  <si>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</si>
  <si>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</si>
  <si>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</si>
  <si>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</si>
  <si>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</si>
  <si>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</si>
  <si>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</si>
  <si>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</si>
  <si>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</si>
  <si>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</si>
  <si>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</si>
  <si>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</si>
  <si>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</si>
  <si>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</si>
  <si>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</si>
  <si>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</si>
  <si>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</si>
  <si>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</si>
  <si>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</si>
  <si>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</si>
  <si>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</si>
  <si>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</si>
  <si>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</si>
  <si>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</si>
  <si>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</si>
  <si>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</si>
  <si>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</si>
  <si>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</si>
  <si>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</si>
  <si>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</si>
  <si>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</si>
  <si>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</si>
  <si>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</si>
  <si>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</si>
  <si>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</si>
  <si>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</si>
  <si>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</si>
  <si>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</si>
  <si>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</si>
  <si>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</si>
  <si>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</si>
  <si>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</si>
  <si>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</si>
  <si>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</si>
  <si>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</si>
  <si>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</si>
  <si>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</si>
  <si>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</si>
  <si>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</si>
  <si>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</si>
  <si>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</si>
  <si>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</si>
  <si>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</si>
  <si>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</si>
  <si>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</si>
  <si>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</si>
  <si>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</si>
  <si>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</si>
  <si>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</si>
  <si>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</si>
  <si>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</si>
  <si>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</si>
  <si>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</si>
  <si>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</si>
  <si>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</si>
  <si>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</si>
  <si>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</si>
  <si>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</si>
  <si>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</si>
  <si>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</si>
  <si>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</si>
  <si>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</si>
  <si>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</si>
  <si>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</si>
  <si>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</si>
  <si>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</si>
  <si>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</si>
  <si>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</si>
  <si>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</si>
  <si>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</si>
  <si>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</si>
  <si>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</si>
  <si>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</si>
  <si>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</si>
  <si>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</si>
  <si>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</si>
  <si>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</si>
  <si>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</si>
  <si>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</si>
  <si>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</si>
  <si>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</si>
  <si>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</si>
  <si>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</si>
  <si>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</si>
  <si>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</si>
  <si>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</si>
  <si>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</si>
  <si>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</si>
  <si>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</si>
  <si>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</si>
  <si>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</si>
  <si>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</si>
  <si>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</si>
  <si>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</si>
  <si>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</si>
  <si>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</si>
  <si>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</si>
  <si>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</si>
  <si>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</si>
  <si>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</si>
  <si>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</si>
  <si>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</si>
  <si>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</si>
  <si>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</si>
  <si>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</si>
  <si>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</si>
  <si>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</si>
  <si>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</si>
  <si>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</si>
  <si>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</si>
  <si>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</si>
  <si>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</si>
  <si>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</si>
  <si>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</si>
  <si>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</si>
  <si>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</si>
  <si>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</si>
  <si>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</si>
  <si>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</si>
  <si>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</si>
  <si>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</si>
  <si>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</si>
  <si>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</si>
  <si>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</si>
  <si>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</si>
  <si>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</si>
  <si>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</si>
  <si>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</si>
  <si>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</si>
  <si>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</si>
  <si>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</si>
  <si>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</si>
  <si>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</si>
  <si>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</si>
  <si>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</si>
  <si>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</si>
  <si>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</si>
  <si>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</si>
  <si>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</si>
  <si>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</si>
  <si>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</si>
  <si>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</si>
  <si>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</si>
  <si>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</si>
  <si>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</si>
  <si>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</si>
  <si>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</si>
  <si>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</si>
  <si>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</si>
  <si>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</si>
  <si>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</si>
  <si>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</si>
  <si>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</si>
  <si>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</si>
  <si>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</si>
  <si>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</si>
  <si>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</si>
  <si>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</si>
  <si>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</si>
  <si>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</si>
  <si>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</si>
  <si>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</si>
  <si>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</si>
  <si>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</si>
  <si>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</si>
  <si>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</si>
  <si>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</si>
  <si>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</si>
  <si>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</si>
  <si>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</si>
  <si>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</si>
  <si>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</si>
  <si>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</si>
  <si>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</si>
  <si>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</si>
  <si>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</si>
  <si>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</si>
  <si>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</si>
  <si>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</si>
  <si>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</si>
  <si>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</si>
  <si>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</si>
  <si>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</si>
  <si>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</si>
  <si>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</si>
  <si>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</si>
  <si>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</si>
  <si>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</si>
  <si>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</si>
  <si>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</si>
  <si>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</si>
  <si>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</si>
  <si>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</si>
  <si>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</si>
  <si>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</si>
  <si>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</si>
  <si>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</si>
  <si>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</si>
  <si>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</si>
  <si>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</si>
  <si>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</si>
  <si>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</si>
  <si>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</si>
  <si>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</si>
  <si>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</si>
  <si>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</si>
  <si>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</si>
  <si>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</si>
  <si>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</si>
  <si>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</si>
  <si>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</si>
  <si>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</si>
  <si>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</si>
  <si>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</si>
  <si>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</si>
  <si>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</si>
  <si>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</si>
  <si>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</si>
  <si>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</si>
  <si>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</si>
  <si>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</si>
  <si>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</si>
  <si>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</si>
  <si>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</si>
  <si>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</si>
  <si>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</si>
  <si>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</si>
  <si>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</si>
  <si>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</si>
  <si>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</si>
  <si>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</si>
  <si>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</si>
  <si>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</si>
  <si>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</si>
  <si>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</si>
  <si>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</si>
  <si>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</si>
  <si>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</si>
  <si>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</si>
  <si>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</si>
  <si>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</si>
  <si>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</si>
  <si>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</si>
  <si>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</si>
  <si>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</si>
  <si>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</si>
  <si>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</si>
  <si>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</si>
  <si>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</si>
  <si>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</si>
  <si>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</si>
  <si>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</si>
  <si>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</si>
  <si>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</si>
  <si>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</si>
  <si>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</si>
  <si>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</si>
  <si>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</si>
  <si>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</si>
  <si>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</si>
  <si>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</si>
  <si>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</si>
  <si>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</si>
  <si>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</si>
  <si>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</si>
  <si>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</si>
  <si>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</si>
  <si>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</si>
  <si>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</si>
  <si>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</si>
  <si>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</si>
  <si>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</si>
  <si>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</si>
  <si>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</si>
  <si>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</si>
  <si>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</si>
  <si>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</si>
  <si>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</si>
  <si>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</si>
  <si>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</si>
  <si>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</si>
  <si>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</si>
  <si>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</si>
  <si>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</si>
  <si>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</si>
  <si>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</si>
  <si>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</si>
  <si>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</si>
  <si>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</si>
  <si>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</si>
  <si>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</si>
  <si>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</si>
  <si>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</si>
  <si>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</si>
  <si>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</si>
  <si>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</si>
  <si>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</si>
  <si>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</si>
  <si>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</si>
  <si>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</si>
  <si>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</si>
  <si>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</si>
  <si>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</si>
  <si>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</si>
  <si>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</si>
  <si>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</si>
  <si>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</si>
  <si>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</si>
  <si>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</si>
  <si>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</si>
  <si>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</si>
  <si>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</si>
  <si>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</si>
  <si>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</si>
  <si>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</si>
  <si>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</si>
  <si>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</si>
  <si>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</si>
  <si>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</si>
  <si>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</si>
  <si>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</si>
  <si>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</si>
  <si>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</si>
  <si>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</si>
  <si>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</si>
  <si>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</si>
  <si>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</si>
  <si>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</si>
  <si>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</si>
  <si>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</si>
  <si>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</si>
  <si>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</si>
  <si>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</si>
  <si>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</si>
  <si>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</si>
  <si>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</si>
  <si>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</si>
  <si>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TORO</t>
  </si>
  <si>
    <t>1704 Washington St, Boston, MA 02118, United States</t>
  </si>
  <si>
    <t>Di Ha</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</si>
  <si>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</si>
  <si>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</si>
  <si>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</si>
  <si>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</si>
  <si>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</si>
  <si>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</si>
  <si>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</si>
  <si>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</si>
  <si>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</si>
  <si>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</si>
  <si>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</si>
  <si>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</si>
  <si>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</si>
  <si>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</si>
  <si>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</si>
  <si>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</si>
  <si>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</si>
  <si>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</si>
  <si>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</si>
  <si>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</si>
  <si>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</si>
  <si>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</si>
  <si>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</si>
  <si>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</si>
  <si>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</si>
  <si>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</si>
  <si>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</si>
  <si>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</si>
  <si>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</si>
  <si>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</si>
  <si>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</si>
  <si>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</si>
  <si>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</si>
  <si>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</si>
  <si>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</si>
  <si>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</si>
  <si>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</si>
  <si>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</si>
  <si>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</si>
  <si>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</si>
  <si>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</si>
  <si>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</si>
  <si>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</si>
  <si>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</si>
  <si>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</si>
  <si>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</si>
  <si>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</si>
  <si>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</si>
  <si>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</si>
  <si>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</si>
  <si>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</si>
  <si>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</si>
  <si>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</si>
  <si>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</si>
  <si>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</si>
  <si>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</si>
  <si>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</si>
  <si>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</si>
  <si>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</si>
  <si>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</si>
  <si>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</si>
  <si>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</si>
  <si>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</si>
  <si>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</si>
  <si>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</si>
  <si>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</si>
  <si>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</si>
  <si>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</si>
  <si>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</si>
  <si>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</si>
  <si>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</si>
  <si>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</si>
  <si>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</si>
  <si>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</si>
  <si>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</si>
  <si>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</si>
  <si>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</si>
  <si>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</si>
  <si>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</si>
  <si>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</si>
  <si>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</si>
  <si>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</si>
  <si>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</si>
  <si>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</si>
  <si>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</si>
  <si>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</si>
  <si>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</si>
  <si>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</si>
  <si>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</si>
  <si>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</si>
  <si>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</si>
  <si>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</si>
  <si>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</si>
  <si>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</si>
  <si>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</si>
  <si>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</si>
  <si>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</si>
  <si>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</si>
  <si>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</si>
  <si>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</si>
  <si>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</si>
  <si>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</si>
  <si>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</si>
  <si>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</si>
  <si>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</si>
  <si>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</si>
  <si>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</si>
  <si>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</si>
  <si>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</si>
  <si>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</si>
  <si>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</si>
  <si>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</si>
  <si>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</si>
  <si>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</si>
  <si>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</si>
  <si>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</si>
  <si>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</si>
  <si>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</si>
  <si>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</si>
  <si>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</si>
  <si>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</si>
  <si>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</si>
  <si>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</si>
  <si>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</si>
  <si>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</si>
  <si>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</si>
  <si>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</si>
  <si>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</si>
  <si>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</si>
  <si>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</si>
  <si>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</si>
  <si>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</si>
  <si>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</si>
  <si>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</si>
  <si>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</si>
  <si>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</si>
  <si>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</si>
  <si>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</si>
  <si>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</si>
  <si>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</si>
  <si>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</si>
  <si>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</si>
  <si>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</si>
  <si>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</si>
  <si>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</si>
  <si>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</si>
  <si>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</si>
  <si>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</si>
  <si>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</si>
  <si>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</si>
  <si>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</si>
  <si>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</si>
  <si>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</si>
  <si>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</si>
  <si>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</si>
  <si>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</si>
  <si>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</si>
  <si>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</si>
  <si>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</si>
  <si>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</si>
  <si>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</si>
  <si>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</si>
  <si>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</si>
  <si>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</si>
  <si>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</si>
  <si>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</si>
  <si>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</si>
  <si>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</si>
  <si>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</si>
  <si>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</si>
  <si>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</si>
  <si>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</si>
  <si>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</si>
  <si>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</si>
  <si>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</si>
  <si>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</si>
  <si>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</si>
  <si>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</si>
  <si>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</si>
  <si>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</si>
  <si>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</si>
  <si>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</si>
  <si>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</si>
  <si>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</si>
  <si>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</si>
  <si>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</si>
  <si>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</si>
  <si>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</si>
  <si>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</si>
  <si>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</si>
  <si>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</si>
  <si>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</si>
  <si>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</si>
  <si>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</si>
  <si>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</si>
  <si>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</si>
  <si>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</si>
  <si>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</si>
  <si>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</si>
  <si>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</si>
  <si>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</si>
  <si>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</si>
  <si>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</si>
  <si>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</si>
  <si>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</si>
  <si>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</si>
  <si>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</si>
  <si>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</si>
  <si>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</si>
  <si>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</si>
  <si>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</si>
  <si>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</si>
  <si>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</si>
  <si>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</si>
  <si>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</si>
  <si>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</si>
  <si>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</si>
  <si>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</si>
  <si>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</si>
  <si>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</si>
  <si>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</si>
  <si>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</si>
  <si>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</si>
  <si>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</si>
  <si>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</si>
  <si>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</si>
  <si>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</si>
  <si>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</si>
  <si>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</si>
  <si>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</si>
  <si>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</si>
  <si>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</si>
  <si>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</si>
  <si>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</si>
  <si>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</si>
  <si>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</si>
  <si>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</si>
  <si>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</si>
  <si>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</si>
  <si>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</si>
  <si>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</si>
  <si>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</si>
  <si>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</si>
  <si>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</si>
  <si>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</si>
  <si>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</si>
  <si>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</si>
  <si>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</si>
  <si>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</si>
  <si>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</si>
  <si>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</si>
  <si>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</si>
  <si>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</si>
  <si>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</si>
  <si>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</si>
  <si>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</si>
  <si>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</si>
  <si>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</si>
  <si>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</si>
  <si>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</si>
  <si>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</si>
  <si>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</si>
  <si>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</si>
  <si>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</si>
  <si>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</si>
  <si>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</si>
  <si>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</si>
  <si>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</si>
  <si>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</si>
  <si>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</si>
  <si>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</si>
  <si>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</si>
  <si>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</si>
  <si>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</si>
  <si>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</si>
  <si>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</si>
  <si>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</si>
  <si>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</si>
  <si>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</si>
  <si>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</si>
  <si>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</si>
  <si>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</si>
  <si>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</si>
  <si>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</si>
  <si>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</si>
  <si>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</si>
  <si>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</si>
  <si>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</si>
  <si>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</si>
  <si>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</si>
  <si>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</si>
  <si>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</si>
  <si>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</si>
  <si>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</si>
  <si>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</si>
  <si>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</si>
  <si>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</si>
  <si>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</si>
  <si>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</si>
  <si>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</si>
  <si>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</si>
  <si>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</si>
  <si>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</si>
  <si>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</si>
  <si>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</si>
  <si>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</si>
  <si>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</si>
  <si>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</si>
  <si>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</si>
  <si>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</si>
  <si>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</si>
  <si>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</si>
  <si>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</si>
  <si>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</si>
  <si>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</si>
  <si>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</si>
  <si>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</si>
  <si>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</si>
  <si>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</si>
  <si>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</si>
  <si>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</si>
  <si>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</si>
  <si>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</si>
  <si>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</si>
  <si>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</si>
  <si>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</si>
  <si>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</si>
  <si>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</si>
  <si>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</si>
  <si>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</si>
  <si>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</si>
  <si>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</si>
  <si>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</si>
  <si>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</si>
  <si>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</si>
  <si>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</si>
  <si>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</si>
  <si>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</si>
  <si>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</si>
  <si>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</si>
  <si>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</si>
  <si>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</si>
  <si>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</si>
  <si>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</si>
  <si>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</si>
  <si>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</si>
  <si>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</si>
  <si>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</si>
  <si>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</si>
  <si>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</si>
  <si>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</si>
  <si>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</si>
  <si>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</si>
  <si>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</si>
  <si>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</si>
  <si>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</si>
  <si>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</si>
  <si>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</si>
  <si>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</si>
  <si>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</si>
  <si>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</si>
  <si>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</si>
  <si>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</si>
  <si>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</si>
  <si>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</si>
  <si>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</si>
  <si>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</si>
  <si>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</si>
  <si>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</si>
  <si>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</si>
  <si>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</si>
  <si>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</si>
  <si>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</si>
  <si>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</si>
  <si>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</si>
  <si>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</si>
  <si>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</si>
  <si>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</si>
  <si>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</si>
  <si>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</si>
  <si>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</si>
  <si>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</si>
  <si>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</si>
  <si>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</si>
  <si>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</si>
  <si>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</si>
  <si>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</si>
  <si>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</si>
  <si>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</si>
  <si>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</si>
  <si>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</si>
  <si>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</si>
  <si>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</si>
  <si>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</si>
  <si>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</si>
  <si>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</si>
  <si>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</si>
  <si>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</si>
  <si>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</si>
  <si>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</si>
  <si>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</si>
  <si>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</si>
  <si>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</si>
  <si>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</si>
  <si>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</si>
  <si>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</si>
  <si>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</si>
  <si>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</si>
  <si>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</si>
  <si>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</si>
  <si>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</si>
  <si>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</si>
  <si>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</si>
  <si>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</si>
  <si>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</si>
  <si>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</si>
  <si>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</si>
  <si>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</si>
  <si>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</si>
  <si>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</si>
  <si>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</si>
  <si>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</si>
  <si>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</si>
  <si>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</si>
  <si>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</si>
  <si>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</si>
  <si>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</si>
  <si>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</si>
  <si>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</si>
  <si>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</si>
  <si>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</si>
  <si>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</si>
  <si>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</si>
  <si>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</si>
  <si>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</si>
  <si>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</si>
  <si>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</si>
  <si>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</si>
  <si>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</si>
  <si>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</si>
  <si>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</si>
  <si>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</si>
  <si>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</si>
  <si>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</si>
  <si>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</si>
  <si>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</si>
  <si>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</si>
  <si>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</si>
  <si>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</si>
  <si>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</si>
  <si>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</si>
  <si>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</si>
  <si>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</si>
  <si>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</si>
  <si>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</si>
  <si>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</si>
  <si>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</si>
  <si>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</si>
  <si>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</si>
  <si>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</si>
  <si>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</si>
  <si>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</si>
  <si>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</si>
  <si>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</si>
  <si>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</si>
  <si>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</si>
  <si>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</si>
  <si>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</si>
  <si>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</si>
  <si>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</si>
  <si>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</si>
  <si>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</si>
  <si>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</si>
  <si>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</si>
  <si>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</si>
  <si>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</si>
  <si>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</si>
  <si>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</si>
  <si>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</si>
  <si>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</si>
  <si>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</si>
  <si>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</si>
  <si>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</si>
  <si>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</si>
  <si>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</si>
  <si>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</si>
  <si>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</si>
  <si>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</si>
  <si>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</si>
  <si>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</si>
  <si>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</si>
  <si>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</si>
  <si>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</si>
  <si>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</si>
  <si>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</si>
  <si>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</si>
  <si>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</si>
  <si>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</si>
  <si>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</si>
  <si>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</si>
  <si>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</si>
  <si>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</si>
  <si>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</si>
  <si>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</si>
  <si>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</si>
  <si>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</si>
  <si>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</si>
  <si>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</si>
  <si>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</si>
  <si>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</si>
  <si>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</si>
  <si>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</si>
  <si>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</si>
  <si>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</si>
  <si>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</si>
  <si>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</si>
  <si>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</si>
  <si>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</si>
  <si>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</si>
  <si>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</si>
  <si>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</si>
  <si>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</si>
  <si>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</si>
  <si>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</si>
  <si>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</si>
  <si>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</si>
  <si>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</si>
  <si>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</si>
  <si>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</si>
  <si>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</si>
  <si>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</si>
  <si>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</si>
  <si>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</si>
  <si>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</si>
  <si>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</si>
  <si>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</si>
  <si>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</si>
  <si>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</si>
  <si>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</si>
  <si>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</si>
  <si>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</si>
  <si>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</si>
  <si>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</si>
  <si>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</si>
  <si>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</si>
  <si>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</si>
  <si>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</si>
  <si>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</si>
  <si>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</si>
  <si>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</si>
  <si>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</si>
  <si>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</si>
  <si>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</si>
  <si>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</si>
  <si>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</si>
  <si>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</si>
  <si>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</si>
  <si>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</si>
  <si>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</si>
  <si>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</si>
  <si>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</si>
  <si>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</si>
  <si>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</si>
  <si>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</si>
  <si>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</si>
  <si>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</si>
  <si>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</si>
  <si>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</si>
  <si>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</si>
  <si>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</si>
  <si>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</si>
  <si>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</si>
  <si>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</si>
  <si>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</si>
  <si>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</si>
  <si>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</si>
  <si>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</si>
  <si>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</si>
  <si>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</si>
  <si>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</si>
  <si>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</si>
  <si>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</si>
  <si>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</si>
  <si>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</si>
  <si>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</si>
  <si>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</si>
  <si>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</si>
  <si>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</si>
  <si>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</si>
  <si>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</si>
  <si>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</si>
  <si>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</si>
  <si>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</si>
  <si>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</si>
  <si>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</si>
  <si>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</si>
  <si>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</si>
  <si>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</si>
  <si>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</si>
  <si>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</si>
  <si>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</si>
  <si>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</si>
  <si>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</si>
  <si>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</si>
  <si>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</si>
  <si>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</si>
  <si>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</si>
  <si>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</si>
  <si>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</si>
  <si>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</si>
  <si>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</si>
  <si>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</si>
  <si>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</si>
  <si>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</si>
  <si>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</si>
  <si>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</si>
  <si>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</si>
  <si>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</si>
  <si>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</si>
  <si>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</si>
  <si>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</si>
  <si>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</si>
  <si>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</si>
  <si>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</si>
  <si>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</si>
  <si>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</si>
  <si>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</si>
  <si>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</si>
  <si>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</si>
  <si>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</si>
  <si>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</si>
  <si>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</si>
  <si>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</si>
  <si>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</si>
  <si>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</si>
  <si>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</si>
  <si>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</si>
  <si>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</si>
  <si>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</si>
  <si>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</si>
  <si>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</si>
  <si>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</si>
  <si>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</si>
  <si>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</si>
  <si>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</si>
  <si>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</si>
  <si>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</si>
  <si>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</si>
  <si>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</si>
  <si>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</si>
  <si>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</si>
  <si>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</si>
  <si>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</si>
  <si>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</si>
  <si>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</si>
  <si>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</si>
  <si>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</si>
  <si>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</si>
  <si>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</si>
  <si>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</si>
  <si>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</si>
  <si>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</si>
  <si>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</si>
  <si>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</si>
  <si>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</si>
  <si>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</si>
  <si>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</si>
  <si>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</si>
  <si>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</si>
  <si>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</si>
  <si>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</si>
  <si>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</si>
  <si>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</si>
  <si>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</si>
  <si>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</si>
  <si>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</si>
  <si>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</si>
  <si>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</si>
  <si>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</si>
  <si>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</si>
  <si>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</si>
  <si>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</si>
  <si>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</si>
  <si>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</si>
  <si>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</si>
  <si>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</si>
  <si>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</si>
  <si>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</si>
  <si>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</si>
  <si>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</si>
  <si>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</si>
  <si>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</si>
  <si>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</si>
  <si>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</si>
  <si>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</si>
  <si>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</si>
  <si>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</si>
  <si>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</si>
  <si>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</si>
  <si>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</si>
  <si>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</si>
  <si>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</si>
  <si>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</si>
  <si>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</si>
  <si>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</si>
  <si>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</si>
  <si>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</si>
  <si>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</si>
  <si>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</si>
  <si>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</si>
  <si>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</si>
  <si>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</si>
  <si>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</si>
  <si>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</si>
  <si>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</si>
  <si>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</si>
  <si>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</si>
  <si>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</si>
  <si>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</si>
  <si>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</si>
  <si>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</si>
  <si>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</si>
  <si>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</si>
  <si>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</si>
  <si>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</si>
  <si>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</si>
  <si>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</si>
  <si>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</si>
  <si>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</si>
  <si>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</si>
  <si>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</si>
  <si>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</si>
  <si>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</si>
  <si>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</si>
  <si>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</si>
  <si>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</si>
  <si>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</si>
  <si>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</si>
  <si>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</si>
  <si>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</si>
  <si>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</si>
  <si>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</si>
  <si>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</si>
  <si>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</si>
  <si>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</si>
  <si>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</si>
  <si>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</si>
  <si>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</si>
  <si>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</si>
  <si>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</si>
  <si>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</si>
  <si>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</si>
  <si>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</si>
  <si>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</si>
  <si>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</si>
  <si>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</si>
  <si>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</si>
  <si>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</si>
  <si>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Fin</t>
  </si>
  <si>
    <t>Web</t>
  </si>
  <si>
    <t>Social media</t>
  </si>
  <si>
    <t>Bench Ads</t>
  </si>
  <si>
    <t>Influencer</t>
  </si>
  <si>
    <t>Oper</t>
  </si>
  <si>
    <t>Org</t>
  </si>
  <si>
    <t>Salesmen (temporary), FY-1</t>
  </si>
  <si>
    <t>Salesmen (temporary), FY-2</t>
  </si>
  <si>
    <t>Salesmen (temporary), FY-3</t>
  </si>
  <si>
    <t>Worker (temporary), FY-1</t>
  </si>
  <si>
    <t>Worker (temporary), FY-2</t>
  </si>
  <si>
    <t>Worker (temporary), FY-3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</si>
</sst>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5">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
      <patternFill patternType="solid">
        <fgColor rgb="FFC832FF"/>
        <bgColor indexed="64"/>
      </patternFill>
    </fill>
    <fill>
      <patternFill patternType="solid">
        <fgColor rgb="FFB4B4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589">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right"/>
      <protection locked="0"/>
    </xf>
    <xf numFmtId="38" fontId="11" fillId="0" borderId="0" xfId="1" applyNumberFormat="1" applyFont="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0" fontId="24" fillId="0" borderId="0" xfId="1" applyNumberFormat="1" applyFont="1" applyFill="1" applyBorder="1"/>
    <xf numFmtId="0" fontId="41" fillId="0" borderId="0" xfId="1" applyNumberFormat="1" applyFont="1" applyFill="1" applyBorder="1"/>
    <xf numFmtId="0" fontId="11" fillId="0" borderId="0" xfId="1" applyNumberFormat="1" applyFont="1" applyFill="1" applyBorder="1" applyAlignment="1">
      <alignment horizontal="right"/>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0" fontId="11" fillId="0" borderId="0" xfId="2" applyNumberFormat="1" applyFont="1" applyFill="1" applyBorder="1" applyAlignment="1">
      <alignment horizontal="right"/>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center"/>
    </xf>
    <xf numFmtId="0" fontId="11" fillId="0" borderId="2" xfId="1" applyNumberFormat="1" applyFont="1" applyBorder="1"/>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11" fillId="11" borderId="0" xfId="1" applyNumberFormat="1" applyFont="1" applyFill="1" applyBorder="1" applyAlignment="1">
      <alignment horizontal="right"/>
    </xf>
    <xf numFmtId="10" fontId="24" fillId="2" borderId="0" xfId="8" applyNumberFormat="1" applyFont="1" applyFill="1" applyBorder="1" applyAlignment="1" applyProtection="1">
      <alignment horizontal="center"/>
      <protection locked="0"/>
    </xf>
    <xf numFmtId="38" fontId="11" fillId="0" borderId="0" xfId="1" applyNumberFormat="1" applyFont="1" applyFill="1" applyBorder="1" applyAlignment="1">
      <alignment horizontal="right"/>
    </xf>
    <xf numFmtId="0" fontId="1" fillId="0" borderId="0" xfId="1" applyNumberFormat="1" applyFont="1" applyFill="1" applyBorder="1"/>
    <xf numFmtId="0" fontId="11" fillId="0" borderId="0" xfId="1" applyNumberFormat="1" applyFont="1" applyFill="1" applyBorder="1" applyAlignment="1">
      <alignment horizontal="center" vertical="center"/>
    </xf>
    <xf numFmtId="0" fontId="11" fillId="11" borderId="38" xfId="1" applyNumberFormat="1" applyFont="1" applyFill="1" applyBorder="1" applyAlignment="1">
      <alignment horizontal="center"/>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2"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80" fontId="14" fillId="0" borderId="0" xfId="7" applyNumberFormat="1" applyFont="1" applyFill="1"/>
    <xf numFmtId="166" fontId="14" fillId="0" borderId="0" xfId="1" applyNumberFormat="1" applyFont="1" applyAlignment="1" applyProtection="1">
      <alignment horizontal="center" vertical="top"/>
    </xf>
    <xf numFmtId="167" fontId="44" fillId="0" borderId="0" xfId="0" applyNumberFormat="1" applyFont="1"/>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Alignment="1" applyProtection="1">
      <alignment horizontal="center"/>
    </xf>
    <xf numFmtId="166" fontId="11" fillId="2" borderId="0" xfId="1" applyNumberFormat="1" applyFont="1" applyFill="1" applyBorder="1" applyProtection="1">
      <protection locked="0"/>
    </xf>
    <xf numFmtId="170"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7" fontId="11" fillId="2" borderId="0" xfId="2" applyNumberFormat="1" applyFont="1" applyFill="1" applyBorder="1" applyAlignment="1" applyProtection="1">
      <alignment horizontal="center"/>
      <protection locked="0"/>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11" fillId="0" borderId="0" xfId="1" applyNumberFormat="1" applyFont="1" applyBorder="1" applyAlignment="1" applyProtection="1">
      <alignment horizontal="center"/>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68"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70" fontId="11" fillId="0" borderId="0" xfId="1" applyNumberFormat="1" applyFont="1" applyFill="1" applyBorder="1" applyProtection="1"/>
    <xf numFmtId="166"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66"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70" fontId="11" fillId="2" borderId="0" xfId="1" applyNumberFormat="1" applyFont="1" applyFill="1" applyAlignment="1" applyProtection="1">
      <alignment horizontal="center"/>
      <protection locked="0"/>
    </xf>
    <xf numFmtId="170" fontId="11" fillId="2" borderId="0" xfId="3" applyNumberFormat="1" applyFont="1" applyFill="1" applyBorder="1" applyAlignment="1" applyProtection="1">
      <alignment horizontal="center"/>
      <protection locked="0"/>
    </xf>
    <xf numFmtId="7" fontId="0" fillId="8" borderId="0" xfId="0" applyNumberFormat="1" applyFill="1"/>
    <xf numFmtId="0" fontId="0" fillId="8" borderId="0" xfId="0" applyNumberFormat="1" applyFill="1"/>
    <xf numFmtId="7" fontId="0" fillId="7" borderId="0" xfId="0" applyNumberFormat="1" applyFill="1"/>
    <xf numFmtId="0" fontId="0" fillId="7" borderId="0" xfId="0" applyNumberFormat="1" applyFill="1"/>
    <xf numFmtId="0" fontId="51" fillId="10" borderId="0" xfId="1" applyNumberFormat="1" applyFont="1" applyFill="1" applyBorder="1" applyProtection="1"/>
    <xf numFmtId="0" fontId="24" fillId="10" borderId="0" xfId="1" applyNumberFormat="1" applyFont="1" applyFill="1" applyBorder="1" applyProtection="1"/>
    <xf numFmtId="0" fontId="24" fillId="10" borderId="0" xfId="1" applyNumberFormat="1" applyFont="1" applyFill="1" applyBorder="1" applyAlignment="1" applyProtection="1">
      <alignment horizontal="center"/>
    </xf>
    <xf numFmtId="9" fontId="11" fillId="0" borderId="0" xfId="1" applyNumberFormat="1" applyFont="1" applyFill="1" applyBorder="1" applyAlignment="1" applyProtection="1">
      <alignment horizontal="center"/>
    </xf>
    <xf numFmtId="1" fontId="11" fillId="0" borderId="0" xfId="1" applyNumberFormat="1" applyFont="1" applyBorder="1" applyAlignment="1" applyProtection="1">
      <alignment horizontal="center"/>
    </xf>
    <xf numFmtId="1" fontId="24" fillId="0" borderId="0" xfId="1" applyNumberFormat="1" applyFont="1" applyAlignment="1" applyProtection="1">
      <alignment horizontal="center"/>
    </xf>
    <xf numFmtId="0" fontId="50" fillId="10" borderId="0" xfId="1" applyNumberFormat="1" applyFont="1" applyFill="1" applyProtection="1"/>
    <xf numFmtId="38" fontId="11" fillId="0" borderId="35" xfId="1" applyNumberFormat="1" applyFont="1" applyFill="1" applyBorder="1" applyAlignment="1" applyProtection="1">
      <alignment horizontal="center"/>
    </xf>
    <xf numFmtId="38" fontId="11" fillId="0" borderId="1" xfId="1" applyNumberFormat="1" applyFont="1" applyFill="1" applyBorder="1" applyAlignment="1" applyProtection="1">
      <alignment horizontal="center"/>
    </xf>
    <xf numFmtId="1" fontId="24" fillId="0" borderId="1" xfId="6" applyNumberFormat="1" applyFont="1" applyFill="1" applyBorder="1" applyAlignment="1" applyProtection="1">
      <alignment horizontal="center"/>
    </xf>
    <xf numFmtId="1" fontId="11" fillId="0" borderId="35" xfId="1" applyNumberFormat="1" applyFont="1" applyFill="1" applyBorder="1" applyAlignment="1" applyProtection="1">
      <alignment horizontal="center"/>
    </xf>
    <xf numFmtId="1" fontId="11" fillId="0" borderId="1" xfId="1" applyNumberFormat="1" applyFont="1" applyFill="1" applyBorder="1" applyAlignment="1" applyProtection="1">
      <alignment horizontal="center"/>
    </xf>
    <xf numFmtId="0" fontId="42" fillId="0" borderId="0" xfId="1" applyNumberFormat="1" applyFont="1" applyProtection="1"/>
    <xf numFmtId="9"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center"/>
    </xf>
    <xf numFmtId="9" fontId="11" fillId="2" borderId="0" xfId="1" applyNumberFormat="1" applyFont="1" applyFill="1" applyBorder="1" applyAlignment="1" applyProtection="1">
      <alignment horizontal="center"/>
    </xf>
    <xf numFmtId="0" fontId="11" fillId="32" borderId="0" xfId="1" applyNumberFormat="1" applyFont="1" applyFill="1" applyBorder="1" applyProtection="1"/>
    <xf numFmtId="0" fontId="11" fillId="32" borderId="0" xfId="1" applyNumberFormat="1" applyFont="1" applyFill="1" applyBorder="1" applyAlignment="1" applyProtection="1">
      <alignment horizontal="right"/>
    </xf>
    <xf numFmtId="0" fontId="11" fillId="32" borderId="4" xfId="1" applyNumberFormat="1" applyFont="1" applyFill="1" applyBorder="1" applyAlignment="1" applyProtection="1">
      <alignment horizontal="center"/>
    </xf>
    <xf numFmtId="0" fontId="0" fillId="6" borderId="0" xfId="0" applyNumberFormat="1" applyFill="1"/>
    <xf numFmtId="0" fontId="0" fillId="5" borderId="0" xfId="0" applyNumberFormat="1" applyFill="1"/>
    <xf numFmtId="166" fontId="1" fillId="0" borderId="0" xfId="1" applyNumberFormat="1" applyBorder="1" applyProtection="1"/>
    <xf numFmtId="166" fontId="1" fillId="0" borderId="0" xfId="1" applyNumberFormat="1" applyFill="1" applyBorder="1" applyProtection="1"/>
    <xf numFmtId="166" fontId="1" fillId="0" borderId="0" xfId="1" applyNumberFormat="1" applyProtection="1"/>
    <xf numFmtId="0" fontId="62" fillId="23" borderId="0" xfId="1" applyNumberFormat="1" applyFont="1" applyFill="1" applyBorder="1" applyProtection="1"/>
    <xf numFmtId="0" fontId="24" fillId="23" borderId="0" xfId="1" applyNumberFormat="1" applyFont="1" applyFill="1" applyBorder="1" applyProtection="1"/>
    <xf numFmtId="166" fontId="24" fillId="0" borderId="0" xfId="1" applyNumberFormat="1" applyFont="1" applyFill="1" applyBorder="1" applyProtection="1"/>
    <xf numFmtId="166" fontId="11" fillId="0" borderId="0" xfId="1" applyNumberFormat="1" applyFont="1" applyFill="1" applyBorder="1" applyAlignment="1" applyProtection="1">
      <alignment horizontal="center"/>
    </xf>
    <xf numFmtId="166" fontId="11" fillId="0" borderId="0" xfId="3" applyNumberFormat="1" applyFont="1" applyFill="1" applyBorder="1" applyAlignment="1" applyProtection="1">
      <alignment horizontal="center"/>
    </xf>
    <xf numFmtId="166" fontId="11" fillId="0" borderId="0" xfId="2" applyNumberFormat="1" applyFont="1" applyFill="1" applyBorder="1" applyAlignment="1" applyProtection="1">
      <alignment horizontal="center"/>
    </xf>
    <xf numFmtId="164" fontId="56" fillId="23" borderId="0" xfId="1" applyFont="1" applyFill="1" applyProtection="1"/>
    <xf numFmtId="0" fontId="1" fillId="23" borderId="0" xfId="1" applyNumberFormat="1" applyFill="1" applyProtection="1"/>
    <xf numFmtId="0" fontId="11" fillId="23" borderId="0" xfId="1" applyNumberFormat="1" applyFont="1" applyFill="1" applyProtection="1"/>
    <xf numFmtId="166" fontId="11" fillId="0" borderId="0" xfId="1" applyNumberFormat="1" applyFont="1" applyBorder="1" applyAlignment="1" applyProtection="1">
      <alignment horizontal="center"/>
    </xf>
    <xf numFmtId="10" fontId="49" fillId="10" borderId="0" xfId="8" applyNumberFormat="1" applyFont="1" applyFill="1" applyBorder="1" applyProtection="1"/>
    <xf numFmtId="10" fontId="1" fillId="0" borderId="0" xfId="8" applyNumberFormat="1" applyFont="1" applyProtection="1"/>
    <xf numFmtId="0" fontId="1" fillId="0" borderId="0" xfId="1" applyNumberFormat="1" applyFont="1" applyAlignment="1" applyProtection="1">
      <alignment horizontal="center"/>
    </xf>
    <xf numFmtId="10" fontId="1" fillId="0" borderId="0" xfId="8" applyNumberFormat="1" applyFont="1" applyFill="1" applyBorder="1" applyAlignment="1" applyProtection="1">
      <alignment horizontal="center"/>
    </xf>
    <xf numFmtId="0" fontId="1" fillId="0" borderId="21" xfId="1" applyNumberFormat="1" applyBorder="1" applyProtection="1"/>
    <xf numFmtId="166" fontId="1" fillId="0" borderId="31" xfId="1" applyNumberFormat="1" applyBorder="1" applyProtection="1"/>
    <xf numFmtId="0" fontId="78" fillId="0" borderId="0" xfId="1" applyNumberFormat="1" applyFont="1" applyFill="1" applyBorder="1" applyAlignment="1" applyProtection="1">
      <alignment horizontal="left"/>
    </xf>
    <xf numFmtId="0" fontId="11" fillId="0" borderId="21" xfId="1" applyNumberFormat="1" applyFont="1" applyFill="1" applyBorder="1" applyProtection="1"/>
    <xf numFmtId="166" fontId="11" fillId="0" borderId="31" xfId="1" applyNumberFormat="1" applyFont="1" applyBorder="1" applyAlignment="1" applyProtection="1">
      <alignment horizontal="center" vertical="center"/>
    </xf>
    <xf numFmtId="0" fontId="11" fillId="0" borderId="21" xfId="1" applyNumberFormat="1" applyFont="1" applyBorder="1" applyAlignment="1" applyProtection="1">
      <alignment horizontal="center" vertical="center"/>
    </xf>
    <xf numFmtId="166" fontId="11" fillId="0" borderId="31" xfId="1" applyNumberFormat="1" applyFont="1" applyFill="1" applyBorder="1" applyAlignment="1" applyProtection="1">
      <alignment horizontal="center" vertical="center"/>
    </xf>
    <xf numFmtId="0" fontId="11" fillId="0" borderId="21" xfId="1" applyNumberFormat="1" applyFont="1" applyFill="1" applyBorder="1" applyAlignment="1" applyProtection="1">
      <alignment horizontal="center" vertical="center"/>
    </xf>
    <xf numFmtId="0" fontId="78" fillId="0" borderId="0" xfId="1" applyNumberFormat="1" applyFont="1" applyProtection="1"/>
    <xf numFmtId="0" fontId="1" fillId="0" borderId="20" xfId="1" applyNumberFormat="1" applyBorder="1" applyProtection="1"/>
    <xf numFmtId="166" fontId="1" fillId="0" borderId="30" xfId="1" applyNumberFormat="1" applyBorder="1" applyProtection="1"/>
    <xf numFmtId="0" fontId="1" fillId="0" borderId="37" xfId="1" applyNumberFormat="1" applyBorder="1" applyProtection="1"/>
    <xf numFmtId="166" fontId="1" fillId="0" borderId="39" xfId="1" applyNumberFormat="1" applyBorder="1" applyProtection="1"/>
    <xf numFmtId="0" fontId="1" fillId="0" borderId="0" xfId="1" applyNumberFormat="1" applyAlignment="1" applyProtection="1">
      <alignment horizontal="center"/>
    </xf>
    <xf numFmtId="0" fontId="14" fillId="0" borderId="185" xfId="1" applyNumberFormat="1" applyFont="1" applyBorder="1" applyAlignment="1" applyProtection="1">
      <alignment horizontal="center" vertical="center"/>
    </xf>
    <xf numFmtId="166" fontId="14" fillId="0" borderId="43" xfId="1" applyNumberFormat="1" applyFont="1" applyBorder="1" applyAlignment="1" applyProtection="1">
      <alignment horizontal="center" vertical="center"/>
    </xf>
    <xf numFmtId="0" fontId="14" fillId="0" borderId="23" xfId="1" applyNumberFormat="1" applyFont="1" applyBorder="1" applyAlignment="1" applyProtection="1">
      <alignment horizontal="center" vertical="center"/>
    </xf>
    <xf numFmtId="0" fontId="14" fillId="0" borderId="5" xfId="1" applyNumberFormat="1" applyFont="1" applyBorder="1" applyAlignment="1" applyProtection="1">
      <alignment horizontal="center" vertical="center"/>
    </xf>
    <xf numFmtId="0" fontId="1" fillId="11" borderId="21" xfId="1" applyNumberFormat="1" applyFill="1" applyBorder="1" applyAlignment="1" applyProtection="1">
      <alignment horizontal="center"/>
    </xf>
    <xf numFmtId="166" fontId="1" fillId="11" borderId="186" xfId="1" applyNumberFormat="1" applyFont="1" applyFill="1" applyBorder="1" applyProtection="1"/>
    <xf numFmtId="0" fontId="1" fillId="0" borderId="21" xfId="1" applyNumberFormat="1" applyFont="1" applyBorder="1" applyProtection="1"/>
    <xf numFmtId="166" fontId="1" fillId="11" borderId="31" xfId="1" applyNumberFormat="1" applyFont="1" applyFill="1" applyBorder="1" applyProtection="1"/>
    <xf numFmtId="0" fontId="1" fillId="0" borderId="35" xfId="1" applyNumberFormat="1" applyFont="1" applyBorder="1" applyProtection="1"/>
    <xf numFmtId="0" fontId="1" fillId="0" borderId="57" xfId="1" applyNumberFormat="1" applyBorder="1" applyAlignment="1" applyProtection="1">
      <alignment horizontal="center"/>
    </xf>
    <xf numFmtId="166" fontId="1" fillId="0" borderId="30" xfId="1" applyNumberFormat="1" applyFont="1" applyBorder="1" applyProtection="1"/>
    <xf numFmtId="0" fontId="1" fillId="0" borderId="20" xfId="1" applyNumberFormat="1" applyFont="1" applyBorder="1" applyProtection="1"/>
    <xf numFmtId="0" fontId="1" fillId="0" borderId="180" xfId="1" applyNumberFormat="1" applyFont="1" applyBorder="1" applyProtection="1"/>
    <xf numFmtId="0" fontId="78" fillId="0" borderId="0" xfId="1" applyNumberFormat="1" applyFont="1" applyFill="1" applyBorder="1" applyAlignment="1" applyProtection="1">
      <alignment horizontal="right"/>
    </xf>
    <xf numFmtId="0" fontId="78" fillId="0" borderId="0" xfId="1" applyNumberFormat="1" applyFont="1" applyFill="1" applyBorder="1" applyProtection="1"/>
    <xf numFmtId="0" fontId="11" fillId="0" borderId="23" xfId="1" applyNumberFormat="1" applyFont="1" applyBorder="1" applyAlignment="1" applyProtection="1">
      <alignment horizontal="center" vertical="center"/>
    </xf>
    <xf numFmtId="166" fontId="11" fillId="0" borderId="43" xfId="1" applyNumberFormat="1" applyFont="1" applyBorder="1" applyAlignment="1" applyProtection="1">
      <alignment horizontal="center" vertical="center"/>
    </xf>
    <xf numFmtId="0" fontId="11" fillId="0" borderId="5" xfId="1" applyNumberFormat="1" applyFont="1" applyBorder="1" applyAlignment="1" applyProtection="1">
      <alignment horizontal="center" vertical="center"/>
    </xf>
    <xf numFmtId="166" fontId="1" fillId="11" borderId="31" xfId="1" applyNumberFormat="1" applyFill="1" applyBorder="1" applyProtection="1"/>
    <xf numFmtId="0" fontId="1" fillId="0" borderId="35" xfId="1" applyNumberFormat="1" applyBorder="1" applyProtection="1"/>
    <xf numFmtId="166" fontId="1" fillId="0" borderId="30" xfId="1" applyNumberFormat="1" applyFill="1" applyBorder="1" applyProtection="1"/>
    <xf numFmtId="0" fontId="1" fillId="0" borderId="180" xfId="1" applyNumberFormat="1" applyBorder="1" applyProtection="1"/>
    <xf numFmtId="166" fontId="1" fillId="0" borderId="0" xfId="1" applyNumberFormat="1" applyFill="1" applyProtection="1"/>
    <xf numFmtId="10" fontId="1" fillId="0" borderId="0" xfId="8" applyNumberFormat="1" applyFont="1" applyAlignment="1" applyProtection="1"/>
    <xf numFmtId="0" fontId="1" fillId="0" borderId="0" xfId="1" applyNumberFormat="1" applyAlignment="1" applyProtection="1"/>
    <xf numFmtId="166" fontId="11" fillId="2" borderId="0" xfId="7" applyNumberFormat="1" applyFont="1" applyFill="1" applyBorder="1" applyProtection="1">
      <protection locked="0"/>
    </xf>
    <xf numFmtId="2" fontId="11" fillId="2" borderId="0" xfId="2" applyNumberFormat="1" applyFont="1" applyFill="1" applyBorder="1" applyAlignment="1" applyProtection="1">
      <alignment horizontal="center"/>
      <protection locked="0"/>
    </xf>
    <xf numFmtId="166" fontId="11" fillId="2" borderId="0" xfId="1" applyNumberFormat="1" applyFont="1" applyFill="1" applyBorder="1" applyAlignment="1" applyProtection="1">
      <alignment horizontal="center"/>
      <protection locked="0"/>
    </xf>
    <xf numFmtId="166" fontId="11" fillId="2" borderId="1" xfId="1" applyNumberFormat="1" applyFont="1" applyFill="1" applyBorder="1" applyAlignment="1" applyProtection="1">
      <alignment horizontal="center"/>
      <protection locked="0"/>
    </xf>
    <xf numFmtId="10" fontId="11" fillId="2" borderId="17" xfId="8" applyNumberFormat="1" applyFont="1" applyFill="1" applyBorder="1" applyAlignment="1" applyProtection="1">
      <alignment horizontal="center"/>
      <protection locked="0"/>
    </xf>
    <xf numFmtId="0" fontId="11" fillId="2" borderId="21" xfId="1" applyNumberFormat="1" applyFont="1" applyFill="1" applyBorder="1" applyAlignment="1" applyProtection="1">
      <alignment horizontal="center" vertical="center"/>
      <protection locked="0"/>
    </xf>
    <xf numFmtId="0" fontId="0" fillId="33" borderId="0" xfId="0" applyFill="1"/>
    <xf numFmtId="7" fontId="0" fillId="33" borderId="0" xfId="0" applyNumberFormat="1" applyFill="1"/>
    <xf numFmtId="0" fontId="0" fillId="33" borderId="0" xfId="0" applyNumberFormat="1" applyFill="1"/>
    <xf numFmtId="0" fontId="11" fillId="0" borderId="0" xfId="1" applyNumberFormat="1" applyFont="1" applyBorder="1" applyAlignment="1" applyProtection="1">
      <alignment horizontal="center"/>
    </xf>
    <xf numFmtId="10" fontId="1" fillId="0" borderId="0" xfId="8" applyNumberFormat="1" applyFont="1" applyBorder="1" applyAlignment="1" applyProtection="1">
      <alignment horizontal="center"/>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11" fillId="0" borderId="0" xfId="1" applyNumberFormat="1" applyFont="1" applyBorder="1" applyAlignment="1" applyProtection="1">
      <alignment horizontal="center"/>
    </xf>
    <xf numFmtId="0" fontId="0" fillId="3" borderId="0" xfId="0" applyFill="1"/>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9" borderId="0" xfId="0"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49" fontId="55" fillId="20" borderId="0" xfId="0" quotePrefix="1" applyNumberFormat="1" applyFont="1" applyFill="1" applyAlignment="1">
      <alignment horizontal="left" vertical="center"/>
    </xf>
    <xf numFmtId="49" fontId="55" fillId="31" borderId="0" xfId="0" quotePrefix="1" applyNumberFormat="1" applyFont="1" applyFill="1" applyAlignment="1">
      <alignment horizontal="left" vertic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4" fillId="0" borderId="0" xfId="1" applyNumberFormat="1" applyFont="1" applyAlignment="1" applyProtection="1">
      <alignment horizontal="right"/>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0" xfId="1" applyNumberFormat="1" applyFont="1" applyBorder="1" applyAlignment="1" applyProtection="1">
      <alignment horizontal="center"/>
    </xf>
    <xf numFmtId="0" fontId="1" fillId="0" borderId="0" xfId="1" applyNumberFormat="1" applyAlignment="1" applyProtection="1">
      <alignment horizontal="left"/>
    </xf>
    <xf numFmtId="0" fontId="1" fillId="0" borderId="23" xfId="1" applyNumberFormat="1" applyBorder="1" applyAlignment="1" applyProtection="1">
      <alignment horizontal="center"/>
    </xf>
    <xf numFmtId="0" fontId="1" fillId="0" borderId="43" xfId="1" applyNumberFormat="1" applyBorder="1" applyAlignment="1" applyProtection="1">
      <alignment horizontal="center"/>
    </xf>
    <xf numFmtId="10" fontId="8" fillId="0" borderId="44" xfId="8" applyNumberFormat="1" applyFont="1" applyBorder="1" applyAlignment="1" applyProtection="1">
      <alignment horizontal="center"/>
    </xf>
    <xf numFmtId="10" fontId="8" fillId="0" borderId="6" xfId="8" applyNumberFormat="1" applyFont="1" applyBorder="1" applyAlignment="1" applyProtection="1">
      <alignment horizontal="center"/>
    </xf>
    <xf numFmtId="10" fontId="1" fillId="0" borderId="36" xfId="8" applyNumberFormat="1" applyFont="1" applyBorder="1" applyAlignment="1" applyProtection="1">
      <alignment horizontal="center"/>
    </xf>
    <xf numFmtId="10" fontId="1" fillId="0" borderId="32" xfId="8" applyNumberFormat="1" applyFont="1" applyBorder="1" applyAlignment="1" applyProtection="1">
      <alignment horizontal="center"/>
    </xf>
    <xf numFmtId="10" fontId="1" fillId="0" borderId="145" xfId="8" applyNumberFormat="1" applyFont="1" applyBorder="1" applyAlignment="1" applyProtection="1">
      <alignment horizontal="center"/>
    </xf>
    <xf numFmtId="10" fontId="1" fillId="0" borderId="184" xfId="8" applyNumberFormat="1" applyFont="1" applyBorder="1" applyAlignment="1" applyProtection="1">
      <alignment horizontal="center"/>
    </xf>
    <xf numFmtId="10" fontId="1" fillId="0" borderId="0" xfId="8" applyNumberFormat="1" applyFont="1" applyAlignment="1" applyProtection="1">
      <alignment horizontal="center"/>
    </xf>
    <xf numFmtId="10" fontId="1" fillId="0" borderId="0" xfId="8" applyNumberFormat="1" applyFont="1" applyBorder="1" applyAlignment="1" applyProtection="1">
      <alignment horizontal="center"/>
    </xf>
    <xf numFmtId="0" fontId="0" fillId="34" borderId="0" xfId="0" applyNumberFormat="1" applyFill="1"/>
    <xf numFmtId="7" fontId="0" fillId="34" borderId="0" xfId="0" applyNumberFormat="1" applyFill="1"/>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4.4043509733324306</c:v>
                </c:pt>
              </c:numCache>
            </c:numRef>
          </c:xVal>
          <c:yVal>
            <c:numRef>
              <c:f>'D-Analysis'!$E$21:$F$21</c:f>
              <c:numCache>
                <c:formatCode>"$"#,##0_);[Red]\("$"#,##0\)</c:formatCode>
                <c:ptCount val="2"/>
                <c:pt idx="0">
                  <c:v>273056.25</c:v>
                </c:pt>
                <c:pt idx="1">
                  <c:v>273056.25</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4.4043509733324306</c:v>
                </c:pt>
              </c:numCache>
            </c:numRef>
          </c:xVal>
          <c:yVal>
            <c:numRef>
              <c:f>'D-Analysis'!$F$18</c:f>
              <c:numCache>
                <c:formatCode>"$"#,##0_);[Red]\("$"#,##0\)</c:formatCode>
                <c:ptCount val="1"/>
                <c:pt idx="0">
                  <c:v>359037.82317938871</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4.4043509733324306</c:v>
                </c:pt>
              </c:numCache>
            </c:numRef>
          </c:xVal>
          <c:yVal>
            <c:numRef>
              <c:f>'D-Analysis'!$E$22:$F$22</c:f>
              <c:numCache>
                <c:formatCode>#,##0_);[Red]\(#,##0\)</c:formatCode>
                <c:ptCount val="2"/>
                <c:pt idx="0" formatCode="&quot;$&quot;#,##0_);[Red]\(&quot;$&quot;#,##0\)">
                  <c:v>0</c:v>
                </c:pt>
                <c:pt idx="1">
                  <c:v>359037.82317938871</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4.4043509733324306</c:v>
                </c:pt>
              </c:numCache>
            </c:numRef>
          </c:xVal>
          <c:yVal>
            <c:numRef>
              <c:f>'D-Analysis'!$E$23:$F$23</c:f>
              <c:numCache>
                <c:formatCode>#,##0_);[Red]\(#,##0\)</c:formatCode>
                <c:ptCount val="2"/>
                <c:pt idx="0" formatCode="&quot;$&quot;#,##0_);[Red]\(&quot;$&quot;#,##0\)">
                  <c:v>273056.25</c:v>
                </c:pt>
                <c:pt idx="1">
                  <c:v>359037.82317938871</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105149</c:v>
                </c:pt>
                <c:pt idx="1">
                  <c:v>101640</c:v>
                </c:pt>
                <c:pt idx="2">
                  <c:v>155541.2481792543</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95590</c:v>
                </c:pt>
                <c:pt idx="1">
                  <c:v>92400</c:v>
                </c:pt>
                <c:pt idx="2">
                  <c:v>144831.24817925435</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84000</c:v>
                </c:pt>
                <c:pt idx="2">
                  <c:v>117156.2481792543</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510188.01323051762</c:v>
                </c:pt>
                <c:pt idx="1">
                  <c:v>349505.2481792543</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467040.86938781885</c:v>
                </c:pt>
                <c:pt idx="1">
                  <c:v>318571.24817925435</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463406.9295952174</c:v>
                </c:pt>
                <c:pt idx="1">
                  <c:v>280556.2481792543</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24366</c:v>
                </c:pt>
                <c:pt idx="1">
                  <c:v>83535.8125</c:v>
                </c:pt>
                <c:pt idx="2">
                  <c:v>94115.512499999997</c:v>
                </c:pt>
                <c:pt idx="3">
                  <c:v>45842.8</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94670.891399999993</c:v>
                </c:pt>
                <c:pt idx="1">
                  <c:v>241722.81159999999</c:v>
                </c:pt>
                <c:pt idx="2">
                  <c:v>289614.71549999999</c:v>
                </c:pt>
                <c:pt idx="3">
                  <c:v>159603.6991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79860.062099999996</c:v>
                </c:pt>
                <c:pt idx="1">
                  <c:v>79860.062099999996</c:v>
                </c:pt>
                <c:pt idx="2">
                  <c:v>79860.062099999996</c:v>
                </c:pt>
                <c:pt idx="3">
                  <c:v>79860.062099999996</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14810.829299999999</c:v>
                </c:pt>
                <c:pt idx="1">
                  <c:v>161862.74960000001</c:v>
                </c:pt>
                <c:pt idx="2">
                  <c:v>209754.65340000001</c:v>
                </c:pt>
                <c:pt idx="3">
                  <c:v>79743.637000000002</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31335.876100000001</c:v>
                </c:pt>
                <c:pt idx="1">
                  <c:v>89401.316699999996</c:v>
                </c:pt>
                <c:pt idx="2">
                  <c:v>104653.3167</c:v>
                </c:pt>
                <c:pt idx="3">
                  <c:v>54063.528299999998</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111678.1779</c:v>
                </c:pt>
                <c:pt idx="1">
                  <c:v>250582.20009999999</c:v>
                </c:pt>
                <c:pt idx="2">
                  <c:v>314899.07059999998</c:v>
                </c:pt>
                <c:pt idx="3">
                  <c:v>182533.81270000001</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89638.262100000007</c:v>
                </c:pt>
                <c:pt idx="1">
                  <c:v>89638.262100000007</c:v>
                </c:pt>
                <c:pt idx="2">
                  <c:v>89638.262100000007</c:v>
                </c:pt>
                <c:pt idx="3">
                  <c:v>89638.262100000007</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22039.915799999999</c:v>
                </c:pt>
                <c:pt idx="1">
                  <c:v>160943.9382</c:v>
                </c:pt>
                <c:pt idx="2">
                  <c:v>225260.80850000001</c:v>
                </c:pt>
                <c:pt idx="3">
                  <c:v>92895.550600000002</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70139.061900000001</c:v>
                </c:pt>
                <c:pt idx="1">
                  <c:v>70139.061900000001</c:v>
                </c:pt>
                <c:pt idx="2">
                  <c:v>70139.061900000001</c:v>
                </c:pt>
                <c:pt idx="3">
                  <c:v>70139.061900000001</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22898.185099999999</c:v>
                </c:pt>
                <c:pt idx="1">
                  <c:v>149150.00399999999</c:v>
                </c:pt>
                <c:pt idx="2">
                  <c:v>204498.0931</c:v>
                </c:pt>
                <c:pt idx="3">
                  <c:v>86860.647599999997</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5.2852056723000855E-2</c:v>
                </c:pt>
                <c:pt idx="1">
                  <c:v>8.3760694788843001E-2</c:v>
                </c:pt>
                <c:pt idx="2">
                  <c:v>3.9759088275801671E-2</c:v>
                </c:pt>
                <c:pt idx="3">
                  <c:v>0.13877547430067244</c:v>
                </c:pt>
                <c:pt idx="4">
                  <c:v>0.11892204451216799</c:v>
                </c:pt>
                <c:pt idx="5">
                  <c:v>0.11892204451216799</c:v>
                </c:pt>
                <c:pt idx="6">
                  <c:v>0.18950678730627221</c:v>
                </c:pt>
                <c:pt idx="7">
                  <c:v>0.25084254575122578</c:v>
                </c:pt>
                <c:pt idx="8">
                  <c:v>6.659263893323184E-3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4.5290956755948367E-2</c:v>
                </c:pt>
                <c:pt idx="1">
                  <c:v>4.7894712622784261E-2</c:v>
                </c:pt>
                <c:pt idx="2">
                  <c:v>2.8164686476350297E-2</c:v>
                </c:pt>
                <c:pt idx="3">
                  <c:v>7.7848471577282793E-2</c:v>
                </c:pt>
                <c:pt idx="4">
                  <c:v>7.7118794091662543E-2</c:v>
                </c:pt>
                <c:pt idx="5">
                  <c:v>7.7118794091662543E-2</c:v>
                </c:pt>
                <c:pt idx="6">
                  <c:v>0.2976148709526884</c:v>
                </c:pt>
                <c:pt idx="7">
                  <c:v>0.33596072714725395</c:v>
                </c:pt>
                <c:pt idx="8">
                  <c:v>1.2987986415673117E-2</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5.5262152102666467E-2</c:v>
                </c:pt>
                <c:pt idx="1">
                  <c:v>9.5192951814766891E-2</c:v>
                </c:pt>
                <c:pt idx="2">
                  <c:v>4.345479578028489E-2</c:v>
                </c:pt>
                <c:pt idx="3">
                  <c:v>0.15819591423670973</c:v>
                </c:pt>
                <c:pt idx="4">
                  <c:v>0.13224680164175004</c:v>
                </c:pt>
                <c:pt idx="5">
                  <c:v>0.13224680164175004</c:v>
                </c:pt>
                <c:pt idx="6">
                  <c:v>0.15504741049124746</c:v>
                </c:pt>
                <c:pt idx="7">
                  <c:v>0.22371118431988901</c:v>
                </c:pt>
                <c:pt idx="8">
                  <c:v>4.6419879290816772E-3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0.37566953270557213</c:v>
                </c:pt>
                <c:pt idx="1">
                  <c:v>0.62433046729442787</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0.37364381883662157</c:v>
                </c:pt>
                <c:pt idx="1">
                  <c:v>0.62635618116337843</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0.35666822564995426</c:v>
                </c:pt>
                <c:pt idx="1">
                  <c:v>0.64333177435004574</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92852.992216481201</c:v>
                </c:pt>
                <c:pt idx="1">
                  <c:v>97760.168760413668</c:v>
                </c:pt>
                <c:pt idx="2">
                  <c:v>105259.92675381451</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0.92377498308710104</c:v>
                </c:pt>
                <c:pt idx="1">
                  <c:v>0.91365027621607386</c:v>
                </c:pt>
                <c:pt idx="2">
                  <c:v>0.95186124671889749</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154313.69055322307</c:v>
                </c:pt>
                <c:pt idx="1">
                  <c:v>163879.83123958632</c:v>
                </c:pt>
                <c:pt idx="2">
                  <c:v>189860.07324618555</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0.94095024211990475</c:v>
                </c:pt>
                <c:pt idx="1">
                  <c:v>0.93871868483461152</c:v>
                </c:pt>
                <c:pt idx="2">
                  <c:v>0.9657545280767047</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0.28680084517535065</c:v>
                </c:pt>
                <c:pt idx="1">
                  <c:v>0.30825331835391212</c:v>
                </c:pt>
                <c:pt idx="2">
                  <c:v>0.30681304203105292</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8.5869664821497563E-2</c:v>
                </c:pt>
                <c:pt idx="1">
                  <c:v>8.9407335968608267E-2</c:v>
                </c:pt>
                <c:pt idx="2">
                  <c:v>8.9224633262280292E-2</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9.2494017805619749E-2</c:v>
                </c:pt>
                <c:pt idx="2">
                  <c:v>9.2305007505859016E-2</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0.47372140143215047</c:v>
                </c:pt>
                <c:pt idx="1">
                  <c:v>0.45191428485311269</c:v>
                </c:pt>
                <c:pt idx="2">
                  <c:v>0.44786834292900762</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234263.53563608901</c:v>
                </c:pt>
                <c:pt idx="1">
                  <c:v>743963.1777744717</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247860.12493931886</c:v>
                </c:pt>
                <c:pt idx="1">
                  <c:v>785612.11756707297</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279454.03775843122</c:v>
                </c:pt>
                <c:pt idx="1">
                  <c:v>859693.26140977186</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31335.876100000001</c:v>
                </c:pt>
                <c:pt idx="1">
                  <c:v>89401.316699999996</c:v>
                </c:pt>
                <c:pt idx="2">
                  <c:v>104653.3167</c:v>
                </c:pt>
                <c:pt idx="3">
                  <c:v>54063.528299999998</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24366</c:v>
                </c:pt>
                <c:pt idx="1">
                  <c:v>83535.8125</c:v>
                </c:pt>
                <c:pt idx="2">
                  <c:v>94115.512499999997</c:v>
                </c:pt>
                <c:pt idx="3">
                  <c:v>45842.8</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111678.1779</c:v>
                </c:pt>
                <c:pt idx="1">
                  <c:v>250582.20009999999</c:v>
                </c:pt>
                <c:pt idx="2">
                  <c:v>314899.07059999998</c:v>
                </c:pt>
                <c:pt idx="3">
                  <c:v>182533.81270000001</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94670.891399999993</c:v>
                </c:pt>
                <c:pt idx="1">
                  <c:v>241722.81159999999</c:v>
                </c:pt>
                <c:pt idx="2">
                  <c:v>289614.71549999999</c:v>
                </c:pt>
                <c:pt idx="3">
                  <c:v>159603.6991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89638.262100000007</c:v>
                </c:pt>
                <c:pt idx="1">
                  <c:v>89638.262100000007</c:v>
                </c:pt>
                <c:pt idx="2">
                  <c:v>89638.262100000007</c:v>
                </c:pt>
                <c:pt idx="3">
                  <c:v>89638.262100000007</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79860.062099999996</c:v>
                </c:pt>
                <c:pt idx="1">
                  <c:v>79860.062099999996</c:v>
                </c:pt>
                <c:pt idx="2">
                  <c:v>79860.062099999996</c:v>
                </c:pt>
                <c:pt idx="3">
                  <c:v>79860.062099999996</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70139.061900000001</c:v>
                </c:pt>
                <c:pt idx="1">
                  <c:v>70139.061900000001</c:v>
                </c:pt>
                <c:pt idx="2">
                  <c:v>70139.061900000001</c:v>
                </c:pt>
                <c:pt idx="3">
                  <c:v>70139.061900000001</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22039.915799999999</c:v>
                </c:pt>
                <c:pt idx="1">
                  <c:v>160943.9382</c:v>
                </c:pt>
                <c:pt idx="2">
                  <c:v>225260.80850000001</c:v>
                </c:pt>
                <c:pt idx="3">
                  <c:v>92895.550600000002</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14810.829299999999</c:v>
                </c:pt>
                <c:pt idx="1">
                  <c:v>161862.74960000001</c:v>
                </c:pt>
                <c:pt idx="2">
                  <c:v>209754.65340000001</c:v>
                </c:pt>
                <c:pt idx="3">
                  <c:v>79743.637000000002</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22898.185099999999</c:v>
                </c:pt>
                <c:pt idx="1">
                  <c:v>149150.00399999999</c:v>
                </c:pt>
                <c:pt idx="2">
                  <c:v>204498.0931</c:v>
                </c:pt>
                <c:pt idx="3">
                  <c:v>86860.647599999997</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1"/>
              <a:ext cx="304800" cy="581025"/>
              <a:chOff x="1133475" y="571396"/>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96"/>
                <a:ext cx="304800" cy="21895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5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2"/>
              <a:ext cx="304800" cy="581025"/>
              <a:chOff x="1133475" y="571396"/>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96"/>
                <a:ext cx="304800" cy="21895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5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85"/>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85"/>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64"/>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0"/>
              <a:ext cx="97155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1"/>
              <a:ext cx="304800" cy="581025"/>
              <a:chOff x="1133475" y="571767"/>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67"/>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77"/>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0"/>
              <a:ext cx="295275" cy="581025"/>
              <a:chOff x="1133475" y="571404"/>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404"/>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14"/>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46"/>
              <a:ext cx="168965" cy="581025"/>
              <a:chOff x="1133475" y="571405"/>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05"/>
                <a:ext cx="304800" cy="21905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5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11" sqref="D11"/>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24"/>
      <c r="C1" s="225"/>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51"/>
      <c r="C4" s="73"/>
      <c r="D4" s="1"/>
    </row>
    <row r="5" spans="2:19" ht="12.75" customHeight="1">
      <c r="B5" s="2"/>
      <c r="C5" s="24" t="s">
        <v>30</v>
      </c>
      <c r="D5" s="74" t="str">
        <f ca="1">IF(MONTH(TODAY())&lt;6, "Spring", IF(MONTH(TODAY())&lt;9,"Summer","Fall"))&amp;" "&amp;YEAR(TODAY())</f>
        <v>Summer 2021</v>
      </c>
    </row>
    <row r="6" spans="2:19" ht="12.75" customHeight="1">
      <c r="B6" s="2"/>
      <c r="C6" s="22"/>
    </row>
    <row r="7" spans="2:19" ht="12.75" customHeight="1">
      <c r="B7" s="2"/>
      <c r="C7" s="24" t="s">
        <v>29</v>
      </c>
      <c r="D7" s="648" t="s">
        <v>718</v>
      </c>
    </row>
    <row r="8" spans="2:19" ht="12.75" customHeight="1">
      <c r="C8" s="22"/>
      <c r="D8" s="1"/>
    </row>
    <row r="9" spans="2:19" ht="12.75" customHeight="1">
      <c r="C9" s="24" t="s">
        <v>404</v>
      </c>
      <c r="D9" s="648" t="s">
        <v>719</v>
      </c>
    </row>
    <row r="10" spans="2:19" ht="12.75" customHeight="1">
      <c r="C10" s="22"/>
      <c r="D10" s="1"/>
    </row>
    <row r="11" spans="2:19" ht="12.75" customHeight="1">
      <c r="B11" s="226"/>
      <c r="C11" s="24" t="s">
        <v>28</v>
      </c>
      <c r="D11" s="648" t="s">
        <v>720</v>
      </c>
    </row>
    <row r="12" spans="2:19" ht="12.75" customHeight="1">
      <c r="B12" s="227"/>
    </row>
    <row r="13" spans="2:19" ht="12.75" customHeight="1">
      <c r="B13" s="227"/>
    </row>
    <row r="14" spans="2:19" ht="12.75" customHeight="1">
      <c r="B14" s="227"/>
      <c r="C14" s="24" t="s">
        <v>27</v>
      </c>
      <c r="D14" s="6" t="s">
        <v>26</v>
      </c>
    </row>
    <row r="15" spans="2:19" ht="12.75" customHeight="1">
      <c r="B15" s="217"/>
      <c r="C15" s="22"/>
    </row>
    <row r="16" spans="2:19" ht="12.75" customHeight="1">
      <c r="B16" s="217"/>
      <c r="C16" s="23" t="s">
        <v>25</v>
      </c>
      <c r="D16" s="1024">
        <v>44418</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u0u8sMVqx1ibXTaz6AhP53qq5QTGcvSf0FtRvgEEe6LtAEi6K2WQ3mQu4W0X52qIfRgfGtZKxDjwPEkzADK1/w==" saltValue="ZQ8vjXT3TLMV3CXNrXvn4g=="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431" t="str">
        <f>IF(ProjectTitle="","",ProjectTitle)</f>
        <v>TORO</v>
      </c>
      <c r="D14" s="1431"/>
      <c r="E14" s="1431"/>
      <c r="F14" s="1431"/>
      <c r="G14" s="1431"/>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625</v>
      </c>
      <c r="C17" s="1432" t="str">
        <f>IF(projectlocation="","",projectlocation)</f>
        <v>1704 Washington St, Boston, MA 02118, United States</v>
      </c>
      <c r="D17" s="1432"/>
      <c r="E17" s="1432"/>
      <c r="F17" s="1432"/>
      <c r="G17" s="1432"/>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431" t="str">
        <f>IF(StudentName="","",StudentName)</f>
        <v>Di Ha</v>
      </c>
      <c r="D26" s="1431"/>
      <c r="E26" s="1431"/>
      <c r="F26" s="1431"/>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430" t="str">
        <f>Advisor</f>
        <v>Dr. Vladimir Zlatev</v>
      </c>
      <c r="D31" s="1430"/>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429">
        <f>IF(Date="","",Date)</f>
        <v>44418</v>
      </c>
      <c r="D35" s="1429"/>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428"/>
      <c r="C46" s="1428"/>
      <c r="D46" s="1428"/>
      <c r="E46" s="1428"/>
      <c r="F46" s="1428"/>
      <c r="G46" s="1428"/>
      <c r="H46" s="1428"/>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19" customWidth="1"/>
    <col min="2" max="5" width="9.140625" style="219"/>
    <col min="6" max="6" width="18.42578125" style="219" customWidth="1"/>
    <col min="7" max="7" width="3.42578125" style="219" customWidth="1"/>
    <col min="8" max="13" width="9.140625" style="219"/>
    <col min="14" max="14" width="3.42578125" style="219" customWidth="1"/>
    <col min="15" max="16384" width="9.140625" style="219"/>
  </cols>
  <sheetData>
    <row r="1" spans="1:21" ht="25.5" customHeight="1">
      <c r="A1" s="218"/>
      <c r="B1" s="1442" t="s">
        <v>395</v>
      </c>
      <c r="C1" s="1442"/>
      <c r="D1" s="1442"/>
      <c r="E1" s="1442"/>
      <c r="F1" s="1442"/>
      <c r="G1" s="1442"/>
      <c r="H1" s="1442"/>
      <c r="I1" s="1442"/>
      <c r="J1" s="1442"/>
      <c r="K1" s="1442"/>
      <c r="L1" s="1442"/>
      <c r="M1" s="1442"/>
      <c r="N1" s="1442"/>
      <c r="O1" s="1442"/>
      <c r="P1" s="1442"/>
      <c r="Q1" s="1442"/>
      <c r="R1" s="1442"/>
      <c r="S1" s="1442"/>
      <c r="T1" s="1442"/>
    </row>
    <row r="2" spans="1:21" ht="15.75" thickBot="1">
      <c r="A2" s="220"/>
      <c r="B2" s="1443"/>
      <c r="C2" s="1443"/>
      <c r="D2" s="1443"/>
      <c r="E2" s="1443"/>
      <c r="F2" s="1443"/>
      <c r="G2" s="1443"/>
      <c r="H2" s="1443"/>
      <c r="I2" s="1443"/>
      <c r="J2" s="1443"/>
      <c r="K2" s="1443"/>
      <c r="L2" s="1443"/>
      <c r="M2" s="1443"/>
      <c r="N2" s="1443"/>
      <c r="O2" s="1443"/>
      <c r="P2" s="1443"/>
      <c r="Q2" s="1443"/>
      <c r="R2" s="1443"/>
      <c r="S2" s="1443"/>
      <c r="T2" s="1443"/>
    </row>
    <row r="3" spans="1:21" s="221" customFormat="1" ht="15.75">
      <c r="A3" s="1444" t="s">
        <v>396</v>
      </c>
      <c r="B3" s="1444"/>
      <c r="C3" s="1444"/>
      <c r="D3" s="1444"/>
      <c r="E3" s="1444"/>
      <c r="F3" s="1444"/>
      <c r="H3" s="1441" t="s">
        <v>647</v>
      </c>
      <c r="I3" s="1441"/>
      <c r="J3" s="1441"/>
      <c r="K3" s="1441"/>
      <c r="L3" s="1441"/>
      <c r="M3" s="1441"/>
      <c r="O3" s="1435" t="s">
        <v>650</v>
      </c>
      <c r="P3" s="1435"/>
      <c r="Q3" s="1435"/>
      <c r="R3" s="1435"/>
      <c r="S3" s="1435"/>
      <c r="T3" s="1435"/>
      <c r="U3" s="221" t="s">
        <v>397</v>
      </c>
    </row>
    <row r="4" spans="1:21" ht="55.5" customHeight="1"/>
    <row r="5" spans="1:21" ht="20.100000000000001" customHeight="1">
      <c r="B5" s="222"/>
    </row>
    <row r="6" spans="1:21" ht="15.75">
      <c r="O6" s="1435" t="s">
        <v>651</v>
      </c>
      <c r="P6" s="1435"/>
      <c r="Q6" s="1435"/>
      <c r="R6" s="1435"/>
      <c r="S6" s="1435"/>
      <c r="T6" s="1435"/>
    </row>
    <row r="7" spans="1:21" ht="19.5" customHeight="1">
      <c r="H7" s="1441" t="s">
        <v>648</v>
      </c>
      <c r="I7" s="1441"/>
      <c r="J7" s="1441"/>
      <c r="K7" s="1441"/>
      <c r="L7" s="1441"/>
      <c r="M7" s="1441"/>
    </row>
    <row r="8" spans="1:21" ht="28.5" customHeight="1"/>
    <row r="9" spans="1:21" ht="18" customHeight="1"/>
    <row r="10" spans="1:21" ht="15.75">
      <c r="A10" s="1444" t="s">
        <v>398</v>
      </c>
      <c r="B10" s="1444"/>
      <c r="C10" s="1444"/>
      <c r="D10" s="1444"/>
      <c r="E10" s="1444"/>
      <c r="F10" s="1444"/>
      <c r="O10" s="1435" t="s">
        <v>652</v>
      </c>
      <c r="P10" s="1435"/>
      <c r="Q10" s="1435"/>
      <c r="R10" s="1435"/>
      <c r="S10" s="1435"/>
      <c r="T10" s="1435"/>
    </row>
    <row r="11" spans="1:21" ht="18" customHeight="1">
      <c r="C11" s="1440" t="s">
        <v>644</v>
      </c>
      <c r="D11" s="1440"/>
      <c r="E11" s="1440"/>
      <c r="F11" s="1440"/>
    </row>
    <row r="12" spans="1:21" ht="19.5" customHeight="1">
      <c r="C12" s="1440"/>
      <c r="D12" s="1440"/>
      <c r="E12" s="1440"/>
      <c r="F12" s="1440"/>
      <c r="H12" s="1441" t="s">
        <v>649</v>
      </c>
      <c r="I12" s="1441"/>
      <c r="J12" s="1441"/>
      <c r="K12" s="1441"/>
      <c r="L12" s="1441"/>
      <c r="M12" s="1441"/>
    </row>
    <row r="13" spans="1:21">
      <c r="A13" s="1043"/>
      <c r="B13" s="1043"/>
      <c r="C13" s="1043"/>
      <c r="D13" s="1043"/>
      <c r="E13" s="1043"/>
      <c r="F13" s="1043"/>
    </row>
    <row r="14" spans="1:21" ht="15.75">
      <c r="A14" s="1436" t="s">
        <v>645</v>
      </c>
      <c r="B14" s="1437"/>
      <c r="C14" s="1437"/>
      <c r="D14" s="1437"/>
      <c r="E14" s="1437"/>
      <c r="F14" s="1438"/>
      <c r="O14" s="1435" t="s">
        <v>653</v>
      </c>
      <c r="P14" s="1435"/>
      <c r="Q14" s="1435"/>
      <c r="R14" s="1435"/>
      <c r="S14" s="1435"/>
      <c r="T14" s="1435"/>
    </row>
    <row r="15" spans="1:21" ht="39.950000000000003" customHeight="1">
      <c r="C15" s="1042" t="s">
        <v>656</v>
      </c>
      <c r="D15" s="1439" t="s">
        <v>655</v>
      </c>
      <c r="E15" s="1439"/>
      <c r="F15" s="1439"/>
    </row>
    <row r="16" spans="1:21" ht="18" customHeight="1">
      <c r="C16" s="1041"/>
      <c r="D16" s="1040"/>
      <c r="E16" s="1040"/>
      <c r="F16" s="1040"/>
      <c r="O16" s="1435" t="s">
        <v>654</v>
      </c>
      <c r="P16" s="1435"/>
      <c r="Q16" s="1435"/>
      <c r="R16" s="1435"/>
      <c r="S16" s="1435"/>
      <c r="T16" s="1435"/>
    </row>
    <row r="17" spans="1:20" ht="15.75">
      <c r="A17" s="1433" t="s">
        <v>646</v>
      </c>
      <c r="B17" s="1433"/>
      <c r="C17" s="1433"/>
      <c r="D17" s="1433"/>
      <c r="E17" s="1433"/>
      <c r="F17" s="1433"/>
    </row>
    <row r="19" spans="1:20" ht="45" customHeight="1"/>
    <row r="21" spans="1:20" ht="15.75">
      <c r="O21" s="223"/>
      <c r="P21" s="223"/>
      <c r="Q21" s="223"/>
      <c r="R21" s="223"/>
      <c r="S21" s="223"/>
      <c r="T21" s="223"/>
    </row>
    <row r="22" spans="1:20" ht="45" customHeight="1"/>
    <row r="25" spans="1:20" ht="45" customHeight="1"/>
    <row r="35" spans="1:6" ht="15.75">
      <c r="A35" s="1434" t="s">
        <v>396</v>
      </c>
      <c r="B35" s="1434"/>
      <c r="C35" s="1434"/>
      <c r="D35" s="1434"/>
      <c r="E35" s="1434"/>
      <c r="F35" s="1434"/>
    </row>
    <row r="36" spans="1:6">
      <c r="A36" s="557" t="s">
        <v>484</v>
      </c>
      <c r="B36" s="558" t="s">
        <v>485</v>
      </c>
      <c r="C36" s="559"/>
      <c r="D36" s="559"/>
      <c r="E36" s="559"/>
      <c r="F36" s="559"/>
    </row>
    <row r="53" spans="1:6">
      <c r="A53" s="557" t="s">
        <v>486</v>
      </c>
      <c r="B53" s="558" t="s">
        <v>487</v>
      </c>
      <c r="C53" s="559"/>
      <c r="D53" s="559"/>
      <c r="E53" s="559"/>
      <c r="F53" s="559"/>
    </row>
    <row r="72" spans="1:6">
      <c r="A72" s="557" t="s">
        <v>488</v>
      </c>
      <c r="B72" s="558" t="s">
        <v>489</v>
      </c>
      <c r="C72" s="559"/>
      <c r="D72" s="559"/>
      <c r="E72" s="559"/>
      <c r="F72" s="559"/>
    </row>
    <row r="129" spans="1:6">
      <c r="A129" s="557" t="s">
        <v>490</v>
      </c>
      <c r="B129" s="558" t="s">
        <v>491</v>
      </c>
      <c r="C129" s="559"/>
      <c r="D129" s="559"/>
      <c r="E129" s="559"/>
      <c r="F129" s="559"/>
    </row>
    <row r="130" spans="1:6" s="1039" customFormat="1">
      <c r="A130" s="1036"/>
      <c r="B130" s="1037"/>
      <c r="C130" s="1038"/>
      <c r="D130" s="1038"/>
      <c r="E130" s="1038"/>
      <c r="F130" s="1038"/>
    </row>
    <row r="131" spans="1:6" s="1039" customFormat="1">
      <c r="A131" s="1036"/>
      <c r="B131" s="1037"/>
      <c r="C131" s="1038"/>
      <c r="D131" s="1038"/>
      <c r="E131" s="1038"/>
      <c r="F131" s="1038"/>
    </row>
    <row r="132" spans="1:6" s="1039" customFormat="1">
      <c r="A132" s="1036"/>
      <c r="B132" s="1037"/>
      <c r="C132" s="1038"/>
      <c r="D132" s="1038"/>
      <c r="E132" s="1038"/>
      <c r="F132" s="1038"/>
    </row>
    <row r="133" spans="1:6">
      <c r="A133" s="557" t="s">
        <v>492</v>
      </c>
      <c r="B133" s="558" t="s">
        <v>643</v>
      </c>
      <c r="C133" s="559"/>
      <c r="D133" s="559"/>
      <c r="E133" s="559"/>
      <c r="F133" s="559"/>
    </row>
    <row r="134" spans="1:6" s="1039" customFormat="1">
      <c r="A134" s="1036"/>
      <c r="B134" s="1037"/>
      <c r="C134" s="1038"/>
      <c r="D134" s="1038"/>
      <c r="E134" s="1038"/>
      <c r="F134" s="1038"/>
    </row>
    <row r="135" spans="1:6" s="1039" customFormat="1">
      <c r="A135" s="1036"/>
      <c r="B135" s="1037"/>
      <c r="C135" s="1038"/>
      <c r="D135" s="1038"/>
      <c r="E135" s="1038"/>
      <c r="F135" s="1038"/>
    </row>
    <row r="136" spans="1:6" s="1039" customFormat="1">
      <c r="A136" s="1036"/>
      <c r="B136" s="1037"/>
      <c r="C136" s="1038"/>
      <c r="D136" s="1038"/>
      <c r="E136" s="1038"/>
      <c r="F136" s="1038"/>
    </row>
    <row r="137" spans="1:6">
      <c r="A137" s="557" t="s">
        <v>494</v>
      </c>
      <c r="B137" s="558" t="s">
        <v>493</v>
      </c>
      <c r="C137" s="559"/>
      <c r="D137" s="559"/>
      <c r="E137" s="559"/>
      <c r="F137" s="559"/>
    </row>
    <row r="138" spans="1:6" s="1039" customFormat="1">
      <c r="A138" s="1036"/>
      <c r="B138" s="1037"/>
      <c r="C138" s="1038"/>
      <c r="D138" s="1038"/>
      <c r="E138" s="1038"/>
      <c r="F138" s="1038"/>
    </row>
    <row r="139" spans="1:6" s="1039" customFormat="1">
      <c r="A139" s="1036"/>
      <c r="B139" s="1037"/>
      <c r="C139" s="1038"/>
      <c r="D139" s="1038"/>
      <c r="E139" s="1038"/>
      <c r="F139" s="1038"/>
    </row>
    <row r="140" spans="1:6" s="1039" customFormat="1">
      <c r="A140" s="1036"/>
      <c r="B140" s="1037"/>
      <c r="C140" s="1038"/>
      <c r="D140" s="1038"/>
      <c r="E140" s="1038"/>
      <c r="F140" s="1038"/>
    </row>
    <row r="141" spans="1:6">
      <c r="A141" s="557" t="s">
        <v>496</v>
      </c>
      <c r="B141" s="558" t="s">
        <v>495</v>
      </c>
      <c r="C141" s="559"/>
      <c r="D141" s="559"/>
      <c r="E141" s="559"/>
      <c r="F141" s="559"/>
    </row>
    <row r="142" spans="1:6" s="1039" customFormat="1">
      <c r="A142" s="1036"/>
      <c r="B142" s="1037"/>
      <c r="C142" s="1038"/>
      <c r="D142" s="1038"/>
      <c r="E142" s="1038"/>
      <c r="F142" s="1038"/>
    </row>
    <row r="143" spans="1:6" s="1039" customFormat="1">
      <c r="A143" s="1036"/>
      <c r="B143" s="1037"/>
      <c r="C143" s="1038"/>
      <c r="D143" s="1038"/>
      <c r="E143" s="1038"/>
      <c r="F143" s="1038"/>
    </row>
    <row r="144" spans="1:6" s="1039" customFormat="1">
      <c r="A144" s="1036"/>
      <c r="B144" s="1037"/>
      <c r="C144" s="1038"/>
      <c r="D144" s="1038"/>
      <c r="E144" s="1038"/>
      <c r="F144" s="1038"/>
    </row>
    <row r="145" spans="1:6">
      <c r="A145" s="557" t="s">
        <v>498</v>
      </c>
      <c r="B145" s="558" t="s">
        <v>497</v>
      </c>
      <c r="C145" s="559"/>
      <c r="D145" s="559"/>
      <c r="E145" s="559"/>
      <c r="F145" s="559"/>
    </row>
    <row r="146" spans="1:6" s="1039" customFormat="1">
      <c r="A146" s="1036"/>
      <c r="B146" s="1037"/>
      <c r="C146" s="1038"/>
      <c r="D146" s="1038"/>
      <c r="E146" s="1038"/>
      <c r="F146" s="1038"/>
    </row>
    <row r="147" spans="1:6" s="1039" customFormat="1">
      <c r="A147" s="1036"/>
      <c r="B147" s="1037"/>
      <c r="C147" s="1038"/>
      <c r="D147" s="1038"/>
      <c r="E147" s="1038"/>
      <c r="F147" s="1038"/>
    </row>
    <row r="148" spans="1:6" s="1039" customFormat="1">
      <c r="A148" s="1036"/>
      <c r="B148" s="1037"/>
      <c r="C148" s="1038"/>
      <c r="D148" s="1038"/>
      <c r="E148" s="1038"/>
      <c r="F148" s="1038"/>
    </row>
    <row r="149" spans="1:6">
      <c r="A149" s="557" t="s">
        <v>500</v>
      </c>
      <c r="B149" s="558" t="s">
        <v>499</v>
      </c>
      <c r="C149" s="559"/>
      <c r="D149" s="559"/>
      <c r="E149" s="559"/>
      <c r="F149" s="559"/>
    </row>
    <row r="150" spans="1:6" s="1039" customFormat="1">
      <c r="A150" s="1036"/>
      <c r="B150" s="1037"/>
      <c r="C150" s="1038"/>
      <c r="D150" s="1038"/>
      <c r="E150" s="1038"/>
      <c r="F150" s="1038"/>
    </row>
    <row r="151" spans="1:6" s="1039" customFormat="1">
      <c r="A151" s="1036"/>
      <c r="B151" s="1037"/>
      <c r="C151" s="1038"/>
      <c r="D151" s="1038"/>
      <c r="E151" s="1038"/>
      <c r="F151" s="1038"/>
    </row>
    <row r="152" spans="1:6" s="1039" customFormat="1">
      <c r="A152" s="1036"/>
      <c r="B152" s="1037"/>
      <c r="C152" s="1038"/>
      <c r="D152" s="1038"/>
      <c r="E152" s="1038"/>
      <c r="F152" s="1038"/>
    </row>
    <row r="153" spans="1:6">
      <c r="A153" s="557" t="s">
        <v>502</v>
      </c>
      <c r="B153" s="558" t="s">
        <v>501</v>
      </c>
      <c r="C153" s="559"/>
      <c r="D153" s="559"/>
      <c r="E153" s="559"/>
      <c r="F153" s="559"/>
    </row>
    <row r="154" spans="1:6" s="1039" customFormat="1">
      <c r="A154" s="1036"/>
      <c r="B154" s="1037"/>
      <c r="C154" s="1038"/>
      <c r="D154" s="1038"/>
      <c r="E154" s="1038"/>
      <c r="F154" s="1038"/>
    </row>
    <row r="155" spans="1:6" s="1039" customFormat="1">
      <c r="A155" s="1036"/>
      <c r="B155" s="1037"/>
      <c r="C155" s="1038"/>
      <c r="D155" s="1038"/>
      <c r="E155" s="1038"/>
      <c r="F155" s="1038"/>
    </row>
    <row r="156" spans="1:6" s="1039" customFormat="1">
      <c r="A156" s="1036"/>
      <c r="B156" s="1037"/>
      <c r="C156" s="1038"/>
      <c r="D156" s="1038"/>
      <c r="E156" s="1038"/>
      <c r="F156" s="1038"/>
    </row>
    <row r="157" spans="1:6">
      <c r="A157" s="557" t="s">
        <v>504</v>
      </c>
      <c r="B157" s="558" t="s">
        <v>503</v>
      </c>
      <c r="C157" s="559"/>
      <c r="D157" s="559"/>
      <c r="E157" s="559"/>
      <c r="F157" s="559"/>
    </row>
    <row r="158" spans="1:6" s="1039" customFormat="1">
      <c r="A158" s="1036"/>
      <c r="B158" s="1037"/>
      <c r="C158" s="1038"/>
      <c r="D158" s="1038"/>
      <c r="E158" s="1038"/>
      <c r="F158" s="1038"/>
    </row>
    <row r="159" spans="1:6" s="1039" customFormat="1">
      <c r="A159" s="1036"/>
      <c r="B159" s="1037"/>
      <c r="C159" s="1038"/>
      <c r="D159" s="1038"/>
      <c r="E159" s="1038"/>
      <c r="F159" s="1038"/>
    </row>
    <row r="160" spans="1:6" s="1039" customFormat="1">
      <c r="A160" s="1036"/>
      <c r="B160" s="1037"/>
      <c r="C160" s="1038"/>
      <c r="D160" s="1038"/>
      <c r="E160" s="1038"/>
      <c r="F160" s="1038"/>
    </row>
    <row r="161" spans="1:6" s="1039" customFormat="1">
      <c r="A161" s="1036"/>
      <c r="B161" s="1037"/>
      <c r="C161" s="1038"/>
      <c r="D161" s="1038"/>
      <c r="E161" s="1038"/>
      <c r="F161" s="1038"/>
    </row>
    <row r="179" spans="1:6" ht="15.75">
      <c r="A179" s="1433" t="s">
        <v>646</v>
      </c>
      <c r="B179" s="1433"/>
      <c r="C179" s="1433"/>
      <c r="D179" s="1433"/>
      <c r="E179" s="1433"/>
      <c r="F179" s="1433"/>
    </row>
    <row r="180" spans="1:6">
      <c r="A180" s="1044" t="s">
        <v>484</v>
      </c>
      <c r="B180" s="1045" t="s">
        <v>657</v>
      </c>
      <c r="C180" s="1046"/>
      <c r="D180" s="1046"/>
      <c r="E180" s="1046"/>
      <c r="F180" s="1046"/>
    </row>
    <row r="189" spans="1:6">
      <c r="A189" s="1044" t="s">
        <v>486</v>
      </c>
      <c r="B189" s="1045" t="s">
        <v>658</v>
      </c>
      <c r="C189" s="1046"/>
      <c r="D189" s="1046"/>
      <c r="E189" s="1046"/>
      <c r="F189" s="1046"/>
    </row>
    <row r="237" spans="1:6" ht="15.75">
      <c r="A237" s="1441" t="s">
        <v>647</v>
      </c>
      <c r="B237" s="1441"/>
      <c r="C237" s="1441"/>
      <c r="D237" s="1441"/>
      <c r="E237" s="1441"/>
      <c r="F237" s="1441"/>
    </row>
    <row r="242" spans="1:6" ht="15.75" customHeight="1">
      <c r="A242" s="1047" t="s">
        <v>484</v>
      </c>
      <c r="B242" s="1445" t="s">
        <v>662</v>
      </c>
      <c r="C242" s="1445"/>
      <c r="D242" s="1445"/>
      <c r="E242" s="1445"/>
      <c r="F242" s="1445"/>
    </row>
    <row r="245" spans="1:6" ht="15.75" customHeight="1">
      <c r="A245" s="1047" t="s">
        <v>486</v>
      </c>
      <c r="B245" s="1445" t="s">
        <v>402</v>
      </c>
      <c r="C245" s="1445"/>
      <c r="D245" s="1445"/>
      <c r="E245" s="1445"/>
      <c r="F245" s="1445"/>
    </row>
    <row r="246" spans="1:6" ht="15.75">
      <c r="B246" s="1048"/>
    </row>
    <row r="248" spans="1:6" ht="15.75" customHeight="1">
      <c r="A248" s="1047" t="s">
        <v>488</v>
      </c>
      <c r="B248" s="1445" t="s">
        <v>663</v>
      </c>
      <c r="C248" s="1445"/>
      <c r="D248" s="1445"/>
      <c r="E248" s="1445"/>
      <c r="F248" s="1445"/>
    </row>
    <row r="251" spans="1:6" ht="15.75" customHeight="1">
      <c r="A251" s="1047" t="s">
        <v>490</v>
      </c>
      <c r="B251" s="1445" t="s">
        <v>664</v>
      </c>
      <c r="C251" s="1445"/>
      <c r="D251" s="1445"/>
      <c r="E251" s="1445"/>
      <c r="F251" s="1445"/>
    </row>
    <row r="255" spans="1:6" ht="15.75" customHeight="1">
      <c r="A255" s="1047" t="s">
        <v>492</v>
      </c>
      <c r="B255" s="1445" t="s">
        <v>665</v>
      </c>
      <c r="C255" s="1445"/>
      <c r="D255" s="1445"/>
      <c r="E255" s="1445"/>
      <c r="F255" s="1445"/>
    </row>
    <row r="274" spans="1:6" ht="15.75">
      <c r="A274" s="1441" t="s">
        <v>648</v>
      </c>
      <c r="B274" s="1441"/>
      <c r="C274" s="1441"/>
      <c r="D274" s="1441"/>
      <c r="E274" s="1441"/>
      <c r="F274" s="1441"/>
    </row>
    <row r="275" spans="1:6" s="1039" customFormat="1" ht="15.75">
      <c r="A275" s="1049"/>
      <c r="B275" s="1049"/>
      <c r="C275" s="1049"/>
      <c r="D275" s="1049"/>
      <c r="E275" s="1049"/>
      <c r="F275" s="1049"/>
    </row>
    <row r="276" spans="1:6" s="1039" customFormat="1" ht="15.75">
      <c r="A276" s="1049"/>
      <c r="B276" s="1049"/>
      <c r="C276" s="1049"/>
      <c r="D276" s="1049"/>
      <c r="E276" s="1049"/>
      <c r="F276" s="1049"/>
    </row>
    <row r="277" spans="1:6" s="1039" customFormat="1" ht="15.75">
      <c r="A277" s="1049"/>
      <c r="B277" s="1049"/>
      <c r="C277" s="1049"/>
      <c r="D277" s="1049"/>
      <c r="E277" s="1049"/>
      <c r="F277" s="1049"/>
    </row>
    <row r="278" spans="1:6" s="1039" customFormat="1">
      <c r="A278" s="1047" t="s">
        <v>484</v>
      </c>
      <c r="B278" s="1445" t="s">
        <v>143</v>
      </c>
      <c r="C278" s="1445"/>
      <c r="D278" s="1445"/>
      <c r="E278" s="1445"/>
      <c r="F278" s="1445"/>
    </row>
    <row r="279" spans="1:6" s="1039" customFormat="1" ht="15.75">
      <c r="A279" s="1049"/>
      <c r="B279" s="1049"/>
      <c r="C279" s="1049"/>
      <c r="D279" s="1049"/>
      <c r="E279" s="1049"/>
      <c r="F279" s="1049"/>
    </row>
    <row r="280" spans="1:6" s="1039" customFormat="1" ht="15.75">
      <c r="A280" s="1049"/>
      <c r="B280" s="1049"/>
      <c r="C280" s="1049"/>
      <c r="D280" s="1049"/>
      <c r="E280" s="1049"/>
      <c r="F280" s="1049"/>
    </row>
    <row r="281" spans="1:6" s="1039" customFormat="1" ht="15.75">
      <c r="A281" s="1049"/>
      <c r="B281" s="1049"/>
      <c r="C281" s="1049"/>
      <c r="D281" s="1049"/>
      <c r="E281" s="1049"/>
      <c r="F281" s="1049"/>
    </row>
    <row r="282" spans="1:6" s="1039" customFormat="1" ht="15.75">
      <c r="A282" s="1049"/>
      <c r="B282" s="1049"/>
      <c r="C282" s="1049"/>
      <c r="D282" s="1049"/>
      <c r="E282" s="1049"/>
      <c r="F282" s="1049"/>
    </row>
    <row r="283" spans="1:6" s="1039" customFormat="1" ht="15.75">
      <c r="A283" s="1049"/>
      <c r="B283" s="1049"/>
      <c r="C283" s="1049"/>
      <c r="D283" s="1049"/>
      <c r="E283" s="1049"/>
      <c r="F283" s="1049"/>
    </row>
    <row r="284" spans="1:6" s="1039" customFormat="1" ht="15.75">
      <c r="A284" s="1049"/>
      <c r="B284" s="1049"/>
      <c r="C284" s="1049"/>
      <c r="D284" s="1049"/>
      <c r="E284" s="1049"/>
      <c r="F284" s="1049"/>
    </row>
    <row r="285" spans="1:6" s="1039" customFormat="1">
      <c r="A285" s="1047" t="s">
        <v>486</v>
      </c>
      <c r="B285" s="1445" t="s">
        <v>14</v>
      </c>
      <c r="C285" s="1445"/>
      <c r="D285" s="1445"/>
      <c r="E285" s="1445"/>
      <c r="F285" s="1445"/>
    </row>
    <row r="286" spans="1:6" s="1039" customFormat="1" ht="15.75">
      <c r="A286" s="1049"/>
      <c r="B286" s="1049"/>
      <c r="C286" s="1049"/>
      <c r="D286" s="1049"/>
      <c r="E286" s="1049"/>
      <c r="F286" s="1049"/>
    </row>
    <row r="287" spans="1:6" s="1039" customFormat="1" ht="15.75">
      <c r="A287" s="1049"/>
      <c r="B287" s="1049"/>
      <c r="C287" s="1049"/>
      <c r="D287" s="1049"/>
      <c r="E287" s="1049"/>
      <c r="F287" s="1049"/>
    </row>
    <row r="288" spans="1:6" s="1039" customFormat="1" ht="15.75">
      <c r="A288" s="1049"/>
      <c r="B288" s="1049"/>
      <c r="C288" s="1049"/>
      <c r="D288" s="1049"/>
      <c r="E288" s="1049"/>
      <c r="F288" s="1049"/>
    </row>
    <row r="289" spans="1:12" s="1039" customFormat="1" ht="15.75">
      <c r="A289" s="1049"/>
      <c r="B289" s="1049"/>
      <c r="C289" s="1049"/>
      <c r="D289" s="1049"/>
      <c r="E289" s="1049"/>
      <c r="F289" s="1049"/>
    </row>
    <row r="290" spans="1:12" s="1039" customFormat="1" ht="15.75">
      <c r="A290" s="1049"/>
      <c r="B290" s="1049"/>
      <c r="C290" s="1049"/>
      <c r="D290" s="1049"/>
      <c r="E290" s="1049"/>
      <c r="F290" s="1049"/>
    </row>
    <row r="291" spans="1:12" s="1039" customFormat="1" ht="15.75">
      <c r="A291" s="1049"/>
      <c r="B291" s="1049"/>
      <c r="C291" s="1049"/>
      <c r="D291" s="1049"/>
      <c r="E291" s="1049"/>
      <c r="F291" s="1049"/>
    </row>
    <row r="292" spans="1:12" s="1039" customFormat="1" ht="15.75">
      <c r="A292" s="1049"/>
      <c r="B292" s="1049"/>
      <c r="C292" s="1049"/>
      <c r="D292" s="1049"/>
      <c r="E292" s="1049"/>
      <c r="F292" s="1049"/>
    </row>
    <row r="293" spans="1:12" s="1039" customFormat="1" ht="15.75">
      <c r="A293" s="1049"/>
      <c r="B293" s="1049"/>
      <c r="C293" s="1049"/>
      <c r="D293" s="1049"/>
      <c r="E293" s="1049"/>
      <c r="F293" s="1049"/>
    </row>
    <row r="294" spans="1:12" s="1039" customFormat="1" ht="15.75">
      <c r="A294" s="1049"/>
      <c r="B294" s="1049"/>
      <c r="C294" s="1049"/>
      <c r="D294" s="1049"/>
      <c r="E294" s="1049"/>
      <c r="F294" s="1049"/>
    </row>
    <row r="295" spans="1:12" s="1039" customFormat="1">
      <c r="A295" s="1047" t="s">
        <v>488</v>
      </c>
      <c r="B295" s="1445" t="s">
        <v>666</v>
      </c>
      <c r="C295" s="1445"/>
      <c r="D295" s="1445"/>
      <c r="E295" s="1445"/>
      <c r="F295" s="1445"/>
    </row>
    <row r="296" spans="1:12" s="1039" customFormat="1" ht="15.75">
      <c r="A296" s="1049"/>
      <c r="B296" s="1049"/>
      <c r="C296" s="1049"/>
      <c r="D296" s="1049"/>
      <c r="E296" s="1049"/>
      <c r="F296" s="1049"/>
    </row>
    <row r="297" spans="1:12" s="1039" customFormat="1" ht="15.75">
      <c r="A297" s="1049"/>
      <c r="B297" s="1049"/>
      <c r="C297" s="1049"/>
      <c r="D297" s="1049"/>
      <c r="E297" s="1049"/>
      <c r="F297" s="1049"/>
    </row>
    <row r="298" spans="1:12" s="1039" customFormat="1" ht="15.75">
      <c r="A298" s="1049"/>
      <c r="B298" s="1049"/>
      <c r="C298" s="1049"/>
      <c r="D298" s="1049"/>
      <c r="E298" s="1049"/>
      <c r="F298" s="1049"/>
    </row>
    <row r="299" spans="1:12" s="1039" customFormat="1" ht="15.75">
      <c r="A299" s="1049"/>
      <c r="B299" s="1049"/>
      <c r="C299" s="1049"/>
      <c r="D299" s="1049"/>
      <c r="E299" s="1049"/>
      <c r="F299" s="1049"/>
    </row>
    <row r="300" spans="1:12" s="1039" customFormat="1" ht="15.75">
      <c r="A300" s="1049"/>
      <c r="B300" s="1049"/>
      <c r="C300" s="1049"/>
      <c r="D300" s="1049"/>
      <c r="E300" s="1049"/>
      <c r="F300" s="1049"/>
    </row>
    <row r="301" spans="1:12" s="1039" customFormat="1" ht="15.75">
      <c r="A301" s="1049"/>
      <c r="B301" s="1049"/>
      <c r="C301" s="1049"/>
      <c r="D301" s="1049"/>
      <c r="E301" s="1049"/>
      <c r="F301" s="1049"/>
      <c r="L301" s="1050"/>
    </row>
    <row r="302" spans="1:12" s="1039" customFormat="1" ht="15.75">
      <c r="A302" s="1049"/>
      <c r="B302" s="1049"/>
      <c r="C302" s="1049"/>
      <c r="D302" s="1049"/>
      <c r="E302" s="1049"/>
      <c r="F302" s="1049"/>
    </row>
    <row r="303" spans="1:12" s="1039" customFormat="1">
      <c r="A303" s="1047" t="s">
        <v>490</v>
      </c>
      <c r="B303" s="1445" t="s">
        <v>142</v>
      </c>
      <c r="C303" s="1445"/>
      <c r="D303" s="1445"/>
      <c r="E303" s="1445"/>
      <c r="F303" s="1445"/>
    </row>
    <row r="304" spans="1:12" s="1039" customFormat="1" ht="15.75">
      <c r="A304" s="1049"/>
      <c r="B304" s="1049"/>
      <c r="C304" s="1049"/>
      <c r="D304" s="1049"/>
      <c r="E304" s="1049"/>
      <c r="F304" s="1049"/>
    </row>
    <row r="305" spans="1:6" s="1039" customFormat="1" ht="15.75">
      <c r="A305" s="1049"/>
      <c r="B305" s="1049"/>
      <c r="C305" s="1049"/>
      <c r="D305" s="1049"/>
      <c r="E305" s="1049"/>
      <c r="F305" s="1049"/>
    </row>
    <row r="306" spans="1:6" s="1039" customFormat="1" ht="15.75">
      <c r="A306" s="1049"/>
      <c r="B306" s="1049"/>
      <c r="C306" s="1049"/>
      <c r="D306" s="1049"/>
      <c r="E306" s="1049"/>
      <c r="F306" s="1049"/>
    </row>
    <row r="307" spans="1:6" s="1039" customFormat="1" ht="15.75">
      <c r="A307" s="1049"/>
      <c r="B307" s="1049"/>
      <c r="C307" s="1049"/>
      <c r="D307" s="1049"/>
      <c r="E307" s="1049"/>
      <c r="F307" s="1049"/>
    </row>
    <row r="308" spans="1:6" s="1039" customFormat="1" ht="15.75">
      <c r="A308" s="1049"/>
      <c r="B308" s="1049"/>
      <c r="C308" s="1049"/>
      <c r="D308" s="1049"/>
      <c r="E308" s="1049"/>
      <c r="F308" s="1049"/>
    </row>
    <row r="309" spans="1:6" s="1039" customFormat="1" ht="15.75">
      <c r="A309" s="1049"/>
      <c r="B309" s="1049"/>
      <c r="C309" s="1049"/>
      <c r="D309" s="1049"/>
      <c r="E309" s="1049"/>
      <c r="F309" s="1049"/>
    </row>
    <row r="310" spans="1:6" s="1039" customFormat="1" ht="15.75">
      <c r="A310" s="1049"/>
      <c r="B310" s="1049"/>
      <c r="C310" s="1049"/>
      <c r="D310" s="1049"/>
      <c r="E310" s="1049"/>
      <c r="F310" s="1049"/>
    </row>
    <row r="311" spans="1:6" s="1039" customFormat="1" ht="15.75">
      <c r="A311" s="1049"/>
      <c r="B311" s="1049"/>
      <c r="C311" s="1049"/>
      <c r="D311" s="1049"/>
      <c r="E311" s="1049"/>
      <c r="F311" s="1049"/>
    </row>
    <row r="312" spans="1:6" s="1039" customFormat="1" ht="15.75">
      <c r="A312" s="1049"/>
      <c r="B312" s="1049"/>
      <c r="C312" s="1049"/>
      <c r="D312" s="1049"/>
      <c r="E312" s="1049"/>
      <c r="F312" s="1049"/>
    </row>
    <row r="313" spans="1:6" s="1039" customFormat="1" ht="15.75">
      <c r="A313" s="1049"/>
      <c r="B313" s="1049"/>
      <c r="C313" s="1049"/>
      <c r="D313" s="1049"/>
      <c r="E313" s="1049"/>
      <c r="F313" s="1049"/>
    </row>
    <row r="314" spans="1:6" s="1039" customFormat="1" ht="15.75">
      <c r="A314" s="1049"/>
      <c r="B314" s="1049"/>
      <c r="C314" s="1049"/>
      <c r="D314" s="1049"/>
      <c r="E314" s="1049"/>
      <c r="F314" s="1049"/>
    </row>
    <row r="315" spans="1:6" s="1039" customFormat="1" ht="15.75">
      <c r="A315" s="1049"/>
      <c r="B315" s="1049"/>
      <c r="C315" s="1049"/>
      <c r="D315" s="1049"/>
      <c r="E315" s="1049"/>
      <c r="F315" s="1049"/>
    </row>
    <row r="316" spans="1:6" s="1039" customFormat="1" ht="15.75">
      <c r="A316" s="1049"/>
      <c r="B316" s="1049"/>
      <c r="C316" s="1049"/>
      <c r="D316" s="1049"/>
      <c r="E316" s="1049"/>
      <c r="F316" s="1049"/>
    </row>
    <row r="317" spans="1:6" s="1039" customFormat="1" ht="15.75">
      <c r="A317" s="1049"/>
      <c r="B317" s="1049"/>
      <c r="C317" s="1049"/>
      <c r="D317" s="1049"/>
      <c r="E317" s="1049"/>
      <c r="F317" s="1049"/>
    </row>
    <row r="318" spans="1:6" s="1039" customFormat="1" ht="15.75">
      <c r="A318" s="1049"/>
      <c r="B318" s="1049"/>
      <c r="C318" s="1049"/>
      <c r="D318" s="1049"/>
      <c r="E318" s="1049"/>
      <c r="F318" s="1049"/>
    </row>
    <row r="319" spans="1:6" s="1039" customFormat="1" ht="15.75">
      <c r="A319" s="1049"/>
      <c r="B319" s="1049"/>
      <c r="C319" s="1049"/>
      <c r="D319" s="1049"/>
      <c r="E319" s="1049"/>
      <c r="F319" s="1049"/>
    </row>
    <row r="320" spans="1:6" s="1039" customFormat="1" ht="15.75">
      <c r="A320" s="1049"/>
      <c r="B320" s="1049"/>
      <c r="C320" s="1049"/>
      <c r="D320" s="1049"/>
      <c r="E320" s="1049"/>
      <c r="F320" s="1049"/>
    </row>
    <row r="321" spans="1:6" s="1039" customFormat="1" ht="15.75">
      <c r="A321" s="1049"/>
      <c r="B321" s="1049"/>
      <c r="C321" s="1049"/>
      <c r="D321" s="1049"/>
      <c r="E321" s="1049"/>
      <c r="F321" s="1049"/>
    </row>
    <row r="322" spans="1:6" s="1039" customFormat="1" ht="15.75">
      <c r="A322" s="1049"/>
      <c r="B322" s="1049"/>
      <c r="C322" s="1049"/>
      <c r="D322" s="1049"/>
      <c r="E322" s="1049"/>
      <c r="F322" s="1049"/>
    </row>
    <row r="323" spans="1:6" s="1039" customFormat="1" ht="15.75">
      <c r="A323" s="1049"/>
      <c r="B323" s="1049"/>
      <c r="C323" s="1049"/>
      <c r="D323" s="1049"/>
      <c r="E323" s="1049"/>
      <c r="F323" s="1049"/>
    </row>
    <row r="324" spans="1:6" s="1039" customFormat="1" ht="15.75">
      <c r="A324" s="1049"/>
      <c r="B324" s="1049"/>
      <c r="C324" s="1049"/>
      <c r="D324" s="1049"/>
      <c r="E324" s="1049"/>
      <c r="F324" s="1049"/>
    </row>
    <row r="325" spans="1:6" ht="15.75">
      <c r="A325" s="1441" t="s">
        <v>649</v>
      </c>
      <c r="B325" s="1441"/>
      <c r="C325" s="1441"/>
      <c r="D325" s="1441"/>
      <c r="E325" s="1441"/>
      <c r="F325" s="1441"/>
    </row>
    <row r="326" spans="1:6">
      <c r="A326" s="1047" t="s">
        <v>484</v>
      </c>
      <c r="B326" s="1445" t="s">
        <v>667</v>
      </c>
      <c r="C326" s="1445"/>
      <c r="D326" s="1445"/>
      <c r="E326" s="1445"/>
      <c r="F326" s="1445"/>
    </row>
    <row r="329" spans="1:6">
      <c r="A329" s="1047" t="s">
        <v>486</v>
      </c>
      <c r="B329" s="1445" t="s">
        <v>668</v>
      </c>
      <c r="C329" s="1445"/>
      <c r="D329" s="1445"/>
      <c r="E329" s="1445"/>
      <c r="F329" s="1445"/>
    </row>
    <row r="333" spans="1:6">
      <c r="A333" s="1047" t="s">
        <v>488</v>
      </c>
      <c r="B333" s="1445" t="s">
        <v>669</v>
      </c>
      <c r="C333" s="1445"/>
      <c r="D333" s="1445"/>
      <c r="E333" s="1445"/>
      <c r="F333" s="1445"/>
    </row>
    <row r="334" spans="1:6" ht="15.75">
      <c r="B334" s="1048" t="s">
        <v>671</v>
      </c>
    </row>
    <row r="336" spans="1:6">
      <c r="A336" s="1047" t="s">
        <v>490</v>
      </c>
      <c r="B336" s="1445" t="s">
        <v>670</v>
      </c>
      <c r="C336" s="1445"/>
      <c r="D336" s="1445"/>
      <c r="E336" s="1445"/>
      <c r="F336" s="1445"/>
    </row>
    <row r="337" spans="1:6" ht="15.75">
      <c r="B337" s="1048" t="s">
        <v>671</v>
      </c>
    </row>
    <row r="339" spans="1:6">
      <c r="A339" s="1047" t="s">
        <v>492</v>
      </c>
      <c r="B339" s="1445" t="s">
        <v>475</v>
      </c>
      <c r="C339" s="1445"/>
      <c r="D339" s="1445"/>
      <c r="E339" s="1445"/>
      <c r="F339" s="1445"/>
    </row>
    <row r="356" spans="1:6" ht="15.75">
      <c r="A356" s="1435" t="s">
        <v>650</v>
      </c>
      <c r="B356" s="1435"/>
      <c r="C356" s="1435"/>
      <c r="D356" s="1435"/>
      <c r="E356" s="1435"/>
      <c r="F356" s="1435"/>
    </row>
    <row r="357" spans="1:6" s="1039" customFormat="1">
      <c r="A357" s="1051" t="s">
        <v>484</v>
      </c>
      <c r="B357" s="1446" t="s">
        <v>366</v>
      </c>
      <c r="C357" s="1446"/>
      <c r="D357" s="1446"/>
      <c r="E357" s="1446"/>
      <c r="F357" s="1446"/>
    </row>
    <row r="358" spans="1:6" s="1039" customFormat="1" ht="15.75">
      <c r="A358" s="1049"/>
      <c r="B358" s="1049"/>
      <c r="C358" s="1049"/>
      <c r="D358" s="1049"/>
      <c r="E358" s="1049"/>
      <c r="F358" s="1049"/>
    </row>
    <row r="359" spans="1:6" s="1039" customFormat="1" ht="15.75">
      <c r="A359" s="1049"/>
      <c r="B359" s="1049"/>
      <c r="C359" s="1049"/>
      <c r="D359" s="1049"/>
      <c r="E359" s="1049"/>
      <c r="F359" s="1049"/>
    </row>
    <row r="360" spans="1:6" s="1039" customFormat="1" ht="15.75">
      <c r="A360" s="1049"/>
      <c r="B360" s="1049"/>
      <c r="C360" s="1049"/>
      <c r="D360" s="1049"/>
      <c r="E360" s="1049"/>
      <c r="F360" s="1049"/>
    </row>
    <row r="361" spans="1:6" s="1039" customFormat="1" ht="15.75">
      <c r="A361" s="1049"/>
      <c r="B361" s="1049"/>
      <c r="C361" s="1049"/>
      <c r="D361" s="1049"/>
      <c r="E361" s="1049"/>
      <c r="F361" s="1049"/>
    </row>
    <row r="362" spans="1:6" s="1039" customFormat="1" ht="15.75">
      <c r="A362" s="1049"/>
      <c r="B362" s="1049"/>
      <c r="C362" s="1049"/>
      <c r="D362" s="1049"/>
      <c r="E362" s="1049"/>
      <c r="F362" s="1049"/>
    </row>
    <row r="363" spans="1:6" s="1039" customFormat="1" ht="15.75">
      <c r="A363" s="1049"/>
      <c r="B363" s="1049"/>
      <c r="C363" s="1049"/>
      <c r="D363" s="1049"/>
      <c r="E363" s="1049"/>
      <c r="F363" s="1049"/>
    </row>
    <row r="364" spans="1:6" s="1039" customFormat="1">
      <c r="A364" s="1051" t="s">
        <v>486</v>
      </c>
      <c r="B364" s="1446" t="s">
        <v>672</v>
      </c>
      <c r="C364" s="1446"/>
      <c r="D364" s="1446"/>
      <c r="E364" s="1446"/>
      <c r="F364" s="1446"/>
    </row>
    <row r="365" spans="1:6" s="1039" customFormat="1" ht="15.75">
      <c r="A365" s="1049"/>
      <c r="B365" s="1049"/>
      <c r="C365" s="1049"/>
      <c r="D365" s="1049"/>
      <c r="E365" s="1049"/>
      <c r="F365" s="1049"/>
    </row>
    <row r="366" spans="1:6" s="1039" customFormat="1" ht="15.75">
      <c r="A366" s="1049"/>
      <c r="B366" s="1049"/>
      <c r="C366" s="1049"/>
      <c r="D366" s="1049"/>
      <c r="E366" s="1049"/>
      <c r="F366" s="1049"/>
    </row>
    <row r="367" spans="1:6" s="1039" customFormat="1" ht="15.75">
      <c r="A367" s="1049"/>
      <c r="B367" s="1049"/>
      <c r="C367" s="1049"/>
      <c r="D367" s="1049"/>
      <c r="E367" s="1049"/>
      <c r="F367" s="1049"/>
    </row>
    <row r="368" spans="1:6" s="1039" customFormat="1" ht="15.75">
      <c r="A368" s="1049"/>
      <c r="B368" s="1049"/>
      <c r="C368" s="1049"/>
      <c r="D368" s="1049"/>
      <c r="E368" s="1049"/>
      <c r="F368" s="1049"/>
    </row>
    <row r="369" spans="1:6" s="1039" customFormat="1" ht="15.75">
      <c r="A369" s="1049"/>
      <c r="B369" s="1049"/>
      <c r="C369" s="1049"/>
      <c r="D369" s="1049"/>
      <c r="E369" s="1049"/>
      <c r="F369" s="1049"/>
    </row>
    <row r="370" spans="1:6" s="1039" customFormat="1" ht="15.75">
      <c r="A370" s="1049"/>
      <c r="B370" s="1049"/>
      <c r="C370" s="1049"/>
      <c r="D370" s="1049"/>
      <c r="E370" s="1049"/>
      <c r="F370" s="1049"/>
    </row>
    <row r="371" spans="1:6" s="1039" customFormat="1" ht="15.75">
      <c r="A371" s="1049"/>
      <c r="B371" s="1049"/>
      <c r="C371" s="1049"/>
      <c r="D371" s="1049"/>
      <c r="E371" s="1049"/>
      <c r="F371" s="1049"/>
    </row>
    <row r="372" spans="1:6" s="1039" customFormat="1" ht="15.75">
      <c r="A372" s="1049"/>
      <c r="B372" s="1049"/>
      <c r="C372" s="1049"/>
      <c r="D372" s="1049"/>
      <c r="E372" s="1049"/>
      <c r="F372" s="1049"/>
    </row>
    <row r="373" spans="1:6" s="1039" customFormat="1" ht="15.75">
      <c r="A373" s="1049"/>
      <c r="B373" s="1049"/>
      <c r="C373" s="1049"/>
      <c r="D373" s="1049"/>
      <c r="E373" s="1049"/>
      <c r="F373" s="1049"/>
    </row>
    <row r="374" spans="1:6" s="1039" customFormat="1" ht="15.75">
      <c r="A374" s="1049"/>
      <c r="B374" s="1049"/>
      <c r="C374" s="1049"/>
      <c r="D374" s="1049"/>
      <c r="E374" s="1049"/>
      <c r="F374" s="1049"/>
    </row>
    <row r="375" spans="1:6" s="1039" customFormat="1" ht="15.75">
      <c r="A375" s="1049"/>
      <c r="B375" s="1049"/>
      <c r="C375" s="1049"/>
      <c r="D375" s="1049"/>
      <c r="E375" s="1049"/>
      <c r="F375" s="1049"/>
    </row>
    <row r="376" spans="1:6" s="1039" customFormat="1" ht="15.75">
      <c r="A376" s="1049"/>
      <c r="B376" s="1049"/>
      <c r="C376" s="1049"/>
      <c r="D376" s="1049"/>
      <c r="E376" s="1049"/>
      <c r="F376" s="1049"/>
    </row>
    <row r="377" spans="1:6" s="1039" customFormat="1" ht="15.75">
      <c r="A377" s="1049"/>
      <c r="B377" s="1049"/>
      <c r="C377" s="1049"/>
      <c r="D377" s="1049"/>
      <c r="E377" s="1049"/>
      <c r="F377" s="1049"/>
    </row>
    <row r="378" spans="1:6" s="1039" customFormat="1" ht="15.75">
      <c r="A378" s="1049"/>
      <c r="B378" s="1049"/>
      <c r="C378" s="1049"/>
      <c r="D378" s="1049"/>
      <c r="E378" s="1049"/>
      <c r="F378" s="1049"/>
    </row>
    <row r="379" spans="1:6" s="1039" customFormat="1" ht="15.75">
      <c r="A379" s="1049"/>
      <c r="B379" s="1049"/>
      <c r="C379" s="1049"/>
      <c r="D379" s="1049"/>
      <c r="E379" s="1049"/>
      <c r="F379" s="1049"/>
    </row>
    <row r="380" spans="1:6" s="1039" customFormat="1" ht="15.75">
      <c r="A380" s="1049"/>
      <c r="B380" s="1049"/>
      <c r="C380" s="1049"/>
      <c r="D380" s="1049"/>
      <c r="E380" s="1049"/>
      <c r="F380" s="1049"/>
    </row>
    <row r="381" spans="1:6" s="1039" customFormat="1" ht="15.75">
      <c r="A381" s="1049"/>
      <c r="B381" s="1049"/>
      <c r="C381" s="1049"/>
      <c r="D381" s="1049"/>
      <c r="E381" s="1049"/>
      <c r="F381" s="1049"/>
    </row>
    <row r="382" spans="1:6" s="1039" customFormat="1" ht="15.75">
      <c r="A382" s="1049"/>
      <c r="B382" s="1049"/>
      <c r="C382" s="1049"/>
      <c r="D382" s="1049"/>
      <c r="E382" s="1049"/>
      <c r="F382" s="1049"/>
    </row>
    <row r="383" spans="1:6" s="1039" customFormat="1" ht="15.75">
      <c r="A383" s="1049"/>
      <c r="B383" s="1049"/>
      <c r="C383" s="1049"/>
      <c r="D383" s="1049"/>
      <c r="E383" s="1049"/>
      <c r="F383" s="1049"/>
    </row>
    <row r="384" spans="1:6" s="1039" customFormat="1" ht="15.75">
      <c r="A384" s="1049"/>
      <c r="B384" s="1049"/>
      <c r="C384" s="1049"/>
      <c r="D384" s="1049"/>
      <c r="E384" s="1049"/>
      <c r="F384" s="1049"/>
    </row>
    <row r="385" spans="1:6" s="1039" customFormat="1">
      <c r="A385" s="1051" t="s">
        <v>488</v>
      </c>
      <c r="B385" s="1446" t="s">
        <v>673</v>
      </c>
      <c r="C385" s="1446"/>
      <c r="D385" s="1446"/>
      <c r="E385" s="1446"/>
      <c r="F385" s="1446"/>
    </row>
    <row r="386" spans="1:6" s="1039" customFormat="1" ht="15.75">
      <c r="A386" s="1049"/>
      <c r="B386" s="1049" t="s">
        <v>520</v>
      </c>
      <c r="C386" s="1049"/>
      <c r="D386" s="1049"/>
      <c r="E386" s="1049"/>
      <c r="F386" s="1049"/>
    </row>
    <row r="387" spans="1:6" s="1039" customFormat="1" ht="15.75">
      <c r="A387" s="1049"/>
      <c r="B387" s="1049"/>
      <c r="C387" s="1049"/>
      <c r="D387" s="1049"/>
      <c r="E387" s="1049"/>
      <c r="F387" s="1049"/>
    </row>
    <row r="388" spans="1:6" s="1039" customFormat="1" ht="15.75">
      <c r="A388" s="1049"/>
      <c r="B388" s="1049"/>
      <c r="C388" s="1049"/>
      <c r="D388" s="1049"/>
      <c r="E388" s="1049"/>
      <c r="F388" s="1049"/>
    </row>
    <row r="389" spans="1:6" s="1039" customFormat="1" ht="15.75">
      <c r="A389" s="1049"/>
      <c r="B389" s="1049"/>
      <c r="C389" s="1049"/>
      <c r="D389" s="1049"/>
      <c r="E389" s="1049"/>
      <c r="F389" s="1049"/>
    </row>
    <row r="390" spans="1:6" s="1039" customFormat="1" ht="15.75">
      <c r="A390" s="1049"/>
      <c r="B390" s="1049"/>
      <c r="C390" s="1049"/>
      <c r="D390" s="1049"/>
      <c r="E390" s="1049"/>
      <c r="F390" s="1049"/>
    </row>
    <row r="391" spans="1:6" s="1039" customFormat="1" ht="15.75">
      <c r="A391" s="1049"/>
      <c r="B391" s="1049"/>
      <c r="C391" s="1049"/>
      <c r="D391" s="1049"/>
      <c r="E391" s="1049"/>
      <c r="F391" s="1049"/>
    </row>
    <row r="392" spans="1:6" s="1039" customFormat="1" ht="15.75">
      <c r="A392" s="1049"/>
      <c r="B392" s="1049"/>
      <c r="C392" s="1049"/>
      <c r="D392" s="1049"/>
      <c r="E392" s="1049"/>
      <c r="F392" s="1049"/>
    </row>
    <row r="393" spans="1:6" s="1039" customFormat="1" ht="15.75">
      <c r="A393" s="1049"/>
      <c r="B393" s="1049"/>
      <c r="C393" s="1049"/>
      <c r="D393" s="1049"/>
      <c r="E393" s="1049"/>
      <c r="F393" s="1049"/>
    </row>
    <row r="394" spans="1:6" s="1039" customFormat="1" ht="15.75">
      <c r="A394" s="1049"/>
      <c r="B394" s="1049"/>
      <c r="C394" s="1049"/>
      <c r="D394" s="1049"/>
      <c r="E394" s="1049"/>
      <c r="F394" s="1049"/>
    </row>
    <row r="395" spans="1:6" s="1039" customFormat="1" ht="15.75">
      <c r="A395" s="1049"/>
      <c r="B395" s="1049"/>
      <c r="C395" s="1049"/>
      <c r="D395" s="1049"/>
      <c r="E395" s="1049"/>
      <c r="F395" s="1049"/>
    </row>
    <row r="396" spans="1:6" s="1039" customFormat="1">
      <c r="A396" s="1051" t="s">
        <v>490</v>
      </c>
      <c r="B396" s="1446" t="s">
        <v>363</v>
      </c>
      <c r="C396" s="1446"/>
      <c r="D396" s="1446"/>
      <c r="E396" s="1446"/>
      <c r="F396" s="1446"/>
    </row>
    <row r="397" spans="1:6" s="1039" customFormat="1" ht="15.75">
      <c r="A397" s="1049"/>
      <c r="B397" s="1049"/>
      <c r="C397" s="1049"/>
      <c r="D397" s="1049"/>
      <c r="E397" s="1049"/>
      <c r="F397" s="1049"/>
    </row>
    <row r="398" spans="1:6" s="1039" customFormat="1" ht="15.75">
      <c r="A398" s="1049"/>
      <c r="B398" s="1049"/>
      <c r="C398" s="1049"/>
      <c r="D398" s="1049"/>
      <c r="E398" s="1049"/>
      <c r="F398" s="1049"/>
    </row>
    <row r="399" spans="1:6" s="1039" customFormat="1" ht="15.75">
      <c r="A399" s="1049"/>
      <c r="B399" s="1049"/>
      <c r="C399" s="1049"/>
      <c r="D399" s="1049"/>
      <c r="E399" s="1049"/>
      <c r="F399" s="1049"/>
    </row>
    <row r="400" spans="1:6" s="1039" customFormat="1" ht="15.75">
      <c r="A400" s="1049"/>
      <c r="B400" s="1049"/>
      <c r="C400" s="1049"/>
      <c r="D400" s="1049"/>
      <c r="E400" s="1049"/>
      <c r="F400" s="1049"/>
    </row>
    <row r="401" spans="1:6" s="1039" customFormat="1" ht="15.75">
      <c r="A401" s="1049"/>
      <c r="B401" s="1049"/>
      <c r="C401" s="1049"/>
      <c r="D401" s="1049"/>
      <c r="E401" s="1049"/>
      <c r="F401" s="1049"/>
    </row>
    <row r="402" spans="1:6" s="1039" customFormat="1" ht="15.75">
      <c r="A402" s="1049"/>
      <c r="B402" s="1049"/>
      <c r="C402" s="1049"/>
      <c r="D402" s="1049"/>
      <c r="E402" s="1049"/>
      <c r="F402" s="1049"/>
    </row>
    <row r="403" spans="1:6" s="1039" customFormat="1" ht="15.75">
      <c r="A403" s="1049"/>
      <c r="B403" s="1049"/>
      <c r="C403" s="1049"/>
      <c r="D403" s="1049"/>
      <c r="E403" s="1049"/>
      <c r="F403" s="1049"/>
    </row>
    <row r="404" spans="1:6" s="1039" customFormat="1" ht="15.75">
      <c r="A404" s="1049"/>
      <c r="B404" s="1049"/>
      <c r="C404" s="1049"/>
      <c r="D404" s="1049"/>
      <c r="E404" s="1049"/>
      <c r="F404" s="1049"/>
    </row>
    <row r="405" spans="1:6" s="1039" customFormat="1" ht="15.75">
      <c r="A405" s="1049"/>
      <c r="B405" s="1049"/>
      <c r="C405" s="1049"/>
      <c r="D405" s="1049"/>
      <c r="E405" s="1049"/>
      <c r="F405" s="1049"/>
    </row>
    <row r="406" spans="1:6" s="1039" customFormat="1" ht="15.75">
      <c r="A406" s="1049"/>
      <c r="B406" s="1049"/>
      <c r="C406" s="1049"/>
      <c r="D406" s="1049"/>
      <c r="E406" s="1049"/>
      <c r="F406" s="1049"/>
    </row>
    <row r="407" spans="1:6" s="1039" customFormat="1" ht="15.75">
      <c r="A407" s="1049"/>
      <c r="B407" s="1049"/>
      <c r="C407" s="1049"/>
      <c r="D407" s="1049"/>
      <c r="E407" s="1049"/>
      <c r="F407" s="1049"/>
    </row>
    <row r="408" spans="1:6" s="1039" customFormat="1" ht="15.75">
      <c r="A408" s="1049"/>
      <c r="B408" s="1049"/>
      <c r="C408" s="1049"/>
      <c r="D408" s="1049"/>
      <c r="E408" s="1049"/>
      <c r="F408" s="1049"/>
    </row>
    <row r="409" spans="1:6" s="1039" customFormat="1" ht="15.75">
      <c r="A409" s="1049"/>
      <c r="B409" s="1049"/>
      <c r="C409" s="1049"/>
      <c r="D409" s="1049"/>
      <c r="E409" s="1049"/>
      <c r="F409" s="1049"/>
    </row>
    <row r="410" spans="1:6" s="1039" customFormat="1" ht="15.75">
      <c r="A410" s="1049"/>
      <c r="B410" s="1049"/>
      <c r="C410" s="1049"/>
      <c r="D410" s="1049"/>
      <c r="E410" s="1049"/>
      <c r="F410" s="1049"/>
    </row>
    <row r="411" spans="1:6" s="1039" customFormat="1" ht="15.75">
      <c r="A411" s="1049"/>
      <c r="B411" s="1049"/>
      <c r="C411" s="1049"/>
      <c r="D411" s="1049"/>
      <c r="E411" s="1049"/>
      <c r="F411" s="1049"/>
    </row>
    <row r="412" spans="1:6" s="1039" customFormat="1" ht="15.75">
      <c r="A412" s="1049"/>
      <c r="B412" s="1049"/>
      <c r="C412" s="1049"/>
      <c r="D412" s="1049"/>
      <c r="E412" s="1049"/>
      <c r="F412" s="1049"/>
    </row>
    <row r="413" spans="1:6" s="1039" customFormat="1" ht="15.75">
      <c r="A413" s="1049"/>
      <c r="B413" s="1049"/>
      <c r="C413" s="1049"/>
      <c r="D413" s="1049"/>
      <c r="E413" s="1049"/>
      <c r="F413" s="1049"/>
    </row>
    <row r="414" spans="1:6" s="1039" customFormat="1" ht="15.75">
      <c r="A414" s="1049"/>
      <c r="B414" s="1049"/>
      <c r="C414" s="1049"/>
      <c r="D414" s="1049"/>
      <c r="E414" s="1049"/>
      <c r="F414" s="1049"/>
    </row>
    <row r="415" spans="1:6" s="1039" customFormat="1" ht="15.75">
      <c r="A415" s="1049"/>
      <c r="B415" s="1049"/>
      <c r="C415" s="1049"/>
      <c r="D415" s="1049"/>
      <c r="E415" s="1049"/>
      <c r="F415" s="1049"/>
    </row>
    <row r="416" spans="1:6" s="1039" customFormat="1" ht="15.75">
      <c r="A416" s="1049"/>
      <c r="B416" s="1049"/>
      <c r="C416" s="1049"/>
      <c r="D416" s="1049"/>
      <c r="E416" s="1049"/>
      <c r="F416" s="1049"/>
    </row>
    <row r="417" spans="1:6" s="1039" customFormat="1" ht="15.75">
      <c r="A417" s="1049"/>
      <c r="B417" s="1049"/>
      <c r="C417" s="1049"/>
      <c r="D417" s="1049"/>
      <c r="E417" s="1049"/>
      <c r="F417" s="1049"/>
    </row>
    <row r="418" spans="1:6" s="1039" customFormat="1" ht="15.75">
      <c r="A418" s="1049"/>
      <c r="B418" s="1049"/>
      <c r="C418" s="1049"/>
      <c r="D418" s="1049"/>
      <c r="E418" s="1049"/>
      <c r="F418" s="1049"/>
    </row>
    <row r="419" spans="1:6" s="1039" customFormat="1" ht="15.75">
      <c r="A419" s="1049"/>
      <c r="B419" s="1049"/>
      <c r="C419" s="1049"/>
      <c r="D419" s="1049"/>
      <c r="E419" s="1049"/>
      <c r="F419" s="1049"/>
    </row>
    <row r="420" spans="1:6" ht="15.75">
      <c r="A420" s="1435" t="s">
        <v>651</v>
      </c>
      <c r="B420" s="1435"/>
      <c r="C420" s="1435"/>
      <c r="D420" s="1435"/>
      <c r="E420" s="1435"/>
      <c r="F420" s="1435"/>
    </row>
    <row r="421" spans="1:6" s="1039" customFormat="1">
      <c r="A421" s="1051" t="s">
        <v>484</v>
      </c>
      <c r="B421" s="1446" t="s">
        <v>362</v>
      </c>
      <c r="C421" s="1446"/>
      <c r="D421" s="1446"/>
      <c r="E421" s="1446"/>
      <c r="F421" s="1446"/>
    </row>
    <row r="422" spans="1:6" s="1039" customFormat="1" ht="15.75">
      <c r="A422" s="1049"/>
      <c r="B422" s="1049"/>
      <c r="C422" s="1049"/>
      <c r="D422" s="1049"/>
      <c r="E422" s="1049"/>
      <c r="F422" s="1049"/>
    </row>
    <row r="423" spans="1:6" s="1039" customFormat="1" ht="15.75">
      <c r="A423" s="1049"/>
      <c r="B423" s="1049"/>
      <c r="C423" s="1049"/>
      <c r="D423" s="1049"/>
      <c r="E423" s="1049"/>
      <c r="F423" s="1049"/>
    </row>
    <row r="424" spans="1:6" s="1039" customFormat="1" ht="15.75">
      <c r="A424" s="1049"/>
      <c r="B424" s="1049"/>
      <c r="C424" s="1049"/>
      <c r="D424" s="1049"/>
      <c r="E424" s="1049"/>
      <c r="F424" s="1049"/>
    </row>
    <row r="425" spans="1:6" s="1039" customFormat="1" ht="15.75">
      <c r="A425" s="1049"/>
      <c r="B425" s="1049"/>
      <c r="C425" s="1049"/>
      <c r="D425" s="1049"/>
      <c r="E425" s="1049"/>
      <c r="F425" s="1049"/>
    </row>
    <row r="426" spans="1:6" s="1039" customFormat="1" ht="15.75">
      <c r="A426" s="1049"/>
      <c r="B426" s="1049"/>
      <c r="C426" s="1049"/>
      <c r="D426" s="1049"/>
      <c r="E426" s="1049"/>
      <c r="F426" s="1049"/>
    </row>
    <row r="427" spans="1:6" s="1039" customFormat="1" ht="15.75">
      <c r="A427" s="1049"/>
      <c r="B427" s="1049"/>
      <c r="C427" s="1049"/>
      <c r="D427" s="1049"/>
      <c r="E427" s="1049"/>
      <c r="F427" s="1049"/>
    </row>
    <row r="428" spans="1:6" s="1039" customFormat="1" ht="15.75">
      <c r="A428" s="1049"/>
      <c r="B428" s="1049"/>
      <c r="C428" s="1049"/>
      <c r="D428" s="1049"/>
      <c r="E428" s="1049"/>
      <c r="F428" s="1049"/>
    </row>
    <row r="429" spans="1:6" s="1039" customFormat="1" ht="15.75">
      <c r="A429" s="1049"/>
      <c r="B429" s="1049"/>
      <c r="C429" s="1049"/>
      <c r="D429" s="1049"/>
      <c r="E429" s="1049"/>
      <c r="F429" s="1049"/>
    </row>
    <row r="430" spans="1:6" s="1039" customFormat="1" ht="15.75">
      <c r="A430" s="1049"/>
      <c r="B430" s="1049"/>
      <c r="C430" s="1049"/>
      <c r="D430" s="1049"/>
      <c r="E430" s="1049"/>
      <c r="F430" s="1049"/>
    </row>
    <row r="431" spans="1:6" s="1039" customFormat="1" ht="15.75">
      <c r="A431" s="1049"/>
      <c r="B431" s="1049"/>
      <c r="C431" s="1049"/>
      <c r="D431" s="1049"/>
      <c r="E431" s="1049"/>
      <c r="F431" s="1049"/>
    </row>
    <row r="432" spans="1:6" s="1039" customFormat="1" ht="15.75">
      <c r="A432" s="1049"/>
      <c r="B432" s="1049"/>
      <c r="C432" s="1049"/>
      <c r="D432" s="1049"/>
      <c r="E432" s="1049"/>
      <c r="F432" s="1049"/>
    </row>
    <row r="433" spans="1:6" s="1039" customFormat="1" ht="15.75">
      <c r="A433" s="1049"/>
      <c r="B433" s="1049"/>
      <c r="C433" s="1049"/>
      <c r="D433" s="1049"/>
      <c r="E433" s="1049"/>
      <c r="F433" s="1049"/>
    </row>
    <row r="434" spans="1:6" s="1039" customFormat="1" ht="15.75">
      <c r="A434" s="1049"/>
      <c r="B434" s="1049"/>
      <c r="C434" s="1049"/>
      <c r="D434" s="1049"/>
      <c r="E434" s="1049"/>
      <c r="F434" s="1049"/>
    </row>
    <row r="435" spans="1:6" s="1039" customFormat="1" ht="15.75">
      <c r="A435" s="1049"/>
      <c r="B435" s="1049"/>
      <c r="C435" s="1049"/>
      <c r="D435" s="1049"/>
      <c r="E435" s="1049"/>
      <c r="F435" s="1049"/>
    </row>
    <row r="436" spans="1:6" s="1039" customFormat="1" ht="15.75">
      <c r="A436" s="1049"/>
      <c r="B436" s="1049"/>
      <c r="C436" s="1049"/>
      <c r="D436" s="1049"/>
      <c r="E436" s="1049"/>
      <c r="F436" s="1049"/>
    </row>
    <row r="437" spans="1:6" s="1039" customFormat="1" ht="15.75">
      <c r="A437" s="1049"/>
      <c r="B437" s="1049"/>
      <c r="C437" s="1049"/>
      <c r="D437" s="1049"/>
      <c r="E437" s="1049"/>
      <c r="F437" s="1049"/>
    </row>
    <row r="438" spans="1:6" s="1039" customFormat="1" ht="15.75">
      <c r="A438" s="1049"/>
      <c r="B438" s="1049"/>
      <c r="C438" s="1049"/>
      <c r="D438" s="1049"/>
      <c r="E438" s="1049"/>
      <c r="F438" s="1049"/>
    </row>
    <row r="439" spans="1:6" ht="15.75">
      <c r="A439" s="1435" t="s">
        <v>652</v>
      </c>
      <c r="B439" s="1435"/>
      <c r="C439" s="1435"/>
      <c r="D439" s="1435"/>
      <c r="E439" s="1435"/>
      <c r="F439" s="1435"/>
    </row>
    <row r="440" spans="1:6" s="1039" customFormat="1" ht="15.75">
      <c r="A440" s="1049"/>
      <c r="B440" s="1049"/>
      <c r="C440" s="1049"/>
      <c r="D440" s="1049"/>
      <c r="E440" s="1049"/>
      <c r="F440" s="1049"/>
    </row>
    <row r="441" spans="1:6" s="1039" customFormat="1" ht="15.75">
      <c r="A441" s="1049"/>
      <c r="B441" s="1049"/>
      <c r="C441" s="1049"/>
      <c r="D441" s="1049"/>
      <c r="E441" s="1049"/>
      <c r="F441" s="1049"/>
    </row>
    <row r="442" spans="1:6" s="1039" customFormat="1" ht="15.75">
      <c r="A442" s="1049"/>
      <c r="B442" s="1049"/>
      <c r="C442" s="1049"/>
      <c r="D442" s="1049"/>
      <c r="E442" s="1049"/>
      <c r="F442" s="1049"/>
    </row>
    <row r="443" spans="1:6" s="1039" customFormat="1">
      <c r="A443" s="1051" t="s">
        <v>484</v>
      </c>
      <c r="B443" s="1446" t="s">
        <v>674</v>
      </c>
      <c r="C443" s="1446"/>
      <c r="D443" s="1446"/>
      <c r="E443" s="1446"/>
      <c r="F443" s="1446"/>
    </row>
    <row r="444" spans="1:6" s="1039" customFormat="1" ht="15.75">
      <c r="A444" s="1049"/>
      <c r="B444" s="1049"/>
      <c r="C444" s="1049"/>
      <c r="D444" s="1049"/>
      <c r="E444" s="1049"/>
      <c r="F444" s="1049"/>
    </row>
    <row r="445" spans="1:6" s="1039" customFormat="1" ht="15.75">
      <c r="A445" s="1049"/>
      <c r="B445" s="1049"/>
      <c r="C445" s="1049"/>
      <c r="D445" s="1049"/>
      <c r="E445" s="1049"/>
      <c r="F445" s="1049"/>
    </row>
    <row r="446" spans="1:6" s="1039" customFormat="1" ht="15.75">
      <c r="A446" s="1049"/>
      <c r="B446" s="1049"/>
      <c r="C446" s="1049"/>
      <c r="D446" s="1049"/>
      <c r="E446" s="1049"/>
      <c r="F446" s="1049"/>
    </row>
    <row r="447" spans="1:6" s="1039" customFormat="1" ht="15.75">
      <c r="A447" s="1049"/>
      <c r="B447" s="1049"/>
      <c r="C447" s="1049"/>
      <c r="D447" s="1049"/>
      <c r="E447" s="1049"/>
      <c r="F447" s="1049"/>
    </row>
    <row r="448" spans="1:6" s="1039" customFormat="1" ht="15.75">
      <c r="A448" s="1049"/>
      <c r="B448" s="1049"/>
      <c r="C448" s="1049"/>
      <c r="D448" s="1049"/>
      <c r="E448" s="1049"/>
      <c r="F448" s="1049"/>
    </row>
    <row r="449" spans="1:6" s="1039" customFormat="1" ht="15.75">
      <c r="A449" s="1049"/>
      <c r="B449" s="1049"/>
      <c r="C449" s="1049"/>
      <c r="D449" s="1049"/>
      <c r="E449" s="1049"/>
      <c r="F449" s="1049"/>
    </row>
    <row r="450" spans="1:6" s="1039" customFormat="1" ht="15.75">
      <c r="A450" s="1049"/>
      <c r="B450" s="1049"/>
      <c r="C450" s="1049"/>
      <c r="D450" s="1049"/>
      <c r="E450" s="1049"/>
      <c r="F450" s="1049"/>
    </row>
    <row r="451" spans="1:6" s="1039" customFormat="1">
      <c r="A451" s="1051" t="s">
        <v>486</v>
      </c>
      <c r="B451" s="1446" t="s">
        <v>673</v>
      </c>
      <c r="C451" s="1446"/>
      <c r="D451" s="1446"/>
      <c r="E451" s="1446"/>
      <c r="F451" s="1446"/>
    </row>
    <row r="452" spans="1:6" s="1039" customFormat="1" ht="15.75">
      <c r="A452" s="1049"/>
      <c r="B452" s="1049"/>
      <c r="C452" s="1049"/>
      <c r="D452" s="1049"/>
      <c r="E452" s="1049"/>
      <c r="F452" s="1049"/>
    </row>
    <row r="453" spans="1:6" s="1039" customFormat="1" ht="15.75">
      <c r="A453" s="1049"/>
      <c r="B453" s="1049"/>
      <c r="C453" s="1049"/>
      <c r="D453" s="1049"/>
      <c r="E453" s="1049"/>
      <c r="F453" s="1049"/>
    </row>
    <row r="454" spans="1:6" s="1039" customFormat="1">
      <c r="A454" s="1051" t="s">
        <v>488</v>
      </c>
      <c r="B454" s="1446" t="s">
        <v>662</v>
      </c>
      <c r="C454" s="1446"/>
      <c r="D454" s="1446"/>
      <c r="E454" s="1446"/>
      <c r="F454" s="1446"/>
    </row>
    <row r="455" spans="1:6" s="1039" customFormat="1" ht="15.75">
      <c r="A455" s="1049"/>
      <c r="B455" s="1049"/>
      <c r="C455" s="1049"/>
      <c r="D455" s="1049"/>
      <c r="E455" s="1049"/>
      <c r="F455" s="1049"/>
    </row>
    <row r="456" spans="1:6" s="1039" customFormat="1" ht="15.75">
      <c r="A456" s="1049"/>
      <c r="B456" s="1049"/>
      <c r="C456" s="1049"/>
      <c r="D456" s="1049"/>
      <c r="E456" s="1049"/>
      <c r="F456" s="1049"/>
    </row>
    <row r="457" spans="1:6" s="1039" customFormat="1" ht="15.75">
      <c r="A457" s="1049"/>
      <c r="B457" s="1049"/>
      <c r="C457" s="1049"/>
      <c r="D457" s="1049"/>
      <c r="E457" s="1049"/>
      <c r="F457" s="1049"/>
    </row>
    <row r="458" spans="1:6" s="1039" customFormat="1" ht="15.75">
      <c r="A458" s="1049"/>
      <c r="B458" s="1049"/>
      <c r="C458" s="1049"/>
      <c r="D458" s="1049"/>
      <c r="E458" s="1049"/>
      <c r="F458" s="1049"/>
    </row>
    <row r="459" spans="1:6" s="1039" customFormat="1" ht="15.75">
      <c r="A459" s="1049"/>
      <c r="B459" s="1049"/>
      <c r="C459" s="1049"/>
      <c r="D459" s="1049"/>
      <c r="E459" s="1049"/>
      <c r="F459" s="1049"/>
    </row>
    <row r="460" spans="1:6" s="1039" customFormat="1" ht="15.75">
      <c r="A460" s="1049"/>
      <c r="B460" s="1049"/>
      <c r="C460" s="1049"/>
      <c r="D460" s="1049"/>
      <c r="E460" s="1049"/>
      <c r="F460" s="1049"/>
    </row>
    <row r="461" spans="1:6" s="1039" customFormat="1" ht="15.75">
      <c r="A461" s="1049"/>
      <c r="B461" s="1049"/>
      <c r="C461" s="1049"/>
      <c r="D461" s="1049"/>
      <c r="E461" s="1049"/>
      <c r="F461" s="1049"/>
    </row>
    <row r="462" spans="1:6" s="1039" customFormat="1" ht="15.75">
      <c r="A462" s="1049"/>
      <c r="B462" s="1049"/>
      <c r="C462" s="1049"/>
      <c r="D462" s="1049"/>
      <c r="E462" s="1049"/>
      <c r="F462" s="1049"/>
    </row>
    <row r="463" spans="1:6" s="1039" customFormat="1" ht="15.75">
      <c r="A463" s="1049"/>
      <c r="B463" s="1049"/>
      <c r="C463" s="1049"/>
      <c r="D463" s="1049"/>
      <c r="E463" s="1049"/>
      <c r="F463" s="1049"/>
    </row>
    <row r="464" spans="1:6" s="1039" customFormat="1" ht="15.75">
      <c r="A464" s="1049"/>
      <c r="B464" s="1049"/>
      <c r="C464" s="1049"/>
      <c r="D464" s="1049"/>
      <c r="E464" s="1049"/>
      <c r="F464" s="1049"/>
    </row>
    <row r="465" spans="1:6" s="1039" customFormat="1" ht="15.75">
      <c r="A465" s="1049"/>
      <c r="B465" s="1049"/>
      <c r="C465" s="1049"/>
      <c r="D465" s="1049"/>
      <c r="E465" s="1049"/>
      <c r="F465" s="1049"/>
    </row>
    <row r="466" spans="1:6" s="1039" customFormat="1" ht="15.75">
      <c r="A466" s="1049"/>
      <c r="B466" s="1049"/>
      <c r="C466" s="1049"/>
      <c r="D466" s="1049"/>
      <c r="E466" s="1049"/>
      <c r="F466" s="1049"/>
    </row>
    <row r="467" spans="1:6" s="1039" customFormat="1" ht="15.75">
      <c r="A467" s="1049"/>
      <c r="B467" s="1049"/>
      <c r="C467" s="1049"/>
      <c r="D467" s="1049"/>
      <c r="E467" s="1049"/>
      <c r="F467" s="1049"/>
    </row>
    <row r="468" spans="1:6" s="1039" customFormat="1" ht="15.75">
      <c r="A468" s="1049"/>
      <c r="B468" s="1049"/>
      <c r="C468" s="1049"/>
      <c r="D468" s="1049"/>
      <c r="E468" s="1049"/>
      <c r="F468" s="1049"/>
    </row>
    <row r="469" spans="1:6" s="1039" customFormat="1" ht="15.75">
      <c r="A469" s="1049"/>
      <c r="B469" s="1049"/>
      <c r="C469" s="1049"/>
      <c r="D469" s="1049"/>
      <c r="E469" s="1049"/>
      <c r="F469" s="1049"/>
    </row>
    <row r="470" spans="1:6" s="1039" customFormat="1" ht="15.75">
      <c r="A470" s="1049"/>
      <c r="B470" s="1049"/>
      <c r="C470" s="1049"/>
      <c r="D470" s="1049"/>
      <c r="E470" s="1049"/>
      <c r="F470" s="1049"/>
    </row>
    <row r="471" spans="1:6" s="1039" customFormat="1" ht="15.75">
      <c r="A471" s="1049"/>
      <c r="B471" s="1049"/>
      <c r="C471" s="1049"/>
      <c r="D471" s="1049"/>
      <c r="E471" s="1049"/>
      <c r="F471" s="1049"/>
    </row>
    <row r="472" spans="1:6" s="1039" customFormat="1" ht="15.75">
      <c r="A472" s="1049"/>
      <c r="B472" s="1049"/>
      <c r="C472" s="1049"/>
      <c r="D472" s="1049"/>
      <c r="E472" s="1049"/>
      <c r="F472" s="1049"/>
    </row>
    <row r="473" spans="1:6" s="1039" customFormat="1" ht="15.75">
      <c r="A473" s="1049"/>
      <c r="B473" s="1049"/>
      <c r="C473" s="1049"/>
      <c r="D473" s="1049"/>
      <c r="E473" s="1049"/>
      <c r="F473" s="1049"/>
    </row>
    <row r="474" spans="1:6" s="1039" customFormat="1" ht="15.75">
      <c r="A474" s="1049"/>
      <c r="B474" s="1049"/>
      <c r="C474" s="1049"/>
      <c r="D474" s="1049"/>
      <c r="E474" s="1049"/>
      <c r="F474" s="1049"/>
    </row>
    <row r="475" spans="1:6" s="1039" customFormat="1" ht="15.75">
      <c r="A475" s="1049"/>
      <c r="B475" s="1049"/>
      <c r="C475" s="1049"/>
      <c r="D475" s="1049"/>
      <c r="E475" s="1049"/>
      <c r="F475" s="1049"/>
    </row>
    <row r="476" spans="1:6" s="1039" customFormat="1" ht="15.75">
      <c r="A476" s="1049"/>
      <c r="B476" s="1049"/>
      <c r="C476" s="1049"/>
      <c r="D476" s="1049"/>
      <c r="E476" s="1049"/>
      <c r="F476" s="1049"/>
    </row>
    <row r="477" spans="1:6" ht="15.75">
      <c r="A477" s="1435" t="s">
        <v>653</v>
      </c>
      <c r="B477" s="1435"/>
      <c r="C477" s="1435"/>
      <c r="D477" s="1435"/>
      <c r="E477" s="1435"/>
      <c r="F477" s="1435"/>
    </row>
    <row r="478" spans="1:6" s="1039" customFormat="1">
      <c r="A478" s="1051" t="s">
        <v>484</v>
      </c>
      <c r="B478" s="1446" t="s">
        <v>675</v>
      </c>
      <c r="C478" s="1446"/>
      <c r="D478" s="1446"/>
      <c r="E478" s="1446"/>
      <c r="F478" s="1446"/>
    </row>
    <row r="479" spans="1:6" s="1039" customFormat="1" ht="15.75">
      <c r="A479" s="1049"/>
      <c r="B479" s="1049"/>
      <c r="C479" s="1049"/>
      <c r="D479" s="1049"/>
      <c r="E479" s="1049"/>
      <c r="F479" s="1049"/>
    </row>
    <row r="480" spans="1:6" s="1039" customFormat="1" ht="15.75">
      <c r="A480" s="1049"/>
      <c r="B480" s="1049"/>
      <c r="C480" s="1049"/>
      <c r="D480" s="1049"/>
      <c r="E480" s="1049"/>
      <c r="F480" s="1049"/>
    </row>
    <row r="481" spans="1:6" s="1039" customFormat="1" ht="15.75">
      <c r="A481" s="1049"/>
      <c r="B481" s="1049"/>
      <c r="C481" s="1049"/>
      <c r="D481" s="1049"/>
      <c r="E481" s="1049"/>
      <c r="F481" s="1049"/>
    </row>
    <row r="482" spans="1:6" s="1039" customFormat="1" ht="15.75">
      <c r="A482" s="1049"/>
      <c r="B482" s="1049"/>
      <c r="C482" s="1049"/>
      <c r="D482" s="1049"/>
      <c r="E482" s="1049"/>
      <c r="F482" s="1049"/>
    </row>
    <row r="483" spans="1:6" s="1039" customFormat="1" ht="15.75">
      <c r="A483" s="1049"/>
      <c r="B483" s="1049"/>
      <c r="C483" s="1049"/>
      <c r="D483" s="1049"/>
      <c r="E483" s="1049"/>
      <c r="F483" s="1049"/>
    </row>
    <row r="484" spans="1:6" s="1039" customFormat="1" ht="15.75">
      <c r="A484" s="1049"/>
      <c r="B484" s="1049"/>
      <c r="C484" s="1049"/>
      <c r="D484" s="1049"/>
      <c r="E484" s="1049"/>
      <c r="F484" s="1049"/>
    </row>
    <row r="485" spans="1:6" s="1039" customFormat="1">
      <c r="A485" s="1051" t="s">
        <v>486</v>
      </c>
      <c r="B485" s="1446" t="s">
        <v>335</v>
      </c>
      <c r="C485" s="1446"/>
      <c r="D485" s="1446"/>
      <c r="E485" s="1446"/>
      <c r="F485" s="1446"/>
    </row>
    <row r="486" spans="1:6" s="1039" customFormat="1" ht="15.75">
      <c r="A486" s="1049"/>
      <c r="B486" s="1049"/>
      <c r="C486" s="1049"/>
      <c r="D486" s="1049"/>
      <c r="E486" s="1049"/>
      <c r="F486" s="1049"/>
    </row>
    <row r="487" spans="1:6" s="1039" customFormat="1" ht="15.75">
      <c r="A487" s="1049"/>
      <c r="B487" s="1049"/>
      <c r="C487" s="1049"/>
      <c r="D487" s="1049"/>
      <c r="E487" s="1049"/>
      <c r="F487" s="1049"/>
    </row>
    <row r="488" spans="1:6" s="1039" customFormat="1" ht="15.75">
      <c r="A488" s="1049"/>
      <c r="B488" s="1049"/>
      <c r="C488" s="1049"/>
      <c r="D488" s="1049"/>
      <c r="E488" s="1049"/>
      <c r="F488" s="1049"/>
    </row>
    <row r="489" spans="1:6" s="1039" customFormat="1" ht="15.75">
      <c r="A489" s="1049"/>
      <c r="B489" s="1049"/>
      <c r="C489" s="1049"/>
      <c r="D489" s="1049"/>
      <c r="E489" s="1049"/>
      <c r="F489" s="1049"/>
    </row>
    <row r="490" spans="1:6" s="1039" customFormat="1" ht="15.75">
      <c r="A490" s="1049"/>
      <c r="B490" s="1049"/>
      <c r="C490" s="1049"/>
      <c r="D490" s="1049"/>
      <c r="E490" s="1049"/>
      <c r="F490" s="1049"/>
    </row>
    <row r="491" spans="1:6" s="1039" customFormat="1" ht="15.75">
      <c r="A491" s="1049"/>
      <c r="B491" s="1049"/>
      <c r="C491" s="1049"/>
      <c r="D491" s="1049"/>
      <c r="E491" s="1049"/>
      <c r="F491" s="1049"/>
    </row>
    <row r="492" spans="1:6" s="1039" customFormat="1" ht="15.75">
      <c r="A492" s="1049"/>
      <c r="B492" s="1049"/>
      <c r="C492" s="1049"/>
      <c r="D492" s="1049"/>
      <c r="E492" s="1049"/>
      <c r="F492" s="1049"/>
    </row>
    <row r="493" spans="1:6" s="1039" customFormat="1" ht="15.75">
      <c r="A493" s="1049"/>
      <c r="B493" s="1049"/>
      <c r="C493" s="1049"/>
      <c r="D493" s="1049"/>
      <c r="E493" s="1049"/>
      <c r="F493" s="1049"/>
    </row>
    <row r="494" spans="1:6" s="1039" customFormat="1" ht="15.75">
      <c r="A494" s="1049"/>
      <c r="B494" s="1049"/>
      <c r="C494" s="1049"/>
      <c r="D494" s="1049"/>
      <c r="E494" s="1049"/>
      <c r="F494" s="1049"/>
    </row>
    <row r="495" spans="1:6" s="1039" customFormat="1" ht="15.75">
      <c r="A495" s="1049"/>
      <c r="B495" s="1049"/>
      <c r="C495" s="1049"/>
      <c r="D495" s="1049"/>
      <c r="E495" s="1049"/>
      <c r="F495" s="1049"/>
    </row>
    <row r="496" spans="1:6" s="1039" customFormat="1" ht="15.75">
      <c r="A496" s="1049"/>
      <c r="B496" s="1049"/>
      <c r="C496" s="1049"/>
      <c r="D496" s="1049"/>
      <c r="E496" s="1049"/>
      <c r="F496" s="1049"/>
    </row>
    <row r="497" spans="1:6" s="1039" customFormat="1" ht="15.75">
      <c r="A497" s="1049"/>
      <c r="B497" s="1049"/>
      <c r="C497" s="1049"/>
      <c r="D497" s="1049"/>
      <c r="E497" s="1049"/>
      <c r="F497" s="1049"/>
    </row>
    <row r="498" spans="1:6" s="1039" customFormat="1" ht="15.75">
      <c r="A498" s="1049"/>
      <c r="B498" s="1049"/>
      <c r="C498" s="1049"/>
      <c r="D498" s="1049"/>
      <c r="E498" s="1049"/>
      <c r="F498" s="1049"/>
    </row>
    <row r="499" spans="1:6" s="1039" customFormat="1" ht="15.75">
      <c r="A499" s="1049"/>
      <c r="B499" s="1049"/>
      <c r="C499" s="1049"/>
      <c r="D499" s="1049"/>
      <c r="E499" s="1049"/>
      <c r="F499" s="1049"/>
    </row>
    <row r="500" spans="1:6" s="1039" customFormat="1" ht="15.75">
      <c r="A500" s="1049"/>
      <c r="B500" s="1049"/>
      <c r="C500" s="1049"/>
      <c r="D500" s="1049"/>
      <c r="E500" s="1049"/>
      <c r="F500" s="1049"/>
    </row>
    <row r="501" spans="1:6" s="1039" customFormat="1" ht="15.75">
      <c r="A501" s="1049"/>
      <c r="B501" s="1049"/>
      <c r="C501" s="1049"/>
      <c r="D501" s="1049"/>
      <c r="E501" s="1049"/>
      <c r="F501" s="1049"/>
    </row>
    <row r="502" spans="1:6" s="1039" customFormat="1" ht="15.75">
      <c r="A502" s="1049"/>
      <c r="B502" s="1049"/>
      <c r="C502" s="1049"/>
      <c r="D502" s="1049"/>
      <c r="E502" s="1049"/>
      <c r="F502" s="1049"/>
    </row>
    <row r="503" spans="1:6" s="1039" customFormat="1" ht="15.75">
      <c r="A503" s="1049"/>
      <c r="B503" s="1049"/>
      <c r="C503" s="1049"/>
      <c r="D503" s="1049"/>
      <c r="E503" s="1049"/>
      <c r="F503" s="1049"/>
    </row>
    <row r="504" spans="1:6" s="1039" customFormat="1" ht="15.75">
      <c r="A504" s="1049"/>
      <c r="B504" s="1049"/>
      <c r="C504" s="1049"/>
      <c r="D504" s="1049"/>
      <c r="E504" s="1049"/>
      <c r="F504" s="1049"/>
    </row>
    <row r="505" spans="1:6" s="1039" customFormat="1" ht="15.75">
      <c r="A505" s="1049"/>
      <c r="B505" s="1049"/>
      <c r="C505" s="1049"/>
      <c r="D505" s="1049"/>
      <c r="E505" s="1049"/>
      <c r="F505" s="1049"/>
    </row>
    <row r="506" spans="1:6" s="1039" customFormat="1" ht="15.75">
      <c r="A506" s="1049"/>
      <c r="B506" s="1049"/>
      <c r="C506" s="1049"/>
      <c r="D506" s="1049"/>
      <c r="E506" s="1049"/>
      <c r="F506" s="1049"/>
    </row>
    <row r="507" spans="1:6" s="1039" customFormat="1" ht="15.75">
      <c r="A507" s="1049"/>
      <c r="B507" s="1049"/>
      <c r="C507" s="1049"/>
      <c r="D507" s="1049"/>
      <c r="E507" s="1049"/>
      <c r="F507" s="1049"/>
    </row>
    <row r="508" spans="1:6" s="1039" customFormat="1" ht="15.75">
      <c r="A508" s="1049"/>
      <c r="B508" s="1049"/>
      <c r="C508" s="1049"/>
      <c r="D508" s="1049"/>
      <c r="E508" s="1049"/>
      <c r="F508" s="1049"/>
    </row>
    <row r="509" spans="1:6" s="1039" customFormat="1" ht="15.75">
      <c r="A509" s="1049"/>
      <c r="B509" s="1049"/>
      <c r="C509" s="1049"/>
      <c r="D509" s="1049"/>
      <c r="E509" s="1049"/>
      <c r="F509" s="1049"/>
    </row>
    <row r="510" spans="1:6" ht="15.75">
      <c r="A510" s="1435" t="s">
        <v>654</v>
      </c>
      <c r="B510" s="1435"/>
      <c r="C510" s="1435"/>
      <c r="D510" s="1435"/>
      <c r="E510" s="1435"/>
      <c r="F510" s="1435"/>
    </row>
    <row r="511" spans="1:6">
      <c r="A511" s="1051" t="s">
        <v>484</v>
      </c>
      <c r="B511" s="1446" t="s">
        <v>676</v>
      </c>
      <c r="C511" s="1446"/>
      <c r="D511" s="1446"/>
      <c r="E511" s="1446"/>
      <c r="F511" s="1446"/>
    </row>
    <row r="520" spans="1:6">
      <c r="A520" s="1051" t="s">
        <v>486</v>
      </c>
      <c r="B520" s="1446" t="s">
        <v>523</v>
      </c>
      <c r="C520" s="1446"/>
      <c r="D520" s="1446"/>
      <c r="E520" s="1446"/>
      <c r="F520" s="1446"/>
    </row>
  </sheetData>
  <sheetProtection algorithmName="SHA-512" hashValue="nkRCfFRSlCwLX8V81KvYOz65V/eWWDqcgdk+Vtw255sLjSqfg4DveIhY2UgNrEPk+yK2/585Vn57Q5EJJGiF3A==" saltValue="/+595RqXGiJqpySANTVo6w==" spinCount="100000" sheet="1" objects="1" scenarios="1"/>
  <mergeCells count="51">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 ref="B485:F485"/>
    <mergeCell ref="B329:F329"/>
    <mergeCell ref="B326:F326"/>
    <mergeCell ref="B333:F333"/>
    <mergeCell ref="B336:F336"/>
    <mergeCell ref="B339:F339"/>
    <mergeCell ref="A274:F274"/>
    <mergeCell ref="A325:F325"/>
    <mergeCell ref="B278:F278"/>
    <mergeCell ref="B285:F285"/>
    <mergeCell ref="B295:F295"/>
    <mergeCell ref="B303:F303"/>
    <mergeCell ref="A237:F237"/>
    <mergeCell ref="B255:F255"/>
    <mergeCell ref="B251:F251"/>
    <mergeCell ref="B248:F248"/>
    <mergeCell ref="B245:F245"/>
    <mergeCell ref="B242:F242"/>
    <mergeCell ref="B1:T2"/>
    <mergeCell ref="A3:F3"/>
    <mergeCell ref="H3:M3"/>
    <mergeCell ref="O3:T3"/>
    <mergeCell ref="A10:F10"/>
    <mergeCell ref="H7:M7"/>
    <mergeCell ref="O6:T6"/>
    <mergeCell ref="A179:F179"/>
    <mergeCell ref="A35:F35"/>
    <mergeCell ref="O16:T16"/>
    <mergeCell ref="O10:T10"/>
    <mergeCell ref="A14:F14"/>
    <mergeCell ref="O14:T14"/>
    <mergeCell ref="A17:F17"/>
    <mergeCell ref="D15:F15"/>
    <mergeCell ref="C11:F12"/>
    <mergeCell ref="H12:M12"/>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577" r:id="rId4" name="ListBox1">
          <controlPr defaultSize="0" autoLine="0" r:id="rId5">
            <anchor moveWithCells="1">
              <from>
                <xdr:col>2</xdr:col>
                <xdr:colOff>9525</xdr:colOff>
                <xdr:row>3</xdr:row>
                <xdr:rowOff>0</xdr:rowOff>
              </from>
              <to>
                <xdr:col>6</xdr:col>
                <xdr:colOff>9525</xdr:colOff>
                <xdr:row>8</xdr:row>
                <xdr:rowOff>171450</xdr:rowOff>
              </to>
            </anchor>
          </controlPr>
        </control>
      </mc:Choice>
      <mc:Fallback>
        <control shapeId="24577" r:id="rId4" name="ListBox1"/>
      </mc:Fallback>
    </mc:AlternateContent>
    <mc:AlternateContent xmlns:mc="http://schemas.openxmlformats.org/markup-compatibility/2006">
      <mc:Choice Requires="x14">
        <control shapeId="24581" r:id="rId6" name="ListBox4">
          <controlPr defaultSize="0" autoLine="0" r:id="rId7">
            <anchor moveWithCells="1">
              <from>
                <xdr:col>1</xdr:col>
                <xdr:colOff>581025</xdr:colOff>
                <xdr:row>17</xdr:row>
                <xdr:rowOff>9525</xdr:rowOff>
              </from>
              <to>
                <xdr:col>6</xdr:col>
                <xdr:colOff>9525</xdr:colOff>
                <xdr:row>18</xdr:row>
                <xdr:rowOff>400050</xdr:rowOff>
              </to>
            </anchor>
          </controlPr>
        </control>
      </mc:Choice>
      <mc:Fallback>
        <control shapeId="24581" r:id="rId6" name="ListBox4"/>
      </mc:Fallback>
    </mc:AlternateContent>
    <mc:AlternateContent xmlns:mc="http://schemas.openxmlformats.org/markup-compatibility/2006">
      <mc:Choice Requires="x14">
        <control shapeId="24582" r:id="rId8" name="gotoprojectstart">
          <controlPr defaultSize="0" disabled="1" autoLine="0" r:id="rId9">
            <anchor moveWithCells="1">
              <from>
                <xdr:col>5</xdr:col>
                <xdr:colOff>142875</xdr:colOff>
                <xdr:row>16</xdr:row>
                <xdr:rowOff>0</xdr:rowOff>
              </from>
              <to>
                <xdr:col>6</xdr:col>
                <xdr:colOff>9525</xdr:colOff>
                <xdr:row>17</xdr:row>
                <xdr:rowOff>38100</xdr:rowOff>
              </to>
            </anchor>
          </controlPr>
        </control>
      </mc:Choice>
      <mc:Fallback>
        <control shapeId="24582" r:id="rId8" name="gotoprojectstart"/>
      </mc:Fallback>
    </mc:AlternateContent>
    <mc:AlternateContent xmlns:mc="http://schemas.openxmlformats.org/markup-compatibility/2006">
      <mc:Choice Requires="x14">
        <control shapeId="24584" r:id="rId10" name="gotosim">
          <controlPr defaultSize="0" autoLine="0" r:id="rId11">
            <anchor moveWithCells="1">
              <from>
                <xdr:col>5</xdr:col>
                <xdr:colOff>66675</xdr:colOff>
                <xdr:row>2</xdr:row>
                <xdr:rowOff>0</xdr:rowOff>
              </from>
              <to>
                <xdr:col>6</xdr:col>
                <xdr:colOff>0</xdr:colOff>
                <xdr:row>3</xdr:row>
                <xdr:rowOff>47625</xdr:rowOff>
              </to>
            </anchor>
          </controlPr>
        </control>
      </mc:Choice>
      <mc:Fallback>
        <control shapeId="24584" r:id="rId10" name="gotosim"/>
      </mc:Fallback>
    </mc:AlternateContent>
    <mc:AlternateContent xmlns:mc="http://schemas.openxmlformats.org/markup-compatibility/2006">
      <mc:Choice Requires="x14">
        <control shapeId="24585" r:id="rId12" name="goto36mo">
          <controlPr defaultSize="0" disabled="1" autoLine="0" r:id="rId13">
            <anchor moveWithCells="1">
              <from>
                <xdr:col>11</xdr:col>
                <xdr:colOff>104775</xdr:colOff>
                <xdr:row>2</xdr:row>
                <xdr:rowOff>0</xdr:rowOff>
              </from>
              <to>
                <xdr:col>13</xdr:col>
                <xdr:colOff>19050</xdr:colOff>
                <xdr:row>3</xdr:row>
                <xdr:rowOff>47625</xdr:rowOff>
              </to>
            </anchor>
          </controlPr>
        </control>
      </mc:Choice>
      <mc:Fallback>
        <control shapeId="24585" r:id="rId12" name="goto36mo"/>
      </mc:Fallback>
    </mc:AlternateContent>
    <mc:AlternateContent xmlns:mc="http://schemas.openxmlformats.org/markup-compatibility/2006">
      <mc:Choice Requires="x14">
        <control shapeId="24586" r:id="rId14" name="gotoperformance">
          <controlPr defaultSize="0" disabled="1" autoLine="0" r:id="rId15">
            <anchor moveWithCells="1">
              <from>
                <xdr:col>11</xdr:col>
                <xdr:colOff>85725</xdr:colOff>
                <xdr:row>6</xdr:row>
                <xdr:rowOff>9525</xdr:rowOff>
              </from>
              <to>
                <xdr:col>13</xdr:col>
                <xdr:colOff>0</xdr:colOff>
                <xdr:row>7</xdr:row>
                <xdr:rowOff>9525</xdr:rowOff>
              </to>
            </anchor>
          </controlPr>
        </control>
      </mc:Choice>
      <mc:Fallback>
        <control shapeId="24586" r:id="rId14" name="gotoperformance"/>
      </mc:Fallback>
    </mc:AlternateContent>
    <mc:AlternateContent xmlns:mc="http://schemas.openxmlformats.org/markup-compatibility/2006">
      <mc:Choice Requires="x14">
        <control shapeId="24587" r:id="rId16" name="gotodanalysis">
          <controlPr defaultSize="0" disabled="1" autoLine="0" r:id="rId17">
            <anchor moveWithCells="1">
              <from>
                <xdr:col>11</xdr:col>
                <xdr:colOff>104775</xdr:colOff>
                <xdr:row>11</xdr:row>
                <xdr:rowOff>9525</xdr:rowOff>
              </from>
              <to>
                <xdr:col>13</xdr:col>
                <xdr:colOff>19050</xdr:colOff>
                <xdr:row>12</xdr:row>
                <xdr:rowOff>9525</xdr:rowOff>
              </to>
            </anchor>
          </controlPr>
        </control>
      </mc:Choice>
      <mc:Fallback>
        <control shapeId="24587" r:id="rId16" name="gotodanalysis"/>
      </mc:Fallback>
    </mc:AlternateContent>
    <mc:AlternateContent xmlns:mc="http://schemas.openxmlformats.org/markup-compatibility/2006">
      <mc:Choice Requires="x14">
        <control shapeId="24588" r:id="rId18" name="gotomktg">
          <controlPr defaultSize="0" disabled="1" autoLine="0" r:id="rId19">
            <anchor moveWithCells="1">
              <from>
                <xdr:col>18</xdr:col>
                <xdr:colOff>114300</xdr:colOff>
                <xdr:row>2</xdr:row>
                <xdr:rowOff>0</xdr:rowOff>
              </from>
              <to>
                <xdr:col>20</xdr:col>
                <xdr:colOff>28575</xdr:colOff>
                <xdr:row>3</xdr:row>
                <xdr:rowOff>47625</xdr:rowOff>
              </to>
            </anchor>
          </controlPr>
        </control>
      </mc:Choice>
      <mc:Fallback>
        <control shapeId="24588" r:id="rId18" name="gotomktg"/>
      </mc:Fallback>
    </mc:AlternateContent>
    <mc:AlternateContent xmlns:mc="http://schemas.openxmlformats.org/markup-compatibility/2006">
      <mc:Choice Requires="x14">
        <control shapeId="24589" r:id="rId20" name="gotoinn">
          <controlPr defaultSize="0" disabled="1" autoLine="0" r:id="rId21">
            <anchor moveWithCells="1">
              <from>
                <xdr:col>18</xdr:col>
                <xdr:colOff>104775</xdr:colOff>
                <xdr:row>5</xdr:row>
                <xdr:rowOff>0</xdr:rowOff>
              </from>
              <to>
                <xdr:col>20</xdr:col>
                <xdr:colOff>19050</xdr:colOff>
                <xdr:row>6</xdr:row>
                <xdr:rowOff>47625</xdr:rowOff>
              </to>
            </anchor>
          </controlPr>
        </control>
      </mc:Choice>
      <mc:Fallback>
        <control shapeId="24589" r:id="rId20" name="gotoinn"/>
      </mc:Fallback>
    </mc:AlternateContent>
    <mc:AlternateContent xmlns:mc="http://schemas.openxmlformats.org/markup-compatibility/2006">
      <mc:Choice Requires="x14">
        <control shapeId="24590" r:id="rId22" name="gotooper">
          <controlPr defaultSize="0" disabled="1" autoLine="0" r:id="rId23">
            <anchor moveWithCells="1">
              <from>
                <xdr:col>18</xdr:col>
                <xdr:colOff>104775</xdr:colOff>
                <xdr:row>8</xdr:row>
                <xdr:rowOff>219075</xdr:rowOff>
              </from>
              <to>
                <xdr:col>20</xdr:col>
                <xdr:colOff>19050</xdr:colOff>
                <xdr:row>10</xdr:row>
                <xdr:rowOff>38100</xdr:rowOff>
              </to>
            </anchor>
          </controlPr>
        </control>
      </mc:Choice>
      <mc:Fallback>
        <control shapeId="24590" r:id="rId22" name="gotooper"/>
      </mc:Fallback>
    </mc:AlternateContent>
    <mc:AlternateContent xmlns:mc="http://schemas.openxmlformats.org/markup-compatibility/2006">
      <mc:Choice Requires="x14">
        <control shapeId="24591" r:id="rId24" name="gotofin">
          <controlPr defaultSize="0" disabled="1" autoLine="0" r:id="rId25">
            <anchor moveWithCells="1">
              <from>
                <xdr:col>18</xdr:col>
                <xdr:colOff>104775</xdr:colOff>
                <xdr:row>12</xdr:row>
                <xdr:rowOff>161925</xdr:rowOff>
              </from>
              <to>
                <xdr:col>20</xdr:col>
                <xdr:colOff>19050</xdr:colOff>
                <xdr:row>14</xdr:row>
                <xdr:rowOff>19050</xdr:rowOff>
              </to>
            </anchor>
          </controlPr>
        </control>
      </mc:Choice>
      <mc:Fallback>
        <control shapeId="24591" r:id="rId24" name="gotofin"/>
      </mc:Fallback>
    </mc:AlternateContent>
    <mc:AlternateContent xmlns:mc="http://schemas.openxmlformats.org/markup-compatibility/2006">
      <mc:Choice Requires="x14">
        <control shapeId="24592" r:id="rId26" name="gotoorg">
          <controlPr defaultSize="0" disabled="1" autoLine="0" r:id="rId27">
            <anchor moveWithCells="1">
              <from>
                <xdr:col>18</xdr:col>
                <xdr:colOff>104775</xdr:colOff>
                <xdr:row>15</xdr:row>
                <xdr:rowOff>9525</xdr:rowOff>
              </from>
              <to>
                <xdr:col>20</xdr:col>
                <xdr:colOff>19050</xdr:colOff>
                <xdr:row>16</xdr:row>
                <xdr:rowOff>28575</xdr:rowOff>
              </to>
            </anchor>
          </controlPr>
        </control>
      </mc:Choice>
      <mc:Fallback>
        <control shapeId="24592" r:id="rId26" name="gotoorg"/>
      </mc:Fallback>
    </mc:AlternateContent>
    <mc:AlternateContent xmlns:mc="http://schemas.openxmlformats.org/markup-compatibility/2006">
      <mc:Choice Requires="x14">
        <control shapeId="24593" r:id="rId28" name="ListBox2">
          <controlPr defaultSize="0" autoLine="0" r:id="rId29">
            <anchor moveWithCells="1">
              <from>
                <xdr:col>7</xdr:col>
                <xdr:colOff>571500</xdr:colOff>
                <xdr:row>7</xdr:row>
                <xdr:rowOff>0</xdr:rowOff>
              </from>
              <to>
                <xdr:col>13</xdr:col>
                <xdr:colOff>9525</xdr:colOff>
                <xdr:row>10</xdr:row>
                <xdr:rowOff>38100</xdr:rowOff>
              </to>
            </anchor>
          </controlPr>
        </control>
      </mc:Choice>
      <mc:Fallback>
        <control shapeId="24593" r:id="rId28" name="ListBox2"/>
      </mc:Fallback>
    </mc:AlternateContent>
    <mc:AlternateContent xmlns:mc="http://schemas.openxmlformats.org/markup-compatibility/2006">
      <mc:Choice Requires="x14">
        <control shapeId="24594" r:id="rId30" name="ListBox3">
          <controlPr defaultSize="0" autoLine="0" autoPict="0" r:id="rId31">
            <anchor moveWithCells="1">
              <from>
                <xdr:col>7</xdr:col>
                <xdr:colOff>571500</xdr:colOff>
                <xdr:row>3</xdr:row>
                <xdr:rowOff>9525</xdr:rowOff>
              </from>
              <to>
                <xdr:col>13</xdr:col>
                <xdr:colOff>9525</xdr:colOff>
                <xdr:row>5</xdr:row>
                <xdr:rowOff>0</xdr:rowOff>
              </to>
            </anchor>
          </controlPr>
        </control>
      </mc:Choice>
      <mc:Fallback>
        <control shapeId="24594" r:id="rId30" name="ListBox3"/>
      </mc:Fallback>
    </mc:AlternateContent>
    <mc:AlternateContent xmlns:mc="http://schemas.openxmlformats.org/markup-compatibility/2006">
      <mc:Choice Requires="x14">
        <control shapeId="24596" r:id="rId32" name="ListBox5">
          <controlPr defaultSize="0" autoLine="0" r:id="rId33">
            <anchor moveWithCells="1">
              <from>
                <xdr:col>7</xdr:col>
                <xdr:colOff>600075</xdr:colOff>
                <xdr:row>11</xdr:row>
                <xdr:rowOff>238125</xdr:rowOff>
              </from>
              <to>
                <xdr:col>13</xdr:col>
                <xdr:colOff>38100</xdr:colOff>
                <xdr:row>15</xdr:row>
                <xdr:rowOff>76200</xdr:rowOff>
              </to>
            </anchor>
          </controlPr>
        </control>
      </mc:Choice>
      <mc:Fallback>
        <control shapeId="24596" r:id="rId32" name="ListBox5"/>
      </mc:Fallback>
    </mc:AlternateContent>
    <mc:AlternateContent xmlns:mc="http://schemas.openxmlformats.org/markup-compatibility/2006">
      <mc:Choice Requires="x14">
        <control shapeId="24597" r:id="rId34" name="ListBox6">
          <controlPr defaultSize="0" autoLine="0" autoPict="0" r:id="rId35">
            <anchor moveWithCells="1">
              <from>
                <xdr:col>14</xdr:col>
                <xdr:colOff>600075</xdr:colOff>
                <xdr:row>2</xdr:row>
                <xdr:rowOff>190500</xdr:rowOff>
              </from>
              <to>
                <xdr:col>20</xdr:col>
                <xdr:colOff>28575</xdr:colOff>
                <xdr:row>4</xdr:row>
                <xdr:rowOff>104775</xdr:rowOff>
              </to>
            </anchor>
          </controlPr>
        </control>
      </mc:Choice>
      <mc:Fallback>
        <control shapeId="24597" r:id="rId34" name="ListBox6"/>
      </mc:Fallback>
    </mc:AlternateContent>
    <mc:AlternateContent xmlns:mc="http://schemas.openxmlformats.org/markup-compatibility/2006">
      <mc:Choice Requires="x14">
        <control shapeId="24598" r:id="rId36" name="ListBox7">
          <controlPr defaultSize="0" autoLine="0" autoPict="0" r:id="rId37">
            <anchor moveWithCells="1">
              <from>
                <xdr:col>14</xdr:col>
                <xdr:colOff>581025</xdr:colOff>
                <xdr:row>6</xdr:row>
                <xdr:rowOff>9525</xdr:rowOff>
              </from>
              <to>
                <xdr:col>20</xdr:col>
                <xdr:colOff>28575</xdr:colOff>
                <xdr:row>7</xdr:row>
                <xdr:rowOff>180975</xdr:rowOff>
              </to>
            </anchor>
          </controlPr>
        </control>
      </mc:Choice>
      <mc:Fallback>
        <control shapeId="24598" r:id="rId36" name="ListBox7"/>
      </mc:Fallback>
    </mc:AlternateContent>
    <mc:AlternateContent xmlns:mc="http://schemas.openxmlformats.org/markup-compatibility/2006">
      <mc:Choice Requires="x14">
        <control shapeId="24599" r:id="rId38" name="ListBox8">
          <controlPr defaultSize="0" autoLine="0" r:id="rId39">
            <anchor moveWithCells="1">
              <from>
                <xdr:col>14</xdr:col>
                <xdr:colOff>571500</xdr:colOff>
                <xdr:row>10</xdr:row>
                <xdr:rowOff>0</xdr:rowOff>
              </from>
              <to>
                <xdr:col>20</xdr:col>
                <xdr:colOff>9525</xdr:colOff>
                <xdr:row>12</xdr:row>
                <xdr:rowOff>114300</xdr:rowOff>
              </to>
            </anchor>
          </controlPr>
        </control>
      </mc:Choice>
      <mc:Fallback>
        <control shapeId="24599" r:id="rId38" name="ListBox8"/>
      </mc:Fallback>
    </mc:AlternateContent>
    <mc:AlternateContent xmlns:mc="http://schemas.openxmlformats.org/markup-compatibility/2006">
      <mc:Choice Requires="x14">
        <control shapeId="24600" r:id="rId40" name="ListBox9">
          <controlPr defaultSize="0" autoLine="0" autoPict="0" r:id="rId41">
            <anchor moveWithCells="1">
              <from>
                <xdr:col>14</xdr:col>
                <xdr:colOff>571500</xdr:colOff>
                <xdr:row>13</xdr:row>
                <xdr:rowOff>190500</xdr:rowOff>
              </from>
              <to>
                <xdr:col>20</xdr:col>
                <xdr:colOff>9525</xdr:colOff>
                <xdr:row>14</xdr:row>
                <xdr:rowOff>419100</xdr:rowOff>
              </to>
            </anchor>
          </controlPr>
        </control>
      </mc:Choice>
      <mc:Fallback>
        <control shapeId="24600" r:id="rId40" name="ListBox9"/>
      </mc:Fallback>
    </mc:AlternateContent>
    <mc:AlternateContent xmlns:mc="http://schemas.openxmlformats.org/markup-compatibility/2006">
      <mc:Choice Requires="x14">
        <control shapeId="24601" r:id="rId42" name="ListBox10">
          <controlPr defaultSize="0" autoLine="0" autoPict="0" r:id="rId43">
            <anchor moveWithCells="1">
              <from>
                <xdr:col>14</xdr:col>
                <xdr:colOff>571500</xdr:colOff>
                <xdr:row>16</xdr:row>
                <xdr:rowOff>9525</xdr:rowOff>
              </from>
              <to>
                <xdr:col>20</xdr:col>
                <xdr:colOff>9525</xdr:colOff>
                <xdr:row>18</xdr:row>
                <xdr:rowOff>47625</xdr:rowOff>
              </to>
            </anchor>
          </controlPr>
        </control>
      </mc:Choice>
      <mc:Fallback>
        <control shapeId="24601" r:id="rId42" name="ListBox10"/>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tabSelected="1" showWhiteSpace="0" zoomScale="90" zoomScaleNormal="90" zoomScalePageLayoutView="85" workbookViewId="0">
      <selection activeCell="B30" sqref="B30"/>
    </sheetView>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36"/>
      <c r="B1" s="225"/>
      <c r="E1" s="13"/>
      <c r="F1" s="1"/>
      <c r="G1" s="1"/>
      <c r="H1" s="1"/>
      <c r="I1" s="1"/>
      <c r="J1" s="1"/>
      <c r="K1" s="1"/>
      <c r="L1" s="1"/>
      <c r="M1" s="1"/>
      <c r="N1" s="1"/>
      <c r="O1" s="1"/>
      <c r="P1" s="1"/>
      <c r="Q1" s="1"/>
      <c r="R1" s="1" t="s">
        <v>12</v>
      </c>
      <c r="S1" s="1"/>
    </row>
    <row r="2" spans="1:19" ht="12.75" customHeight="1">
      <c r="C2" s="1"/>
      <c r="D2" s="1"/>
      <c r="E2" s="1"/>
      <c r="Q2" s="1"/>
      <c r="R2" s="264">
        <v>8</v>
      </c>
      <c r="S2" s="1"/>
    </row>
    <row r="3" spans="1:19" ht="12.75" customHeight="1">
      <c r="C3" s="1"/>
      <c r="D3" s="1"/>
      <c r="E3" s="1"/>
      <c r="Q3" s="1"/>
      <c r="R3" s="1" t="s">
        <v>11</v>
      </c>
      <c r="S3" s="1"/>
    </row>
    <row r="4" spans="1:19" ht="12.75" customHeight="1">
      <c r="E4" s="1"/>
      <c r="Q4" s="1"/>
      <c r="R4" s="263" t="s">
        <v>6</v>
      </c>
      <c r="S4" s="1"/>
    </row>
    <row r="5" spans="1:19" ht="12.75" customHeight="1">
      <c r="C5" s="1451"/>
      <c r="D5" s="1451"/>
      <c r="E5" s="262"/>
      <c r="G5" s="1448" t="s">
        <v>521</v>
      </c>
      <c r="H5" s="1448"/>
      <c r="I5" s="1448"/>
      <c r="Q5" s="1"/>
      <c r="R5" s="1" t="s">
        <v>10</v>
      </c>
      <c r="S5" s="1"/>
    </row>
    <row r="6" spans="1:19" ht="12.75" customHeight="1">
      <c r="C6" s="1451"/>
      <c r="D6" s="1451"/>
      <c r="E6" s="262"/>
      <c r="G6" s="1447" t="str">
        <f>"C = "&amp;CurrentCycle</f>
        <v>C = 8</v>
      </c>
      <c r="H6" s="1447"/>
      <c r="I6" s="1447"/>
      <c r="R6" s="263" t="s">
        <v>721</v>
      </c>
    </row>
    <row r="7" spans="1:19" ht="12.75" customHeight="1">
      <c r="C7" s="1451"/>
      <c r="D7" s="1451"/>
      <c r="E7" s="262"/>
      <c r="G7" s="1449" t="s">
        <v>522</v>
      </c>
      <c r="H7" s="1449"/>
      <c r="I7" s="1449"/>
      <c r="R7" s="1" t="s">
        <v>9</v>
      </c>
    </row>
    <row r="8" spans="1:19" ht="12.75" customHeight="1">
      <c r="G8" s="1449" t="str">
        <f>"table in process is "</f>
        <v xml:space="preserve">table in process is </v>
      </c>
      <c r="H8" s="1449"/>
      <c r="I8" s="1449"/>
      <c r="R8" s="1"/>
    </row>
    <row r="9" spans="1:19" ht="12.75" customHeight="1">
      <c r="C9" s="1452"/>
      <c r="D9" s="1452"/>
      <c r="G9" s="1447">
        <f>Section</f>
        <v>0</v>
      </c>
      <c r="H9" s="1447"/>
      <c r="I9" s="1447"/>
      <c r="R9" s="1" t="s">
        <v>8</v>
      </c>
    </row>
    <row r="10" spans="1:19" ht="12.75" customHeight="1">
      <c r="C10" s="1450"/>
      <c r="D10" s="1450"/>
      <c r="R10" s="264">
        <v>8</v>
      </c>
    </row>
    <row r="11" spans="1:19" ht="12.75" customHeight="1">
      <c r="C11" s="1450"/>
      <c r="D11" s="1450"/>
      <c r="R11" s="1" t="s">
        <v>7</v>
      </c>
    </row>
    <row r="12" spans="1:19" ht="12.75" customHeight="1">
      <c r="C12" s="1450"/>
      <c r="D12" s="1450"/>
      <c r="R12" s="263" t="s">
        <v>6</v>
      </c>
    </row>
    <row r="13" spans="1:19" ht="12.75" customHeight="1">
      <c r="C13" s="1450"/>
      <c r="D13" s="1450"/>
      <c r="R13" s="4" t="s">
        <v>583</v>
      </c>
    </row>
    <row r="14" spans="1:19" ht="12.75" customHeight="1">
      <c r="R14" s="264" t="s">
        <v>594</v>
      </c>
    </row>
    <row r="15" spans="1:19" ht="12.75" customHeight="1">
      <c r="M15" s="25"/>
      <c r="R15" s="263" t="s">
        <v>593</v>
      </c>
    </row>
    <row r="16" spans="1:19" ht="12.75" customHeight="1">
      <c r="C16" s="7"/>
      <c r="D16" s="7"/>
      <c r="E16" s="7"/>
      <c r="R16" s="263"/>
    </row>
    <row r="17" spans="3:19" ht="12.75" customHeight="1">
      <c r="C17" s="7"/>
      <c r="D17" s="7"/>
      <c r="E17" s="7"/>
      <c r="R17" s="4" t="s">
        <v>451</v>
      </c>
    </row>
    <row r="18" spans="3:19" ht="12.75" customHeight="1">
      <c r="C18" s="7"/>
      <c r="D18" s="7"/>
      <c r="E18" s="7"/>
      <c r="R18" s="264">
        <v>7</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639"/>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717</v>
      </c>
    </row>
  </sheetData>
  <sheetProtection algorithmName="SHA-512" hashValue="L5oflGweYWbTb2H4MHZnU/Fma5LMmWcPOqGhOZxKd8cwnziHtx9QmfGOCegNCtpR1aSb6tC5uiQtFw+7U3tuRg==" saltValue="f9kJKMcGdnM+OLI1Vq/4gQ==" spinCount="100000" sheet="1" objects="1" scenarios="1" selectLockedCells="1"/>
  <mergeCells count="11">
    <mergeCell ref="C11:D11"/>
    <mergeCell ref="C12:D12"/>
    <mergeCell ref="C13:D13"/>
    <mergeCell ref="C5:D7"/>
    <mergeCell ref="C9:D9"/>
    <mergeCell ref="C10:D10"/>
    <mergeCell ref="G6:I6"/>
    <mergeCell ref="G5:I5"/>
    <mergeCell ref="G7:I7"/>
    <mergeCell ref="G8:I8"/>
    <mergeCell ref="G9:I9"/>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0" r:id="rId4" name="projectstart">
          <controlPr defaultSize="0" disabled="1" autoLine="0" r:id="rId5">
            <anchor moveWithCells="1">
              <from>
                <xdr:col>6</xdr:col>
                <xdr:colOff>219075</xdr:colOff>
                <xdr:row>15</xdr:row>
                <xdr:rowOff>28575</xdr:rowOff>
              </from>
              <to>
                <xdr:col>8</xdr:col>
                <xdr:colOff>285750</xdr:colOff>
                <xdr:row>17</xdr:row>
                <xdr:rowOff>0</xdr:rowOff>
              </to>
            </anchor>
          </controlPr>
        </control>
      </mc:Choice>
      <mc:Fallback>
        <control shapeId="53250" r:id="rId4" name="projectstart"/>
      </mc:Fallback>
    </mc:AlternateContent>
    <mc:AlternateContent xmlns:mc="http://schemas.openxmlformats.org/markup-compatibility/2006">
      <mc:Choice Requires="x14">
        <control shapeId="53251" r:id="rId6" name="ShapeIP">
          <controlPr defaultSize="0" disabled="1" autoLine="0" r:id="rId7">
            <anchor moveWithCells="1">
              <from>
                <xdr:col>6</xdr:col>
                <xdr:colOff>219075</xdr:colOff>
                <xdr:row>12</xdr:row>
                <xdr:rowOff>152400</xdr:rowOff>
              </from>
              <to>
                <xdr:col>8</xdr:col>
                <xdr:colOff>285750</xdr:colOff>
                <xdr:row>14</xdr:row>
                <xdr:rowOff>123825</xdr:rowOff>
              </to>
            </anchor>
          </controlPr>
        </control>
      </mc:Choice>
      <mc:Fallback>
        <control shapeId="53251" r:id="rId6" name="ShapeIP"/>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J23" sqref="J23"/>
    </sheetView>
  </sheetViews>
  <sheetFormatPr defaultColWidth="9.140625" defaultRowHeight="12.75"/>
  <cols>
    <col min="1" max="1" width="15.85546875" style="292" customWidth="1"/>
    <col min="2" max="2" width="9.5703125" style="292" customWidth="1"/>
    <col min="3" max="3" width="10.5703125" style="292" customWidth="1"/>
    <col min="4" max="4" width="12.42578125" style="292" customWidth="1"/>
    <col min="5" max="5" width="13.5703125" style="292" customWidth="1"/>
    <col min="6" max="6" width="12.42578125" style="292" customWidth="1"/>
    <col min="7" max="7" width="11.140625" style="292" customWidth="1"/>
    <col min="8" max="8" width="10.42578125" style="292" customWidth="1"/>
    <col min="9" max="9" width="12.5703125" style="292" bestFit="1" customWidth="1"/>
    <col min="10" max="11" width="10.85546875" style="292" customWidth="1"/>
    <col min="12" max="12" width="10.42578125" style="293" customWidth="1"/>
    <col min="13" max="13" width="10.5703125" style="293" customWidth="1"/>
    <col min="14" max="14" width="12" style="293" customWidth="1"/>
    <col min="15" max="15" width="10" style="293" customWidth="1"/>
    <col min="16" max="69" width="9.140625" style="293" customWidth="1"/>
    <col min="70" max="16384" width="9.140625" style="292"/>
  </cols>
  <sheetData>
    <row r="1" spans="1:69" ht="32.1" customHeight="1">
      <c r="M1" s="292"/>
      <c r="N1" s="292"/>
      <c r="O1" s="292"/>
      <c r="P1" s="292"/>
      <c r="Z1" s="292"/>
      <c r="AA1" s="292"/>
      <c r="AB1" s="292"/>
      <c r="AC1" s="292"/>
      <c r="AD1" s="292"/>
      <c r="AE1" s="292"/>
      <c r="AF1" s="292"/>
      <c r="AG1" s="292"/>
      <c r="AH1" s="292"/>
      <c r="AI1" s="292"/>
      <c r="AJ1" s="292"/>
      <c r="AK1" s="292"/>
      <c r="AL1" s="292"/>
      <c r="AM1" s="292"/>
      <c r="AN1" s="292"/>
      <c r="AO1" s="292"/>
      <c r="AP1" s="292"/>
      <c r="AQ1" s="292"/>
      <c r="AR1" s="292"/>
      <c r="AS1" s="292"/>
      <c r="AT1" s="292"/>
      <c r="AU1" s="292"/>
      <c r="AV1" s="292"/>
      <c r="AW1" s="292"/>
      <c r="AX1" s="292"/>
      <c r="AY1" s="292"/>
      <c r="AZ1" s="292"/>
      <c r="BA1" s="292"/>
      <c r="BB1" s="292"/>
      <c r="BC1" s="292"/>
      <c r="BD1" s="292"/>
      <c r="BE1" s="292"/>
      <c r="BF1" s="292"/>
      <c r="BG1" s="292"/>
      <c r="BH1" s="292"/>
      <c r="BI1" s="292"/>
      <c r="BJ1" s="292"/>
      <c r="BK1" s="292"/>
      <c r="BL1" s="292"/>
      <c r="BM1" s="292"/>
      <c r="BN1" s="292"/>
      <c r="BO1" s="292"/>
      <c r="BP1" s="292"/>
      <c r="BQ1" s="292"/>
    </row>
    <row r="2" spans="1:69" ht="41.25" customHeight="1">
      <c r="M2" s="292"/>
      <c r="N2" s="292"/>
      <c r="O2" s="292"/>
      <c r="P2" s="292"/>
      <c r="Z2" s="292"/>
      <c r="AA2" s="292"/>
      <c r="AB2" s="292"/>
      <c r="AC2" s="292"/>
      <c r="AD2" s="292"/>
      <c r="AE2" s="292"/>
      <c r="AF2" s="292"/>
      <c r="AG2" s="292"/>
      <c r="AH2" s="292"/>
      <c r="AI2" s="292"/>
      <c r="AJ2" s="292"/>
      <c r="AK2" s="292"/>
      <c r="AL2" s="292"/>
      <c r="AM2" s="292"/>
      <c r="AN2" s="292"/>
      <c r="AO2" s="292"/>
      <c r="AP2" s="292"/>
      <c r="AQ2" s="292"/>
      <c r="AR2" s="292"/>
      <c r="AS2" s="292"/>
      <c r="AT2" s="292"/>
      <c r="AU2" s="292"/>
      <c r="AV2" s="292"/>
      <c r="AW2" s="292"/>
      <c r="AX2" s="292"/>
      <c r="AY2" s="292"/>
      <c r="AZ2" s="292"/>
      <c r="BA2" s="292"/>
      <c r="BB2" s="292"/>
      <c r="BC2" s="292"/>
      <c r="BD2" s="292"/>
      <c r="BE2" s="292"/>
      <c r="BF2" s="292"/>
      <c r="BG2" s="292"/>
      <c r="BH2" s="292"/>
      <c r="BI2" s="292"/>
      <c r="BJ2" s="292"/>
      <c r="BK2" s="292"/>
      <c r="BL2" s="292"/>
      <c r="BM2" s="292"/>
      <c r="BN2" s="292"/>
      <c r="BO2" s="292"/>
      <c r="BP2" s="292"/>
      <c r="BQ2" s="292"/>
    </row>
    <row r="3" spans="1:69" ht="12.75" customHeight="1">
      <c r="L3" s="292"/>
      <c r="M3" s="292"/>
      <c r="N3" s="292"/>
      <c r="O3" s="292"/>
      <c r="P3" s="292"/>
      <c r="Z3" s="292"/>
      <c r="AA3" s="292"/>
      <c r="AB3" s="292"/>
      <c r="AC3" s="292"/>
      <c r="AD3" s="292"/>
      <c r="AE3" s="292"/>
      <c r="AF3" s="292"/>
      <c r="AG3" s="292"/>
      <c r="AH3" s="292"/>
      <c r="AI3" s="292"/>
      <c r="AJ3" s="292"/>
      <c r="AK3" s="292"/>
      <c r="AL3" s="292"/>
      <c r="AM3" s="292"/>
      <c r="AN3" s="292"/>
      <c r="AO3" s="292"/>
      <c r="AP3" s="292"/>
      <c r="AQ3" s="292"/>
      <c r="AR3" s="292"/>
      <c r="AS3" s="292"/>
      <c r="AT3" s="292"/>
      <c r="AU3" s="292"/>
      <c r="AV3" s="292"/>
      <c r="AW3" s="292"/>
      <c r="AX3" s="292"/>
      <c r="AY3" s="292"/>
      <c r="AZ3" s="292"/>
      <c r="BA3" s="292"/>
      <c r="BB3" s="292"/>
      <c r="BC3" s="292"/>
      <c r="BD3" s="292"/>
      <c r="BE3" s="292"/>
      <c r="BF3" s="292"/>
      <c r="BG3" s="292"/>
      <c r="BH3" s="292"/>
      <c r="BI3" s="292"/>
      <c r="BJ3" s="292"/>
      <c r="BK3" s="292"/>
      <c r="BL3" s="292"/>
      <c r="BM3" s="292"/>
      <c r="BN3" s="292"/>
      <c r="BO3" s="292"/>
      <c r="BP3" s="292"/>
      <c r="BQ3" s="292"/>
    </row>
    <row r="4" spans="1:69" s="293" customFormat="1">
      <c r="G4" s="293" t="s">
        <v>520</v>
      </c>
    </row>
    <row r="5" spans="1:69" ht="15.75">
      <c r="A5" s="642">
        <v>1</v>
      </c>
      <c r="B5" s="643" t="s">
        <v>100</v>
      </c>
      <c r="C5" s="644"/>
      <c r="D5" s="644"/>
      <c r="E5" s="644"/>
      <c r="F5" s="645"/>
      <c r="G5" s="645"/>
      <c r="H5" s="645"/>
      <c r="I5" s="645"/>
      <c r="J5" s="645"/>
      <c r="K5" s="646"/>
      <c r="L5" s="645"/>
      <c r="M5" s="647"/>
      <c r="N5" s="292"/>
      <c r="O5" s="648"/>
      <c r="P5" s="648"/>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c r="BN5" s="292"/>
      <c r="BO5" s="292"/>
      <c r="BP5" s="292"/>
      <c r="BQ5" s="292"/>
    </row>
    <row r="6" spans="1:69" ht="12.75" customHeight="1">
      <c r="A6" s="345">
        <v>1.1000000000000001</v>
      </c>
      <c r="B6" s="361" t="s">
        <v>15</v>
      </c>
      <c r="C6" s="361"/>
      <c r="D6" s="362"/>
      <c r="E6" s="300"/>
      <c r="F6" s="300"/>
      <c r="L6" s="292"/>
      <c r="M6" s="292"/>
      <c r="N6" s="292"/>
      <c r="O6" s="648"/>
      <c r="P6" s="648"/>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c r="BN6" s="292"/>
      <c r="BO6" s="292"/>
      <c r="BP6" s="292"/>
      <c r="BQ6" s="292"/>
    </row>
    <row r="7" spans="1:69" ht="11.25" customHeight="1">
      <c r="A7" s="297"/>
      <c r="B7" s="300"/>
      <c r="C7" s="301"/>
      <c r="D7" s="301"/>
      <c r="E7" s="300"/>
      <c r="F7" s="300"/>
      <c r="G7" s="649" t="s">
        <v>95</v>
      </c>
      <c r="H7" s="650" t="s">
        <v>35</v>
      </c>
      <c r="I7" s="649" t="s">
        <v>34</v>
      </c>
      <c r="J7" s="651" t="s">
        <v>33</v>
      </c>
      <c r="K7" s="652" t="s">
        <v>94</v>
      </c>
      <c r="L7" s="292"/>
      <c r="M7" s="292"/>
      <c r="N7" s="292"/>
      <c r="O7" s="648"/>
      <c r="P7" s="648"/>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row>
    <row r="8" spans="1:69" s="300" customFormat="1" ht="11.25" customHeight="1">
      <c r="A8" s="653" t="s">
        <v>516</v>
      </c>
      <c r="B8" s="654" t="s">
        <v>99</v>
      </c>
      <c r="C8" s="655"/>
      <c r="D8" s="314"/>
      <c r="E8" s="656"/>
      <c r="F8" s="1277" t="s">
        <v>49</v>
      </c>
      <c r="G8" s="656"/>
      <c r="H8" s="657">
        <f>H$22/H$28</f>
        <v>0.55551168750000013</v>
      </c>
      <c r="I8" s="657">
        <f>I$22/I$28</f>
        <v>0.59135115120967763</v>
      </c>
      <c r="J8" s="657">
        <f>J$22/J$28</f>
        <v>0.64511034677419365</v>
      </c>
      <c r="K8" s="657">
        <f>K22/SUM(H28:J28)</f>
        <v>0.59732439516129043</v>
      </c>
      <c r="O8" s="648"/>
      <c r="P8" s="658"/>
      <c r="Q8" s="303"/>
      <c r="R8" s="303"/>
      <c r="S8" s="303"/>
      <c r="T8" s="303"/>
      <c r="U8" s="303"/>
      <c r="V8" s="303"/>
      <c r="W8" s="303"/>
      <c r="X8" s="303"/>
      <c r="Y8" s="303"/>
    </row>
    <row r="9" spans="1:69" s="300" customFormat="1" ht="11.25" customHeight="1">
      <c r="A9" s="653" t="s">
        <v>517</v>
      </c>
      <c r="B9" s="654" t="s">
        <v>634</v>
      </c>
      <c r="C9" s="655"/>
      <c r="D9" s="655"/>
      <c r="F9" s="1277" t="s">
        <v>96</v>
      </c>
      <c r="G9" s="659"/>
      <c r="H9" s="743">
        <v>1</v>
      </c>
      <c r="I9" s="743">
        <v>1</v>
      </c>
      <c r="J9" s="744">
        <v>1</v>
      </c>
      <c r="K9" s="312"/>
      <c r="O9" s="301"/>
      <c r="P9" s="461"/>
      <c r="Q9" s="303"/>
      <c r="R9" s="303"/>
      <c r="S9" s="303"/>
      <c r="T9" s="303"/>
      <c r="U9" s="303"/>
      <c r="V9" s="303"/>
      <c r="W9" s="303"/>
      <c r="X9" s="303"/>
      <c r="Y9" s="303"/>
    </row>
    <row r="10" spans="1:69" s="300" customFormat="1" ht="11.25" customHeight="1">
      <c r="A10" s="653" t="s">
        <v>518</v>
      </c>
      <c r="B10" s="654" t="s">
        <v>635</v>
      </c>
      <c r="C10" s="655"/>
      <c r="D10" s="655"/>
      <c r="E10" s="660"/>
      <c r="F10" s="1277" t="s">
        <v>96</v>
      </c>
      <c r="G10" s="659"/>
      <c r="H10" s="743">
        <v>1</v>
      </c>
      <c r="I10" s="743">
        <v>1</v>
      </c>
      <c r="J10" s="744">
        <v>1</v>
      </c>
      <c r="K10" s="312"/>
      <c r="O10" s="301"/>
      <c r="P10" s="301"/>
      <c r="Q10" s="303"/>
      <c r="R10" s="303"/>
      <c r="S10" s="303"/>
      <c r="T10" s="303"/>
      <c r="U10" s="303"/>
      <c r="V10" s="303"/>
      <c r="W10" s="303"/>
      <c r="X10" s="303"/>
      <c r="Y10" s="303"/>
    </row>
    <row r="11" spans="1:69" s="300" customFormat="1" ht="11.25" customHeight="1">
      <c r="A11" s="297"/>
      <c r="B11" s="304"/>
      <c r="C11" s="304"/>
      <c r="D11" s="304"/>
      <c r="E11" s="305"/>
      <c r="F11" s="305"/>
      <c r="G11" s="306"/>
      <c r="H11" s="303"/>
      <c r="I11" s="303"/>
      <c r="J11" s="303"/>
      <c r="K11" s="304"/>
      <c r="O11" s="301"/>
      <c r="P11" s="301"/>
      <c r="Q11" s="303"/>
      <c r="R11" s="303"/>
      <c r="S11" s="303"/>
      <c r="T11" s="303"/>
      <c r="U11" s="303"/>
      <c r="V11" s="303"/>
      <c r="W11" s="303"/>
      <c r="X11" s="303"/>
      <c r="Y11" s="303"/>
    </row>
    <row r="12" spans="1:69" s="300" customFormat="1" ht="15.75">
      <c r="A12" s="661">
        <v>1.2</v>
      </c>
      <c r="B12" s="662" t="s">
        <v>14</v>
      </c>
      <c r="C12" s="662"/>
      <c r="F12" s="297"/>
      <c r="G12" s="1278"/>
      <c r="H12" s="1278"/>
      <c r="I12" s="1278"/>
      <c r="J12" s="1278"/>
      <c r="K12" s="299"/>
      <c r="O12" s="301"/>
      <c r="P12" s="302"/>
      <c r="Q12" s="303"/>
      <c r="R12" s="303"/>
      <c r="S12" s="303"/>
      <c r="T12" s="303"/>
      <c r="U12" s="303"/>
      <c r="V12" s="303"/>
      <c r="W12" s="303"/>
      <c r="X12" s="303"/>
      <c r="Y12" s="303"/>
    </row>
    <row r="13" spans="1:69" s="300" customFormat="1" ht="11.25">
      <c r="A13" s="297"/>
      <c r="B13" s="304"/>
      <c r="C13" s="304"/>
      <c r="D13" s="304"/>
      <c r="E13" s="305"/>
      <c r="F13" s="305"/>
      <c r="G13" s="306"/>
      <c r="H13" s="303"/>
      <c r="I13" s="303"/>
      <c r="J13" s="303"/>
      <c r="K13" s="304"/>
      <c r="O13" s="301"/>
      <c r="P13" s="301"/>
      <c r="Q13" s="303"/>
      <c r="R13" s="303"/>
      <c r="S13" s="303"/>
      <c r="T13" s="303"/>
      <c r="U13" s="303"/>
      <c r="V13" s="303"/>
      <c r="W13" s="303"/>
      <c r="X13" s="303"/>
      <c r="Y13" s="303"/>
    </row>
    <row r="14" spans="1:69" s="300" customFormat="1" ht="11.25">
      <c r="A14" s="297"/>
      <c r="B14" s="304"/>
      <c r="C14" s="304"/>
      <c r="D14" s="304"/>
      <c r="E14" s="305"/>
      <c r="F14" s="305"/>
      <c r="G14" s="307" t="s">
        <v>95</v>
      </c>
      <c r="H14" s="307" t="s">
        <v>35</v>
      </c>
      <c r="I14" s="307" t="s">
        <v>34</v>
      </c>
      <c r="J14" s="307" t="s">
        <v>33</v>
      </c>
      <c r="K14" s="308" t="s">
        <v>94</v>
      </c>
      <c r="O14" s="301"/>
      <c r="P14" s="301"/>
      <c r="Q14" s="303"/>
      <c r="R14" s="303"/>
      <c r="S14" s="303"/>
      <c r="T14" s="303"/>
      <c r="U14" s="303"/>
      <c r="V14" s="303"/>
      <c r="W14" s="303"/>
      <c r="X14" s="303"/>
      <c r="Y14" s="303"/>
    </row>
    <row r="15" spans="1:69" s="300" customFormat="1" ht="11.25">
      <c r="A15" s="653" t="s">
        <v>508</v>
      </c>
      <c r="B15" s="309" t="s">
        <v>91</v>
      </c>
      <c r="C15" s="310"/>
      <c r="D15" s="311"/>
      <c r="E15" s="310"/>
      <c r="F15" s="1277" t="s">
        <v>85</v>
      </c>
      <c r="G15" s="747">
        <v>15000000</v>
      </c>
      <c r="H15" s="746">
        <v>1.03</v>
      </c>
      <c r="I15" s="746">
        <v>1.06</v>
      </c>
      <c r="J15" s="746">
        <v>1.1000000000000001</v>
      </c>
      <c r="K15" s="312"/>
      <c r="O15" s="301"/>
      <c r="P15" s="301"/>
      <c r="Q15" s="303"/>
      <c r="R15" s="303"/>
      <c r="S15" s="303"/>
      <c r="T15" s="303"/>
      <c r="U15" s="303"/>
      <c r="V15" s="303"/>
      <c r="W15" s="303"/>
      <c r="X15" s="303"/>
      <c r="Y15" s="303"/>
    </row>
    <row r="16" spans="1:69" s="300" customFormat="1" ht="11.25">
      <c r="A16" s="653" t="s">
        <v>509</v>
      </c>
      <c r="B16" s="313" t="s">
        <v>636</v>
      </c>
      <c r="C16" s="314"/>
      <c r="D16" s="315"/>
      <c r="E16" s="316"/>
      <c r="F16" s="317" t="s">
        <v>89</v>
      </c>
      <c r="G16" s="747">
        <v>73920</v>
      </c>
      <c r="H16" s="318"/>
      <c r="I16" s="318"/>
      <c r="J16" s="318"/>
      <c r="K16" s="312"/>
      <c r="O16" s="301"/>
      <c r="P16" s="301"/>
      <c r="Q16" s="303"/>
      <c r="R16" s="303"/>
      <c r="S16" s="303"/>
      <c r="T16" s="303"/>
      <c r="U16" s="303"/>
      <c r="V16" s="303"/>
      <c r="W16" s="303"/>
      <c r="X16" s="303"/>
      <c r="Y16" s="303"/>
    </row>
    <row r="17" spans="1:25" s="300" customFormat="1" ht="11.25">
      <c r="A17" s="653" t="s">
        <v>510</v>
      </c>
      <c r="B17" s="319" t="s">
        <v>88</v>
      </c>
      <c r="C17" s="320"/>
      <c r="D17" s="321"/>
      <c r="E17" s="322"/>
      <c r="F17" s="1277" t="s">
        <v>85</v>
      </c>
      <c r="G17" s="748">
        <v>1.5</v>
      </c>
      <c r="H17" s="318"/>
      <c r="I17" s="318"/>
      <c r="J17" s="318"/>
      <c r="K17" s="312"/>
      <c r="O17" s="301"/>
      <c r="P17" s="301"/>
      <c r="Q17" s="303"/>
      <c r="R17" s="303"/>
      <c r="S17" s="303"/>
      <c r="T17" s="303"/>
      <c r="U17" s="303"/>
      <c r="V17" s="303"/>
      <c r="W17" s="303"/>
      <c r="X17" s="303"/>
      <c r="Y17" s="303"/>
    </row>
    <row r="18" spans="1:25" s="300" customFormat="1" ht="11.25">
      <c r="A18" s="653" t="s">
        <v>511</v>
      </c>
      <c r="B18" s="323" t="s">
        <v>93</v>
      </c>
      <c r="C18" s="324"/>
      <c r="D18" s="325"/>
      <c r="E18" s="324"/>
      <c r="F18" s="1277" t="s">
        <v>49</v>
      </c>
      <c r="G18" s="749"/>
      <c r="H18" s="746">
        <v>1.1000000000000001</v>
      </c>
      <c r="I18" s="746">
        <v>1.18</v>
      </c>
      <c r="J18" s="746">
        <v>1.25</v>
      </c>
      <c r="K18" s="326"/>
      <c r="O18" s="301"/>
      <c r="P18" s="301"/>
      <c r="Q18" s="303"/>
      <c r="R18" s="303"/>
      <c r="S18" s="303"/>
      <c r="T18" s="303"/>
      <c r="U18" s="303"/>
      <c r="V18" s="303"/>
      <c r="W18" s="303"/>
      <c r="X18" s="303"/>
      <c r="Y18" s="303"/>
    </row>
    <row r="19" spans="1:25" s="300" customFormat="1" ht="11.25">
      <c r="A19" s="653"/>
      <c r="B19" s="1260" t="s">
        <v>448</v>
      </c>
      <c r="C19" s="327"/>
      <c r="D19" s="328"/>
      <c r="E19" s="327"/>
      <c r="F19" s="1277" t="s">
        <v>85</v>
      </c>
      <c r="G19" s="329">
        <f>G17*G16</f>
        <v>110880</v>
      </c>
      <c r="H19" s="330">
        <f>G19*H18</f>
        <v>121968.00000000001</v>
      </c>
      <c r="I19" s="330">
        <f>G19*I18</f>
        <v>130838.39999999999</v>
      </c>
      <c r="J19" s="330">
        <f>G19*J18</f>
        <v>138600</v>
      </c>
      <c r="K19" s="326">
        <f>SUM(H19:J19)</f>
        <v>391406.4</v>
      </c>
      <c r="O19" s="301"/>
      <c r="P19" s="301"/>
      <c r="Q19" s="303"/>
      <c r="R19" s="303"/>
      <c r="S19" s="303"/>
      <c r="T19" s="303"/>
      <c r="U19" s="303"/>
      <c r="V19" s="303"/>
      <c r="W19" s="303"/>
      <c r="X19" s="303"/>
      <c r="Y19" s="303"/>
    </row>
    <row r="20" spans="1:25" s="300" customFormat="1" ht="11.25">
      <c r="A20" s="653" t="s">
        <v>512</v>
      </c>
      <c r="B20" s="331" t="s">
        <v>519</v>
      </c>
      <c r="C20" s="303"/>
      <c r="D20" s="332"/>
      <c r="E20" s="303"/>
      <c r="F20" s="1277" t="s">
        <v>49</v>
      </c>
      <c r="G20" s="333"/>
      <c r="H20" s="334"/>
      <c r="I20" s="334"/>
      <c r="J20" s="334"/>
      <c r="K20" s="750">
        <v>2.1800000000000002</v>
      </c>
      <c r="O20" s="301"/>
      <c r="P20" s="301"/>
      <c r="Q20" s="303"/>
      <c r="R20" s="303"/>
      <c r="S20" s="303"/>
      <c r="T20" s="303"/>
      <c r="U20" s="303"/>
      <c r="V20" s="303"/>
      <c r="W20" s="303"/>
      <c r="X20" s="303"/>
      <c r="Y20" s="303"/>
    </row>
    <row r="21" spans="1:25" s="300" customFormat="1" ht="11.25">
      <c r="A21" s="653" t="s">
        <v>513</v>
      </c>
      <c r="B21" s="313" t="s">
        <v>92</v>
      </c>
      <c r="C21" s="314"/>
      <c r="D21" s="315"/>
      <c r="E21" s="314"/>
      <c r="F21" s="1277" t="s">
        <v>49</v>
      </c>
      <c r="G21" s="335"/>
      <c r="H21" s="746">
        <v>0.31</v>
      </c>
      <c r="I21" s="746">
        <v>0.33</v>
      </c>
      <c r="J21" s="746">
        <v>0.36</v>
      </c>
      <c r="K21" s="336">
        <f>H21+I21+J21</f>
        <v>1</v>
      </c>
      <c r="O21" s="301"/>
      <c r="P21" s="301"/>
      <c r="Q21" s="303"/>
      <c r="R21" s="303"/>
      <c r="S21" s="303"/>
      <c r="T21" s="303"/>
      <c r="U21" s="303"/>
      <c r="V21" s="303"/>
      <c r="W21" s="303"/>
      <c r="X21" s="303"/>
      <c r="Y21" s="303"/>
    </row>
    <row r="22" spans="1:25" s="300" customFormat="1" ht="11.25">
      <c r="A22" s="653"/>
      <c r="B22" s="319" t="s">
        <v>405</v>
      </c>
      <c r="C22" s="320"/>
      <c r="D22" s="321"/>
      <c r="E22" s="320"/>
      <c r="F22" s="337" t="s">
        <v>85</v>
      </c>
      <c r="G22" s="335"/>
      <c r="H22" s="230">
        <f>H$21*$K$22</f>
        <v>264512.44512000005</v>
      </c>
      <c r="I22" s="230">
        <f>I$21*$K$22</f>
        <v>281577.76416000008</v>
      </c>
      <c r="J22" s="230">
        <f>J$21*$K$22</f>
        <v>307175.74272000004</v>
      </c>
      <c r="K22" s="338">
        <f>K19*K20</f>
        <v>853265.95200000016</v>
      </c>
      <c r="O22" s="301"/>
      <c r="P22" s="301"/>
      <c r="Q22" s="303"/>
      <c r="R22" s="303"/>
      <c r="S22" s="303"/>
      <c r="T22" s="303"/>
      <c r="U22" s="303"/>
      <c r="V22" s="303"/>
      <c r="W22" s="303"/>
      <c r="X22" s="303"/>
      <c r="Y22" s="303"/>
    </row>
    <row r="23" spans="1:25" s="300" customFormat="1" ht="11.25">
      <c r="A23" s="653" t="s">
        <v>514</v>
      </c>
      <c r="B23" s="309" t="s">
        <v>87</v>
      </c>
      <c r="C23" s="309"/>
      <c r="D23" s="339"/>
      <c r="E23" s="340"/>
      <c r="F23" s="337" t="s">
        <v>49</v>
      </c>
      <c r="G23" s="318"/>
      <c r="H23" s="751">
        <v>0.38</v>
      </c>
      <c r="I23" s="751">
        <v>0.38</v>
      </c>
      <c r="J23" s="751">
        <v>0.36</v>
      </c>
      <c r="K23" s="335">
        <f>K24/K22</f>
        <v>0.37280000000000002</v>
      </c>
      <c r="O23" s="301"/>
      <c r="P23" s="301"/>
      <c r="Q23" s="303"/>
      <c r="R23" s="303"/>
      <c r="S23" s="303"/>
      <c r="T23" s="303"/>
      <c r="U23" s="303"/>
      <c r="V23" s="303"/>
      <c r="W23" s="303"/>
      <c r="X23" s="303"/>
      <c r="Y23" s="303"/>
    </row>
    <row r="24" spans="1:25" s="300" customFormat="1" ht="11.25">
      <c r="A24" s="653"/>
      <c r="B24" s="1261" t="s">
        <v>449</v>
      </c>
      <c r="C24" s="320"/>
      <c r="D24" s="321"/>
      <c r="E24" s="320"/>
      <c r="F24" s="337" t="s">
        <v>85</v>
      </c>
      <c r="G24" s="318"/>
      <c r="H24" s="329">
        <f>H22*H23</f>
        <v>100514.72914560002</v>
      </c>
      <c r="I24" s="329">
        <f>I22*I23</f>
        <v>106999.55038080004</v>
      </c>
      <c r="J24" s="329">
        <f>J22*J23</f>
        <v>110583.26737920001</v>
      </c>
      <c r="K24" s="338">
        <f>SUM(H24:J24)</f>
        <v>318097.54690560006</v>
      </c>
      <c r="O24" s="301"/>
      <c r="P24" s="301"/>
      <c r="Q24" s="303"/>
      <c r="R24" s="303"/>
      <c r="S24" s="303"/>
      <c r="T24" s="303"/>
      <c r="U24" s="303"/>
      <c r="V24" s="303"/>
      <c r="W24" s="303"/>
      <c r="X24" s="303"/>
      <c r="Y24" s="303"/>
    </row>
    <row r="25" spans="1:25" s="300" customFormat="1" ht="11.25">
      <c r="A25" s="653"/>
      <c r="B25" s="341" t="s">
        <v>406</v>
      </c>
      <c r="C25" s="303"/>
      <c r="D25" s="332"/>
      <c r="E25" s="303"/>
      <c r="F25" s="337" t="s">
        <v>49</v>
      </c>
      <c r="G25" s="318"/>
      <c r="H25" s="342">
        <f>H24/H19</f>
        <v>0.82410738181818188</v>
      </c>
      <c r="I25" s="342">
        <f>I24/I19</f>
        <v>0.81779928813559355</v>
      </c>
      <c r="J25" s="342">
        <f>J24/J19</f>
        <v>0.79785907200000006</v>
      </c>
      <c r="K25" s="312"/>
      <c r="O25" s="301"/>
      <c r="P25" s="301"/>
      <c r="Q25" s="303"/>
      <c r="R25" s="303"/>
      <c r="S25" s="303"/>
      <c r="T25" s="303"/>
      <c r="U25" s="303"/>
      <c r="V25" s="303"/>
      <c r="W25" s="303"/>
      <c r="X25" s="303"/>
      <c r="Y25" s="303"/>
    </row>
    <row r="26" spans="1:25" s="300" customFormat="1" ht="11.25">
      <c r="A26" s="653"/>
      <c r="B26" s="340" t="s">
        <v>407</v>
      </c>
      <c r="C26" s="310"/>
      <c r="D26" s="311"/>
      <c r="E26" s="310"/>
      <c r="F26" s="337" t="s">
        <v>49</v>
      </c>
      <c r="G26" s="312"/>
      <c r="H26" s="343">
        <f>1-H23</f>
        <v>0.62</v>
      </c>
      <c r="I26" s="343">
        <f>1-I23</f>
        <v>0.62</v>
      </c>
      <c r="J26" s="343">
        <f>1-J23</f>
        <v>0.64</v>
      </c>
      <c r="K26" s="335">
        <f>K27/K22</f>
        <v>0.62719999999999998</v>
      </c>
      <c r="O26" s="301"/>
      <c r="P26" s="301"/>
      <c r="Q26" s="303"/>
      <c r="R26" s="303"/>
      <c r="S26" s="303"/>
      <c r="T26" s="303"/>
      <c r="U26" s="303"/>
      <c r="V26" s="303"/>
      <c r="W26" s="303"/>
      <c r="X26" s="303"/>
      <c r="Y26" s="303"/>
    </row>
    <row r="27" spans="1:25" s="300" customFormat="1" ht="11.25">
      <c r="A27" s="653"/>
      <c r="B27" s="1261" t="s">
        <v>450</v>
      </c>
      <c r="C27" s="320"/>
      <c r="D27" s="321"/>
      <c r="E27" s="320"/>
      <c r="F27" s="337" t="s">
        <v>85</v>
      </c>
      <c r="G27" s="312"/>
      <c r="H27" s="329">
        <f>H26*H22</f>
        <v>163997.71597440002</v>
      </c>
      <c r="I27" s="329">
        <f>I26*I22</f>
        <v>174578.21377920004</v>
      </c>
      <c r="J27" s="329">
        <f>J26*J22</f>
        <v>196592.47534080004</v>
      </c>
      <c r="K27" s="338">
        <f>SUM(H27:J27)</f>
        <v>535168.40509440005</v>
      </c>
      <c r="O27" s="301"/>
      <c r="P27" s="301"/>
      <c r="Q27" s="303"/>
      <c r="R27" s="303"/>
      <c r="S27" s="303"/>
      <c r="T27" s="303"/>
      <c r="U27" s="303"/>
      <c r="V27" s="303"/>
      <c r="W27" s="303"/>
      <c r="X27" s="303"/>
      <c r="Y27" s="303"/>
    </row>
    <row r="28" spans="1:25" s="300" customFormat="1" ht="11.25">
      <c r="A28" s="653" t="s">
        <v>515</v>
      </c>
      <c r="B28" s="318" t="s">
        <v>86</v>
      </c>
      <c r="C28" s="318"/>
      <c r="D28" s="344"/>
      <c r="E28" s="313"/>
      <c r="F28" s="337" t="s">
        <v>85</v>
      </c>
      <c r="G28" s="745">
        <v>476160</v>
      </c>
      <c r="H28" s="745">
        <v>476160</v>
      </c>
      <c r="I28" s="745">
        <v>476160</v>
      </c>
      <c r="J28" s="745">
        <v>476160</v>
      </c>
      <c r="K28" s="336"/>
      <c r="O28" s="301"/>
      <c r="P28" s="301"/>
      <c r="Q28" s="303"/>
      <c r="R28" s="303"/>
      <c r="S28" s="303"/>
      <c r="T28" s="303"/>
      <c r="U28" s="303"/>
      <c r="V28" s="303"/>
      <c r="W28" s="303"/>
      <c r="X28" s="303"/>
      <c r="Y28" s="303"/>
    </row>
    <row r="29" spans="1:25" s="300" customFormat="1" ht="11.25">
      <c r="A29" s="297"/>
      <c r="B29" s="304"/>
      <c r="C29" s="304"/>
      <c r="D29" s="304"/>
      <c r="E29" s="305"/>
      <c r="F29" s="305"/>
      <c r="G29" s="306"/>
      <c r="H29" s="303"/>
      <c r="I29" s="303"/>
      <c r="J29" s="303"/>
      <c r="K29" s="304"/>
      <c r="O29" s="301"/>
      <c r="P29" s="301"/>
      <c r="Q29" s="303"/>
      <c r="R29" s="303"/>
      <c r="S29" s="303"/>
      <c r="T29" s="303"/>
      <c r="U29" s="303"/>
      <c r="V29" s="303"/>
      <c r="W29" s="303"/>
      <c r="X29" s="303"/>
      <c r="Y29" s="303"/>
    </row>
    <row r="30" spans="1:25" s="300" customFormat="1" ht="11.25">
      <c r="A30" s="297"/>
      <c r="B30" s="304"/>
      <c r="C30" s="304"/>
      <c r="D30" s="304"/>
      <c r="E30" s="305"/>
      <c r="F30" s="305"/>
      <c r="G30" s="306"/>
      <c r="H30" s="303"/>
      <c r="I30" s="303"/>
      <c r="J30" s="303"/>
      <c r="K30" s="304"/>
      <c r="O30" s="301"/>
      <c r="P30" s="301"/>
      <c r="Q30" s="303"/>
      <c r="R30" s="303"/>
      <c r="S30" s="303"/>
      <c r="T30" s="303"/>
      <c r="U30" s="303"/>
      <c r="V30" s="303"/>
      <c r="W30" s="303"/>
      <c r="X30" s="303"/>
      <c r="Y30" s="303"/>
    </row>
    <row r="31" spans="1:25" s="300" customFormat="1" ht="11.25">
      <c r="A31" s="297"/>
      <c r="B31" s="304"/>
      <c r="C31" s="304"/>
      <c r="D31" s="304"/>
      <c r="E31" s="305"/>
      <c r="F31" s="305"/>
      <c r="G31" s="306"/>
      <c r="H31" s="303"/>
      <c r="I31" s="303"/>
      <c r="J31" s="303"/>
      <c r="K31" s="304"/>
      <c r="O31" s="301"/>
      <c r="P31" s="301"/>
      <c r="Q31" s="303"/>
      <c r="R31" s="303"/>
      <c r="S31" s="303"/>
      <c r="T31" s="303"/>
      <c r="U31" s="303"/>
      <c r="V31" s="303"/>
      <c r="W31" s="303"/>
      <c r="X31" s="303"/>
      <c r="Y31" s="303"/>
    </row>
    <row r="32" spans="1:25" s="300" customFormat="1" ht="11.25" hidden="1">
      <c r="A32" s="297"/>
      <c r="B32" s="304"/>
      <c r="C32" s="304"/>
      <c r="D32" s="304"/>
      <c r="E32" s="305"/>
      <c r="F32" s="305"/>
      <c r="G32" s="306"/>
      <c r="H32" s="303"/>
      <c r="I32" s="303"/>
      <c r="J32" s="303"/>
      <c r="K32" s="304"/>
      <c r="O32" s="301"/>
      <c r="P32" s="301"/>
      <c r="Q32" s="303"/>
      <c r="R32" s="303"/>
      <c r="S32" s="303"/>
      <c r="T32" s="303"/>
      <c r="U32" s="303"/>
      <c r="V32" s="303"/>
      <c r="W32" s="303"/>
      <c r="X32" s="303"/>
      <c r="Y32" s="303"/>
    </row>
    <row r="33" spans="1:25" s="300" customFormat="1" ht="15.75" hidden="1">
      <c r="A33" s="663">
        <v>2</v>
      </c>
      <c r="B33" s="664" t="s">
        <v>364</v>
      </c>
      <c r="C33" s="665"/>
      <c r="D33" s="304"/>
      <c r="E33" s="305"/>
      <c r="F33" s="305"/>
      <c r="G33" s="306"/>
      <c r="H33" s="303"/>
      <c r="I33" s="303"/>
      <c r="J33" s="303"/>
      <c r="K33" s="304"/>
      <c r="O33" s="301"/>
      <c r="P33" s="301"/>
      <c r="Q33" s="303"/>
      <c r="R33" s="303"/>
      <c r="S33" s="303"/>
      <c r="T33" s="303"/>
      <c r="U33" s="303"/>
      <c r="V33" s="303"/>
      <c r="W33" s="303"/>
      <c r="X33" s="303"/>
      <c r="Y33" s="303"/>
    </row>
    <row r="34" spans="1:25" s="301" customFormat="1" ht="15.75" hidden="1">
      <c r="A34" s="666"/>
      <c r="B34" s="667"/>
      <c r="C34" s="668"/>
      <c r="D34" s="303"/>
      <c r="E34" s="391"/>
      <c r="F34" s="391"/>
      <c r="G34" s="306"/>
      <c r="H34" s="303"/>
      <c r="I34" s="303"/>
      <c r="J34" s="303"/>
      <c r="K34" s="303"/>
      <c r="Q34" s="303"/>
      <c r="R34" s="303"/>
      <c r="S34" s="303"/>
      <c r="T34" s="303"/>
      <c r="U34" s="303"/>
      <c r="V34" s="303"/>
      <c r="W34" s="303"/>
      <c r="X34" s="303"/>
      <c r="Y34" s="303"/>
    </row>
    <row r="35" spans="1:25" s="300" customFormat="1" hidden="1">
      <c r="A35" s="345" t="str">
        <f>"2.0"</f>
        <v>2.0</v>
      </c>
      <c r="B35" s="361" t="s">
        <v>458</v>
      </c>
      <c r="C35" s="305"/>
      <c r="D35" s="304"/>
      <c r="E35" s="305"/>
      <c r="F35" s="305"/>
      <c r="G35" s="306"/>
      <c r="H35" s="303"/>
      <c r="I35" s="303"/>
      <c r="J35" s="303"/>
      <c r="K35" s="304"/>
      <c r="O35" s="301"/>
      <c r="P35" s="301"/>
      <c r="Q35" s="303"/>
      <c r="R35" s="303"/>
      <c r="S35" s="303"/>
      <c r="T35" s="303"/>
      <c r="U35" s="303"/>
      <c r="V35" s="303"/>
      <c r="W35" s="303"/>
      <c r="X35" s="303"/>
      <c r="Y35" s="303"/>
    </row>
    <row r="36" spans="1:25" s="300" customFormat="1" hidden="1">
      <c r="A36" s="345"/>
      <c r="B36" s="512" t="s">
        <v>459</v>
      </c>
      <c r="C36" s="512"/>
      <c r="D36" s="358">
        <v>150000</v>
      </c>
      <c r="E36" s="305"/>
      <c r="F36" s="305"/>
      <c r="G36" s="306"/>
      <c r="H36" s="303"/>
      <c r="I36" s="303"/>
      <c r="J36" s="303"/>
      <c r="K36" s="304"/>
      <c r="O36" s="301"/>
      <c r="P36" s="301"/>
      <c r="Q36" s="303"/>
      <c r="R36" s="303"/>
      <c r="S36" s="303"/>
      <c r="T36" s="303"/>
      <c r="U36" s="303"/>
      <c r="V36" s="303"/>
      <c r="W36" s="303"/>
      <c r="X36" s="303"/>
      <c r="Y36" s="303"/>
    </row>
    <row r="37" spans="1:25" s="301" customFormat="1" ht="15.75" hidden="1">
      <c r="A37" s="666"/>
      <c r="B37" s="667"/>
      <c r="C37" s="668"/>
      <c r="D37" s="303"/>
      <c r="E37" s="391"/>
      <c r="F37" s="391"/>
      <c r="G37" s="306"/>
      <c r="H37" s="303"/>
      <c r="I37" s="303"/>
      <c r="J37" s="303"/>
      <c r="K37" s="303"/>
      <c r="Q37" s="303"/>
      <c r="R37" s="303"/>
      <c r="S37" s="303"/>
      <c r="T37" s="303"/>
      <c r="U37" s="303"/>
      <c r="V37" s="303"/>
      <c r="W37" s="303"/>
      <c r="X37" s="303"/>
      <c r="Y37" s="303"/>
    </row>
    <row r="38" spans="1:25" s="301" customFormat="1" ht="15.75" hidden="1">
      <c r="A38" s="666"/>
      <c r="B38" s="461" t="s">
        <v>101</v>
      </c>
      <c r="C38" s="668"/>
      <c r="D38" s="669">
        <f>SUM(D36:D37)</f>
        <v>150000</v>
      </c>
      <c r="E38" s="391"/>
      <c r="F38" s="391"/>
      <c r="G38" s="306"/>
      <c r="H38" s="303"/>
      <c r="I38" s="303"/>
      <c r="J38" s="303"/>
      <c r="K38" s="303"/>
      <c r="Q38" s="303"/>
      <c r="R38" s="303"/>
      <c r="S38" s="303"/>
      <c r="T38" s="303"/>
      <c r="U38" s="303"/>
      <c r="V38" s="303"/>
      <c r="W38" s="303"/>
      <c r="X38" s="303"/>
      <c r="Y38" s="303"/>
    </row>
    <row r="39" spans="1:25" s="301" customFormat="1" ht="15.75" hidden="1">
      <c r="A39" s="666"/>
      <c r="B39" s="667"/>
      <c r="C39" s="668"/>
      <c r="D39" s="303"/>
      <c r="E39" s="391"/>
      <c r="F39" s="391"/>
      <c r="G39" s="306"/>
      <c r="H39" s="303"/>
      <c r="I39" s="303"/>
      <c r="J39" s="303"/>
      <c r="K39" s="303"/>
      <c r="Q39" s="303"/>
      <c r="R39" s="303"/>
      <c r="S39" s="303"/>
      <c r="T39" s="303"/>
      <c r="U39" s="303"/>
      <c r="V39" s="303"/>
      <c r="W39" s="303"/>
      <c r="X39" s="303"/>
      <c r="Y39" s="303"/>
    </row>
    <row r="40" spans="1:25" s="301" customFormat="1" ht="15.75" hidden="1">
      <c r="A40" s="666"/>
      <c r="B40" s="667"/>
      <c r="C40" s="668"/>
      <c r="D40" s="303"/>
      <c r="E40" s="391"/>
      <c r="F40" s="391"/>
      <c r="G40" s="306"/>
      <c r="H40" s="303"/>
      <c r="I40" s="303"/>
      <c r="J40" s="303"/>
      <c r="K40" s="303"/>
      <c r="Q40" s="303"/>
      <c r="R40" s="303"/>
      <c r="S40" s="303"/>
      <c r="T40" s="303"/>
      <c r="U40" s="303"/>
      <c r="V40" s="303"/>
      <c r="W40" s="303"/>
      <c r="X40" s="303"/>
      <c r="Y40" s="303"/>
    </row>
    <row r="41" spans="1:25" s="300" customFormat="1" ht="12.75" hidden="1" customHeight="1">
      <c r="A41" s="345">
        <v>2.1</v>
      </c>
      <c r="B41" s="361" t="s">
        <v>359</v>
      </c>
      <c r="C41" s="304"/>
      <c r="D41" s="304"/>
      <c r="E41" s="305"/>
      <c r="F41" s="305"/>
      <c r="G41" s="306"/>
      <c r="H41" s="303"/>
      <c r="I41" s="303"/>
      <c r="J41" s="303"/>
      <c r="K41" s="304"/>
      <c r="O41" s="301"/>
      <c r="P41" s="301"/>
      <c r="Q41" s="303"/>
      <c r="R41" s="303"/>
      <c r="S41" s="303"/>
      <c r="T41" s="303"/>
      <c r="U41" s="303"/>
      <c r="V41" s="303"/>
      <c r="W41" s="303"/>
      <c r="X41" s="303"/>
      <c r="Y41" s="303"/>
    </row>
    <row r="42" spans="1:25" s="300" customFormat="1" ht="11.25" hidden="1">
      <c r="A42" s="297"/>
      <c r="B42" s="304"/>
      <c r="C42" s="304"/>
      <c r="D42" s="327"/>
      <c r="E42" s="670"/>
      <c r="F42" s="1458" t="s">
        <v>330</v>
      </c>
      <c r="G42" s="1458"/>
      <c r="H42" s="391"/>
      <c r="I42" s="303"/>
      <c r="J42" s="303"/>
      <c r="K42" s="303"/>
      <c r="O42" s="301"/>
      <c r="P42" s="301"/>
      <c r="Q42" s="303"/>
      <c r="R42" s="303"/>
      <c r="S42" s="303"/>
      <c r="T42" s="303"/>
      <c r="U42" s="303"/>
      <c r="V42" s="303"/>
      <c r="W42" s="303"/>
      <c r="X42" s="303"/>
      <c r="Y42" s="303"/>
    </row>
    <row r="43" spans="1:25" s="300" customFormat="1" ht="11.25" hidden="1">
      <c r="A43" s="297"/>
      <c r="B43" s="671" t="s">
        <v>329</v>
      </c>
      <c r="C43" s="672"/>
      <c r="D43" s="673" t="s">
        <v>328</v>
      </c>
      <c r="E43" s="674" t="s">
        <v>84</v>
      </c>
      <c r="F43" s="323" t="s">
        <v>34</v>
      </c>
      <c r="G43" s="675" t="s">
        <v>33</v>
      </c>
      <c r="H43" s="391"/>
      <c r="I43" s="391"/>
      <c r="J43" s="391"/>
      <c r="K43" s="303"/>
      <c r="O43" s="301"/>
      <c r="P43" s="301"/>
      <c r="Q43" s="303"/>
      <c r="R43" s="303"/>
      <c r="S43" s="303"/>
      <c r="T43" s="303"/>
      <c r="U43" s="303"/>
      <c r="V43" s="303"/>
      <c r="W43" s="303"/>
      <c r="X43" s="303"/>
      <c r="Y43" s="303"/>
    </row>
    <row r="44" spans="1:25" s="300" customFormat="1" ht="11.25" hidden="1">
      <c r="B44" s="512" t="s">
        <v>641</v>
      </c>
      <c r="C44" s="740"/>
      <c r="D44" s="358">
        <v>25000</v>
      </c>
      <c r="E44" s="401">
        <v>1</v>
      </c>
      <c r="F44" s="359">
        <v>1.1100000000000001</v>
      </c>
      <c r="G44" s="359">
        <v>1.2</v>
      </c>
      <c r="H44" s="409"/>
      <c r="I44" s="306"/>
      <c r="J44" s="306"/>
      <c r="K44" s="306"/>
      <c r="O44" s="301"/>
      <c r="P44" s="301"/>
      <c r="Q44" s="303"/>
      <c r="R44" s="303"/>
      <c r="S44" s="303"/>
      <c r="T44" s="303"/>
      <c r="U44" s="303"/>
      <c r="V44" s="303"/>
      <c r="W44" s="303"/>
      <c r="X44" s="303"/>
      <c r="Y44" s="303"/>
    </row>
    <row r="45" spans="1:25" s="300" customFormat="1" ht="11.25" hidden="1">
      <c r="B45" s="512" t="s">
        <v>75</v>
      </c>
      <c r="C45" s="740"/>
      <c r="D45" s="358">
        <v>67500</v>
      </c>
      <c r="E45" s="401">
        <v>1.5</v>
      </c>
      <c r="F45" s="359">
        <v>1.1100000000000001</v>
      </c>
      <c r="G45" s="359">
        <v>1.2</v>
      </c>
      <c r="H45" s="409"/>
      <c r="I45" s="306"/>
      <c r="J45" s="306"/>
      <c r="K45" s="306"/>
      <c r="O45" s="301"/>
      <c r="P45" s="301"/>
      <c r="Q45" s="303"/>
      <c r="R45" s="303"/>
      <c r="S45" s="303"/>
      <c r="T45" s="303"/>
      <c r="U45" s="303"/>
      <c r="V45" s="303"/>
      <c r="W45" s="303"/>
      <c r="X45" s="303"/>
      <c r="Y45" s="303"/>
    </row>
    <row r="46" spans="1:25" s="300" customFormat="1" ht="11.25" hidden="1">
      <c r="B46" s="752" t="s">
        <v>74</v>
      </c>
      <c r="C46" s="740"/>
      <c r="D46" s="358">
        <v>32500</v>
      </c>
      <c r="E46" s="401">
        <v>0.5</v>
      </c>
      <c r="F46" s="359">
        <v>1.1100000000000001</v>
      </c>
      <c r="G46" s="359">
        <v>1.2</v>
      </c>
      <c r="H46" s="409"/>
      <c r="I46" s="306"/>
      <c r="J46" s="306"/>
      <c r="K46" s="306"/>
      <c r="O46" s="301"/>
      <c r="P46" s="301"/>
      <c r="Q46" s="303"/>
      <c r="R46" s="303"/>
      <c r="S46" s="303"/>
      <c r="T46" s="303"/>
      <c r="U46" s="303"/>
      <c r="V46" s="303"/>
      <c r="W46" s="303"/>
      <c r="X46" s="303"/>
      <c r="Y46" s="303"/>
    </row>
    <row r="47" spans="1:25" s="300" customFormat="1" ht="11.25" hidden="1">
      <c r="B47" s="512" t="s">
        <v>73</v>
      </c>
      <c r="C47" s="741"/>
      <c r="D47" s="358">
        <v>5000</v>
      </c>
      <c r="E47" s="401"/>
      <c r="F47" s="359">
        <v>1.1100000000000001</v>
      </c>
      <c r="G47" s="359">
        <v>1.2</v>
      </c>
      <c r="H47" s="391"/>
      <c r="I47" s="303"/>
      <c r="J47" s="306"/>
      <c r="K47" s="306"/>
      <c r="L47" s="301"/>
      <c r="O47" s="301"/>
      <c r="P47" s="301"/>
      <c r="Q47" s="303"/>
      <c r="R47" s="303"/>
      <c r="S47" s="303"/>
      <c r="T47" s="303"/>
      <c r="U47" s="303"/>
      <c r="V47" s="303"/>
      <c r="W47" s="303"/>
      <c r="X47" s="303"/>
      <c r="Y47" s="303"/>
    </row>
    <row r="48" spans="1:25" s="300" customFormat="1" ht="11.25" hidden="1">
      <c r="B48" s="305"/>
      <c r="C48" s="305"/>
      <c r="D48" s="676" t="s">
        <v>35</v>
      </c>
      <c r="E48" s="676" t="s">
        <v>34</v>
      </c>
      <c r="F48" s="676" t="s">
        <v>33</v>
      </c>
      <c r="H48" s="303"/>
      <c r="I48" s="303"/>
      <c r="J48" s="303"/>
      <c r="K48" s="677"/>
      <c r="O48" s="301"/>
      <c r="P48" s="301"/>
      <c r="Q48" s="303"/>
      <c r="R48" s="303"/>
      <c r="S48" s="303"/>
      <c r="T48" s="303"/>
      <c r="U48" s="303"/>
      <c r="V48" s="303"/>
      <c r="W48" s="303"/>
      <c r="X48" s="303"/>
      <c r="Y48" s="303"/>
    </row>
    <row r="49" spans="1:25" s="300" customFormat="1" hidden="1">
      <c r="B49" s="678" t="s">
        <v>101</v>
      </c>
      <c r="C49" s="305"/>
      <c r="D49" s="679">
        <f>SUM(D44:D47)</f>
        <v>130000</v>
      </c>
      <c r="E49" s="679">
        <f>SUMPRODUCT(D44:D47,F44:F47)</f>
        <v>144300</v>
      </c>
      <c r="F49" s="679">
        <f>SUMPRODUCT(D44:D47,G44:G47,F44:F47)</f>
        <v>173160.00000000003</v>
      </c>
      <c r="H49" s="303"/>
      <c r="I49" s="303"/>
      <c r="J49" s="303"/>
      <c r="K49" s="677"/>
      <c r="O49" s="301"/>
      <c r="P49" s="301"/>
      <c r="Q49" s="303"/>
      <c r="R49" s="303"/>
      <c r="S49" s="303"/>
      <c r="T49" s="303"/>
      <c r="U49" s="303"/>
      <c r="V49" s="303"/>
      <c r="W49" s="303"/>
      <c r="X49" s="303"/>
      <c r="Y49" s="303"/>
    </row>
    <row r="50" spans="1:25" s="300" customFormat="1" ht="11.25" hidden="1">
      <c r="B50" s="305"/>
      <c r="C50" s="305"/>
      <c r="H50" s="303"/>
      <c r="I50" s="303"/>
      <c r="J50" s="303"/>
      <c r="K50" s="677"/>
      <c r="O50" s="301"/>
      <c r="P50" s="301"/>
      <c r="Q50" s="303"/>
      <c r="R50" s="303"/>
      <c r="S50" s="303"/>
      <c r="T50" s="303"/>
      <c r="U50" s="303"/>
      <c r="V50" s="303"/>
      <c r="W50" s="303"/>
      <c r="X50" s="303"/>
      <c r="Y50" s="303"/>
    </row>
    <row r="51" spans="1:25" s="300" customFormat="1" ht="11.25" hidden="1">
      <c r="H51" s="303"/>
      <c r="I51" s="299"/>
      <c r="J51" s="303"/>
      <c r="K51" s="677"/>
      <c r="O51" s="301"/>
      <c r="P51" s="301"/>
      <c r="Q51" s="303"/>
      <c r="R51" s="303"/>
      <c r="S51" s="303"/>
      <c r="T51" s="303"/>
      <c r="U51" s="303"/>
      <c r="V51" s="303"/>
      <c r="W51" s="303"/>
      <c r="X51" s="303"/>
      <c r="Y51" s="303"/>
    </row>
    <row r="52" spans="1:25" s="300" customFormat="1" ht="11.25" hidden="1">
      <c r="H52" s="303"/>
      <c r="I52" s="303"/>
      <c r="J52" s="303"/>
      <c r="K52" s="677"/>
      <c r="O52" s="301"/>
      <c r="P52" s="301"/>
      <c r="Q52" s="303"/>
      <c r="R52" s="303"/>
      <c r="S52" s="303"/>
      <c r="T52" s="303"/>
      <c r="U52" s="303"/>
      <c r="V52" s="303"/>
      <c r="W52" s="303"/>
      <c r="X52" s="303"/>
      <c r="Y52" s="303"/>
    </row>
    <row r="53" spans="1:25" s="300" customFormat="1" hidden="1">
      <c r="A53" s="345">
        <v>2.2000000000000002</v>
      </c>
      <c r="B53" s="361" t="s">
        <v>559</v>
      </c>
      <c r="H53" s="303"/>
      <c r="I53" s="303"/>
      <c r="J53" s="303"/>
      <c r="K53" s="677"/>
      <c r="O53" s="301"/>
      <c r="P53" s="301"/>
      <c r="Q53" s="303"/>
      <c r="R53" s="303"/>
      <c r="S53" s="303"/>
      <c r="T53" s="303"/>
      <c r="U53" s="303"/>
      <c r="V53" s="303"/>
      <c r="W53" s="303"/>
      <c r="X53" s="303"/>
      <c r="Y53" s="303"/>
    </row>
    <row r="54" spans="1:25" s="300" customFormat="1" ht="11.25" hidden="1">
      <c r="H54" s="303"/>
      <c r="I54" s="303"/>
      <c r="J54" s="303"/>
      <c r="K54" s="677"/>
      <c r="O54" s="301"/>
      <c r="P54" s="301"/>
      <c r="Q54" s="303"/>
      <c r="R54" s="303"/>
      <c r="S54" s="303"/>
      <c r="T54" s="303"/>
      <c r="U54" s="303"/>
      <c r="V54" s="303"/>
      <c r="W54" s="303"/>
      <c r="X54" s="303"/>
      <c r="Y54" s="303"/>
    </row>
    <row r="55" spans="1:25" s="300" customFormat="1" ht="11.25" hidden="1">
      <c r="B55" s="654" t="s">
        <v>329</v>
      </c>
      <c r="C55" s="656" t="s">
        <v>560</v>
      </c>
      <c r="D55" s="312" t="s">
        <v>157</v>
      </c>
      <c r="E55" s="312" t="s">
        <v>159</v>
      </c>
      <c r="F55" s="312" t="s">
        <v>158</v>
      </c>
      <c r="G55" s="312" t="s">
        <v>156</v>
      </c>
      <c r="H55" s="303"/>
      <c r="I55" s="303"/>
      <c r="J55" s="303"/>
      <c r="K55" s="677"/>
      <c r="O55" s="301"/>
      <c r="P55" s="301"/>
      <c r="Q55" s="303"/>
      <c r="R55" s="303"/>
      <c r="S55" s="303"/>
      <c r="T55" s="303"/>
      <c r="U55" s="303"/>
      <c r="V55" s="303"/>
      <c r="W55" s="303"/>
      <c r="X55" s="303"/>
      <c r="Y55" s="303"/>
    </row>
    <row r="56" spans="1:25" s="300" customFormat="1" ht="11.25" hidden="1">
      <c r="B56" s="392" t="s">
        <v>109</v>
      </c>
      <c r="C56" s="392" t="s">
        <v>561</v>
      </c>
      <c r="D56" s="753">
        <v>26000</v>
      </c>
      <c r="E56" s="753">
        <v>30000</v>
      </c>
      <c r="F56" s="753">
        <v>28000</v>
      </c>
      <c r="G56" s="753">
        <v>32000</v>
      </c>
      <c r="H56" s="303"/>
      <c r="I56" s="303"/>
      <c r="J56" s="303"/>
      <c r="K56" s="677"/>
      <c r="O56" s="301"/>
      <c r="P56" s="301"/>
      <c r="Q56" s="303"/>
      <c r="R56" s="303"/>
      <c r="S56" s="303"/>
      <c r="T56" s="303"/>
      <c r="U56" s="303"/>
      <c r="V56" s="303"/>
      <c r="W56" s="303"/>
      <c r="X56" s="303"/>
      <c r="Y56" s="303"/>
    </row>
    <row r="57" spans="1:25" s="300" customFormat="1" ht="11.25" hidden="1">
      <c r="B57" s="392" t="s">
        <v>109</v>
      </c>
      <c r="C57" s="392"/>
      <c r="D57" s="753">
        <v>23000</v>
      </c>
      <c r="E57" s="753">
        <v>24000</v>
      </c>
      <c r="F57" s="753">
        <v>25000</v>
      </c>
      <c r="G57" s="753">
        <v>27000</v>
      </c>
      <c r="H57" s="303"/>
      <c r="I57" s="303"/>
      <c r="J57" s="303"/>
      <c r="K57" s="677"/>
      <c r="O57" s="301"/>
      <c r="P57" s="301"/>
      <c r="Q57" s="303"/>
      <c r="R57" s="303"/>
      <c r="S57" s="303"/>
      <c r="T57" s="303"/>
      <c r="U57" s="303"/>
      <c r="V57" s="303"/>
      <c r="W57" s="303"/>
      <c r="X57" s="303"/>
      <c r="Y57" s="303"/>
    </row>
    <row r="58" spans="1:25" s="300" customFormat="1" ht="11.25" hidden="1">
      <c r="B58" s="392" t="s">
        <v>526</v>
      </c>
      <c r="C58" s="392" t="s">
        <v>561</v>
      </c>
      <c r="D58" s="753">
        <v>25000</v>
      </c>
      <c r="E58" s="753">
        <v>30000</v>
      </c>
      <c r="F58" s="753">
        <v>29000</v>
      </c>
      <c r="G58" s="753">
        <v>32000</v>
      </c>
      <c r="H58" s="303"/>
      <c r="I58" s="303"/>
      <c r="J58" s="303"/>
      <c r="K58" s="677"/>
      <c r="O58" s="301"/>
      <c r="P58" s="301"/>
      <c r="Q58" s="303"/>
      <c r="R58" s="303"/>
      <c r="S58" s="303"/>
      <c r="T58" s="303"/>
      <c r="U58" s="303"/>
      <c r="V58" s="303"/>
      <c r="W58" s="303"/>
      <c r="X58" s="303"/>
      <c r="Y58" s="303"/>
    </row>
    <row r="59" spans="1:25" s="300" customFormat="1" ht="11.25" hidden="1">
      <c r="B59" s="392" t="s">
        <v>526</v>
      </c>
      <c r="C59" s="392"/>
      <c r="D59" s="753">
        <v>15000</v>
      </c>
      <c r="E59" s="753">
        <v>20000</v>
      </c>
      <c r="F59" s="753">
        <v>20000</v>
      </c>
      <c r="G59" s="753">
        <v>22000</v>
      </c>
      <c r="H59" s="303"/>
      <c r="I59" s="303"/>
      <c r="J59" s="303"/>
      <c r="K59" s="677"/>
      <c r="O59" s="301"/>
      <c r="P59" s="301"/>
      <c r="Q59" s="303"/>
      <c r="R59" s="303"/>
      <c r="S59" s="303"/>
      <c r="T59" s="303"/>
      <c r="U59" s="303"/>
      <c r="V59" s="303"/>
      <c r="W59" s="303"/>
      <c r="X59" s="303"/>
      <c r="Y59" s="303"/>
    </row>
    <row r="60" spans="1:25" s="300" customFormat="1" ht="11.25" hidden="1">
      <c r="H60" s="303"/>
      <c r="I60" s="303"/>
      <c r="J60" s="303"/>
      <c r="K60" s="677"/>
      <c r="O60" s="301"/>
      <c r="P60" s="301"/>
      <c r="Q60" s="303"/>
      <c r="R60" s="303"/>
      <c r="S60" s="303"/>
      <c r="T60" s="303"/>
      <c r="U60" s="303"/>
      <c r="V60" s="303"/>
      <c r="W60" s="303"/>
      <c r="X60" s="303"/>
      <c r="Y60" s="303"/>
    </row>
    <row r="61" spans="1:25" s="300" customFormat="1" ht="11.25" hidden="1">
      <c r="H61" s="303"/>
      <c r="I61" s="303"/>
      <c r="J61" s="303"/>
      <c r="K61" s="677"/>
      <c r="O61" s="301"/>
      <c r="P61" s="301"/>
      <c r="Q61" s="303"/>
      <c r="R61" s="303"/>
      <c r="S61" s="303"/>
      <c r="T61" s="303"/>
      <c r="U61" s="303"/>
      <c r="V61" s="303"/>
      <c r="W61" s="303"/>
      <c r="X61" s="303"/>
      <c r="Y61" s="303"/>
    </row>
    <row r="62" spans="1:25" s="300" customFormat="1" ht="12.75" hidden="1" customHeight="1">
      <c r="A62" s="345">
        <v>2.2999999999999998</v>
      </c>
      <c r="B62" s="361" t="s">
        <v>455</v>
      </c>
      <c r="I62" s="303"/>
      <c r="J62" s="304"/>
      <c r="K62" s="303"/>
      <c r="O62" s="301"/>
      <c r="P62" s="301"/>
      <c r="Q62" s="303"/>
      <c r="R62" s="303"/>
      <c r="S62" s="303"/>
      <c r="T62" s="303"/>
      <c r="U62" s="303"/>
      <c r="V62" s="303"/>
      <c r="W62" s="303"/>
      <c r="X62" s="303"/>
      <c r="Y62" s="303"/>
    </row>
    <row r="63" spans="1:25" s="300" customFormat="1" ht="12.75" hidden="1" customHeight="1">
      <c r="A63" s="345"/>
      <c r="B63" s="361"/>
      <c r="D63" s="312" t="s">
        <v>333</v>
      </c>
      <c r="E63" s="1458" t="s">
        <v>334</v>
      </c>
      <c r="F63" s="1458"/>
      <c r="I63" s="303"/>
      <c r="J63" s="304"/>
      <c r="K63" s="303"/>
      <c r="O63" s="301"/>
      <c r="P63" s="301"/>
      <c r="Q63" s="303"/>
      <c r="R63" s="303"/>
      <c r="S63" s="303"/>
      <c r="T63" s="303"/>
      <c r="U63" s="303"/>
      <c r="V63" s="303"/>
      <c r="W63" s="303"/>
      <c r="X63" s="303"/>
      <c r="Y63" s="303"/>
    </row>
    <row r="64" spans="1:25" s="300" customFormat="1" ht="12.75" hidden="1" customHeight="1">
      <c r="A64" s="345"/>
      <c r="B64" s="361"/>
      <c r="D64" s="312" t="s">
        <v>35</v>
      </c>
      <c r="E64" s="312" t="s">
        <v>34</v>
      </c>
      <c r="F64" s="312" t="s">
        <v>33</v>
      </c>
      <c r="I64" s="303"/>
      <c r="J64" s="304"/>
      <c r="K64" s="303"/>
      <c r="O64" s="301"/>
      <c r="P64" s="301"/>
      <c r="Q64" s="303"/>
      <c r="R64" s="303"/>
      <c r="S64" s="303"/>
      <c r="T64" s="303"/>
      <c r="U64" s="303"/>
      <c r="V64" s="303"/>
      <c r="W64" s="303"/>
      <c r="X64" s="303"/>
      <c r="Y64" s="303"/>
    </row>
    <row r="65" spans="1:25" s="300" customFormat="1" ht="12.75" hidden="1" customHeight="1">
      <c r="A65" s="345"/>
      <c r="B65" s="512" t="s">
        <v>82</v>
      </c>
      <c r="C65" s="740"/>
      <c r="D65" s="358">
        <v>8000</v>
      </c>
      <c r="E65" s="359">
        <v>1.1100000000000001</v>
      </c>
      <c r="F65" s="359">
        <v>1.2</v>
      </c>
      <c r="G65" s="305"/>
      <c r="H65" s="305"/>
      <c r="I65" s="303"/>
      <c r="O65" s="301"/>
      <c r="P65" s="301"/>
      <c r="Q65" s="303"/>
      <c r="R65" s="303"/>
      <c r="S65" s="303"/>
      <c r="T65" s="303"/>
      <c r="U65" s="303"/>
      <c r="V65" s="303"/>
      <c r="W65" s="303"/>
      <c r="X65" s="303"/>
      <c r="Y65" s="303"/>
    </row>
    <row r="66" spans="1:25" s="300" customFormat="1" ht="12.75" hidden="1" customHeight="1">
      <c r="A66" s="345"/>
      <c r="B66" s="512" t="s">
        <v>81</v>
      </c>
      <c r="C66" s="740"/>
      <c r="D66" s="358">
        <v>4000</v>
      </c>
      <c r="E66" s="359">
        <v>1.1100000000000001</v>
      </c>
      <c r="F66" s="359">
        <v>1.2</v>
      </c>
      <c r="G66" s="305"/>
      <c r="H66" s="305"/>
      <c r="I66" s="306"/>
      <c r="O66" s="301"/>
      <c r="P66" s="301"/>
      <c r="Q66" s="303"/>
      <c r="R66" s="303"/>
      <c r="S66" s="303"/>
      <c r="T66" s="303"/>
      <c r="U66" s="303"/>
      <c r="V66" s="303"/>
      <c r="W66" s="303"/>
      <c r="X66" s="303"/>
      <c r="Y66" s="303"/>
    </row>
    <row r="67" spans="1:25" s="300" customFormat="1" ht="12.75" hidden="1" customHeight="1">
      <c r="A67" s="345"/>
      <c r="B67" s="512" t="s">
        <v>80</v>
      </c>
      <c r="C67" s="740"/>
      <c r="D67" s="358">
        <v>7000</v>
      </c>
      <c r="E67" s="359">
        <v>1.1100000000000001</v>
      </c>
      <c r="F67" s="359">
        <v>1.2</v>
      </c>
      <c r="G67" s="305"/>
      <c r="H67" s="305"/>
      <c r="I67" s="306"/>
      <c r="O67" s="301"/>
      <c r="P67" s="301"/>
      <c r="Q67" s="303"/>
      <c r="R67" s="303"/>
      <c r="S67" s="303"/>
      <c r="T67" s="303"/>
      <c r="U67" s="303"/>
      <c r="V67" s="303"/>
      <c r="W67" s="303"/>
      <c r="X67" s="303"/>
      <c r="Y67" s="303"/>
    </row>
    <row r="68" spans="1:25" s="300" customFormat="1" ht="12.75" hidden="1" customHeight="1">
      <c r="A68" s="345"/>
      <c r="B68" s="512" t="s">
        <v>77</v>
      </c>
      <c r="C68" s="740"/>
      <c r="D68" s="358">
        <v>7000</v>
      </c>
      <c r="E68" s="359">
        <v>1.1100000000000001</v>
      </c>
      <c r="F68" s="359">
        <v>1.2</v>
      </c>
      <c r="G68" s="305"/>
      <c r="H68" s="305"/>
      <c r="I68" s="348"/>
      <c r="L68" s="303"/>
      <c r="M68" s="303"/>
      <c r="N68" s="303"/>
      <c r="O68" s="303"/>
      <c r="P68" s="301"/>
      <c r="Q68" s="303"/>
      <c r="R68" s="303"/>
      <c r="S68" s="303"/>
      <c r="T68" s="303"/>
      <c r="U68" s="303"/>
      <c r="V68" s="303"/>
      <c r="W68" s="303"/>
      <c r="X68" s="303"/>
      <c r="Y68" s="303"/>
    </row>
    <row r="69" spans="1:25" s="300" customFormat="1" ht="12.75" hidden="1" customHeight="1">
      <c r="A69" s="345"/>
      <c r="B69" s="360" t="s">
        <v>76</v>
      </c>
      <c r="C69" s="303"/>
      <c r="D69" s="347">
        <f>D103*D36</f>
        <v>7500</v>
      </c>
      <c r="E69" s="306">
        <f>E103/D103</f>
        <v>1.9</v>
      </c>
      <c r="F69" s="306">
        <f>F103/E103</f>
        <v>0.9</v>
      </c>
      <c r="G69" s="305"/>
      <c r="H69" s="305"/>
      <c r="I69" s="348"/>
      <c r="J69" s="301"/>
      <c r="K69" s="301"/>
      <c r="L69" s="303"/>
      <c r="M69" s="303"/>
      <c r="N69" s="303"/>
      <c r="O69" s="303"/>
      <c r="P69" s="301"/>
      <c r="Q69" s="303"/>
      <c r="R69" s="303"/>
      <c r="S69" s="303"/>
      <c r="T69" s="303"/>
      <c r="U69" s="303"/>
      <c r="V69" s="303"/>
      <c r="W69" s="303"/>
      <c r="X69" s="303"/>
      <c r="Y69" s="303"/>
    </row>
    <row r="70" spans="1:25" s="300" customFormat="1" ht="12.75" hidden="1" customHeight="1">
      <c r="A70" s="345"/>
      <c r="G70" s="305"/>
      <c r="H70" s="305"/>
      <c r="I70" s="348"/>
      <c r="J70" s="301"/>
      <c r="K70" s="301"/>
      <c r="L70" s="303"/>
      <c r="M70" s="303"/>
      <c r="N70" s="303"/>
      <c r="O70" s="303"/>
      <c r="P70" s="301"/>
      <c r="Q70" s="303"/>
      <c r="R70" s="303"/>
      <c r="S70" s="303"/>
      <c r="T70" s="303"/>
      <c r="U70" s="303"/>
      <c r="V70" s="303"/>
      <c r="W70" s="303"/>
      <c r="X70" s="303"/>
      <c r="Y70" s="303"/>
    </row>
    <row r="71" spans="1:25" s="300" customFormat="1" ht="12.75" hidden="1" customHeight="1">
      <c r="A71" s="345"/>
      <c r="D71" s="676" t="s">
        <v>35</v>
      </c>
      <c r="E71" s="676" t="s">
        <v>34</v>
      </c>
      <c r="F71" s="676" t="s">
        <v>33</v>
      </c>
      <c r="G71" s="305"/>
      <c r="H71" s="305"/>
      <c r="I71" s="348"/>
      <c r="J71" s="301"/>
      <c r="K71" s="301"/>
      <c r="L71" s="303"/>
      <c r="M71" s="303"/>
      <c r="N71" s="303"/>
      <c r="O71" s="303"/>
      <c r="P71" s="301"/>
      <c r="Q71" s="303"/>
      <c r="R71" s="303"/>
      <c r="S71" s="303"/>
      <c r="T71" s="303"/>
      <c r="U71" s="303"/>
      <c r="V71" s="303"/>
      <c r="W71" s="303"/>
      <c r="X71" s="303"/>
      <c r="Y71" s="303"/>
    </row>
    <row r="72" spans="1:25" s="300" customFormat="1" ht="12.75" hidden="1" customHeight="1">
      <c r="A72" s="345"/>
      <c r="B72" s="361" t="s">
        <v>101</v>
      </c>
      <c r="C72" s="362"/>
      <c r="D72" s="363">
        <f>SUM(D65:D70)</f>
        <v>33500</v>
      </c>
      <c r="E72" s="363">
        <f>SUMPRODUCT(D65:D70,E65:E70)</f>
        <v>43110</v>
      </c>
      <c r="F72" s="363">
        <f>SUMPRODUCT(E65:E70,F65:F70,D65:D70)</f>
        <v>47457</v>
      </c>
      <c r="G72" s="305"/>
      <c r="H72" s="305"/>
      <c r="I72" s="348"/>
      <c r="J72" s="301"/>
      <c r="K72" s="301"/>
      <c r="L72" s="303"/>
      <c r="M72" s="303"/>
      <c r="N72" s="303"/>
      <c r="O72" s="303"/>
      <c r="P72" s="301"/>
      <c r="Q72" s="303"/>
      <c r="R72" s="303"/>
      <c r="S72" s="303"/>
      <c r="T72" s="303"/>
      <c r="U72" s="303"/>
      <c r="V72" s="303"/>
      <c r="W72" s="303"/>
      <c r="X72" s="303"/>
      <c r="Y72" s="303"/>
    </row>
    <row r="73" spans="1:25" s="300" customFormat="1" ht="12.75" hidden="1" customHeight="1">
      <c r="A73" s="345"/>
      <c r="D73" s="680"/>
      <c r="G73" s="305"/>
      <c r="H73" s="305"/>
      <c r="I73" s="348"/>
      <c r="J73" s="301"/>
      <c r="K73" s="301"/>
      <c r="L73" s="303"/>
      <c r="M73" s="303"/>
      <c r="N73" s="303"/>
      <c r="O73" s="303"/>
      <c r="P73" s="301"/>
      <c r="Q73" s="303"/>
      <c r="R73" s="303"/>
      <c r="S73" s="303"/>
      <c r="T73" s="303"/>
      <c r="U73" s="303"/>
      <c r="V73" s="303"/>
      <c r="W73" s="303"/>
      <c r="X73" s="303"/>
      <c r="Y73" s="303"/>
    </row>
    <row r="74" spans="1:25" s="300" customFormat="1" ht="12.75" hidden="1" customHeight="1">
      <c r="A74" s="345"/>
      <c r="G74" s="305"/>
      <c r="H74" s="305"/>
      <c r="I74" s="348"/>
      <c r="J74" s="301"/>
      <c r="K74" s="301"/>
      <c r="L74" s="303"/>
      <c r="M74" s="303"/>
      <c r="N74" s="303"/>
      <c r="O74" s="303"/>
      <c r="P74" s="301"/>
      <c r="Q74" s="303"/>
      <c r="R74" s="303"/>
      <c r="S74" s="303"/>
      <c r="T74" s="303"/>
      <c r="U74" s="303"/>
      <c r="V74" s="303"/>
      <c r="W74" s="303"/>
      <c r="X74" s="303"/>
      <c r="Y74" s="303"/>
    </row>
    <row r="75" spans="1:25" s="300" customFormat="1" ht="12.75" hidden="1" customHeight="1">
      <c r="A75" s="345">
        <v>2.4</v>
      </c>
      <c r="B75" s="346" t="s">
        <v>365</v>
      </c>
      <c r="C75" s="304"/>
      <c r="D75" s="347"/>
      <c r="E75" s="306"/>
      <c r="F75" s="306"/>
      <c r="G75" s="305"/>
      <c r="H75" s="305"/>
      <c r="I75" s="348"/>
      <c r="J75" s="301"/>
      <c r="K75" s="301"/>
      <c r="L75" s="303"/>
      <c r="M75" s="303"/>
      <c r="N75" s="303"/>
      <c r="O75" s="303"/>
      <c r="P75" s="301"/>
      <c r="Q75" s="303"/>
      <c r="R75" s="303"/>
      <c r="S75" s="303"/>
      <c r="T75" s="303"/>
      <c r="U75" s="303"/>
      <c r="V75" s="303"/>
      <c r="W75" s="303"/>
      <c r="X75" s="303"/>
      <c r="Y75" s="303"/>
    </row>
    <row r="76" spans="1:25" s="300" customFormat="1" ht="11.25" hidden="1">
      <c r="D76" s="312" t="s">
        <v>333</v>
      </c>
      <c r="E76" s="1458" t="s">
        <v>334</v>
      </c>
      <c r="F76" s="1458"/>
      <c r="G76" s="305"/>
      <c r="H76" s="305"/>
      <c r="I76" s="348"/>
      <c r="J76" s="301"/>
      <c r="K76" s="301"/>
      <c r="L76" s="303"/>
      <c r="M76" s="303"/>
      <c r="N76" s="303"/>
      <c r="O76" s="303"/>
      <c r="P76" s="301"/>
      <c r="Q76" s="303"/>
      <c r="R76" s="303"/>
      <c r="S76" s="303"/>
      <c r="T76" s="303"/>
      <c r="U76" s="303"/>
      <c r="V76" s="303"/>
      <c r="W76" s="303"/>
      <c r="X76" s="303"/>
      <c r="Y76" s="303"/>
    </row>
    <row r="77" spans="1:25" s="300" customFormat="1" ht="12.75" hidden="1" customHeight="1">
      <c r="A77" s="345"/>
      <c r="D77" s="312" t="s">
        <v>35</v>
      </c>
      <c r="E77" s="312" t="s">
        <v>34</v>
      </c>
      <c r="F77" s="312" t="s">
        <v>33</v>
      </c>
      <c r="G77" s="305"/>
      <c r="H77" s="305"/>
      <c r="I77" s="348"/>
      <c r="J77" s="301"/>
      <c r="K77" s="301"/>
      <c r="L77" s="303"/>
      <c r="M77" s="303"/>
      <c r="N77" s="303"/>
      <c r="O77" s="303"/>
      <c r="P77" s="301"/>
      <c r="Q77" s="303"/>
      <c r="R77" s="303"/>
      <c r="S77" s="303"/>
      <c r="T77" s="303"/>
      <c r="U77" s="303"/>
      <c r="V77" s="303"/>
      <c r="W77" s="303"/>
      <c r="X77" s="303"/>
      <c r="Y77" s="303"/>
    </row>
    <row r="78" spans="1:25" s="300" customFormat="1" ht="12.75" hidden="1" customHeight="1">
      <c r="A78" s="345"/>
      <c r="B78" s="512" t="s">
        <v>79</v>
      </c>
      <c r="C78" s="740"/>
      <c r="D78" s="358">
        <v>35000</v>
      </c>
      <c r="E78" s="359">
        <v>1.1100000000000001</v>
      </c>
      <c r="F78" s="359">
        <v>1.2</v>
      </c>
      <c r="J78" s="303"/>
      <c r="K78" s="303"/>
      <c r="L78" s="303"/>
      <c r="M78" s="303"/>
      <c r="N78" s="303"/>
      <c r="O78" s="303"/>
      <c r="P78" s="301"/>
      <c r="Q78" s="303"/>
      <c r="R78" s="303"/>
      <c r="S78" s="303"/>
      <c r="T78" s="303"/>
      <c r="U78" s="303"/>
      <c r="V78" s="303"/>
      <c r="W78" s="303"/>
      <c r="X78" s="303"/>
      <c r="Y78" s="303"/>
    </row>
    <row r="79" spans="1:25" s="300" customFormat="1" ht="12.75" hidden="1" customHeight="1">
      <c r="A79" s="345"/>
      <c r="B79" s="512" t="s">
        <v>78</v>
      </c>
      <c r="C79" s="740"/>
      <c r="D79" s="358">
        <v>3000</v>
      </c>
      <c r="E79" s="359">
        <v>1.1100000000000001</v>
      </c>
      <c r="F79" s="359">
        <v>1.2</v>
      </c>
      <c r="J79" s="303"/>
      <c r="K79" s="303"/>
      <c r="L79" s="303"/>
      <c r="M79" s="303"/>
      <c r="N79" s="303"/>
      <c r="O79" s="303"/>
      <c r="P79" s="301"/>
      <c r="Q79" s="303"/>
      <c r="R79" s="303"/>
      <c r="S79" s="303"/>
      <c r="T79" s="303"/>
      <c r="U79" s="303"/>
      <c r="V79" s="303"/>
      <c r="W79" s="303"/>
      <c r="X79" s="303"/>
      <c r="Y79" s="303"/>
    </row>
    <row r="80" spans="1:25" s="300" customFormat="1" ht="12.75" hidden="1" customHeight="1">
      <c r="A80" s="345"/>
      <c r="B80" s="360"/>
      <c r="C80" s="303"/>
      <c r="D80" s="347"/>
      <c r="E80" s="306"/>
      <c r="F80" s="306"/>
      <c r="J80" s="303"/>
      <c r="K80" s="303"/>
      <c r="L80" s="303"/>
      <c r="M80" s="303"/>
      <c r="N80" s="303"/>
      <c r="O80" s="303"/>
      <c r="P80" s="301"/>
      <c r="Q80" s="303"/>
      <c r="R80" s="303"/>
      <c r="S80" s="303"/>
      <c r="T80" s="303"/>
      <c r="U80" s="303"/>
      <c r="V80" s="303"/>
      <c r="W80" s="303"/>
      <c r="X80" s="303"/>
      <c r="Y80" s="303"/>
    </row>
    <row r="81" spans="1:25" s="300" customFormat="1" ht="12.75" hidden="1" customHeight="1">
      <c r="A81" s="345"/>
      <c r="B81" s="361" t="s">
        <v>101</v>
      </c>
      <c r="C81" s="362"/>
      <c r="D81" s="363">
        <f>SUM(D78:D80)</f>
        <v>38000</v>
      </c>
      <c r="E81" s="363">
        <f>SUMPRODUCT(D78:D80,E78:E80)</f>
        <v>42180</v>
      </c>
      <c r="F81" s="363">
        <f>SUMPRODUCT(D78:D80,E78:E80,F78:F80)</f>
        <v>50616</v>
      </c>
      <c r="J81" s="303"/>
      <c r="K81" s="303"/>
      <c r="L81" s="303"/>
      <c r="M81" s="303"/>
      <c r="N81" s="303"/>
      <c r="O81" s="303"/>
      <c r="P81" s="301"/>
      <c r="Q81" s="303"/>
      <c r="R81" s="303"/>
      <c r="S81" s="303"/>
      <c r="T81" s="303"/>
      <c r="U81" s="303"/>
      <c r="V81" s="303"/>
      <c r="W81" s="303"/>
      <c r="X81" s="303"/>
      <c r="Y81" s="303"/>
    </row>
    <row r="82" spans="1:25" s="300" customFormat="1" ht="12.75" hidden="1" customHeight="1">
      <c r="A82" s="345"/>
      <c r="B82" s="360"/>
      <c r="C82" s="303"/>
      <c r="D82" s="347"/>
      <c r="E82" s="306"/>
      <c r="F82" s="306"/>
      <c r="J82" s="303"/>
      <c r="K82" s="303"/>
      <c r="L82" s="303"/>
      <c r="M82" s="303"/>
      <c r="N82" s="303"/>
      <c r="O82" s="303"/>
      <c r="P82" s="301"/>
      <c r="Q82" s="303"/>
      <c r="R82" s="303"/>
      <c r="S82" s="303"/>
      <c r="T82" s="303"/>
      <c r="U82" s="303"/>
      <c r="V82" s="303"/>
      <c r="W82" s="303"/>
      <c r="X82" s="303"/>
      <c r="Y82" s="303"/>
    </row>
    <row r="83" spans="1:25" s="300" customFormat="1" ht="12.75" hidden="1" customHeight="1">
      <c r="A83" s="345"/>
      <c r="B83" s="360"/>
      <c r="C83" s="303"/>
      <c r="D83" s="347"/>
      <c r="E83" s="306"/>
      <c r="F83" s="306"/>
      <c r="J83" s="303"/>
      <c r="K83" s="303"/>
      <c r="L83" s="303"/>
      <c r="M83" s="303"/>
      <c r="N83" s="303"/>
      <c r="O83" s="303"/>
      <c r="P83" s="301"/>
      <c r="Q83" s="303"/>
      <c r="R83" s="303"/>
      <c r="S83" s="303"/>
      <c r="T83" s="303"/>
      <c r="U83" s="303"/>
      <c r="V83" s="303"/>
      <c r="W83" s="303"/>
      <c r="X83" s="303"/>
      <c r="Y83" s="303"/>
    </row>
    <row r="84" spans="1:25" s="300" customFormat="1" ht="12.75" hidden="1" customHeight="1">
      <c r="A84" s="345">
        <v>2.5</v>
      </c>
      <c r="B84" s="361" t="s">
        <v>83</v>
      </c>
      <c r="J84" s="303"/>
      <c r="K84" s="681"/>
      <c r="L84" s="303"/>
      <c r="M84" s="303"/>
      <c r="N84" s="303"/>
      <c r="O84" s="303"/>
      <c r="P84" s="301"/>
      <c r="Q84" s="303"/>
      <c r="R84" s="303"/>
      <c r="S84" s="303"/>
      <c r="T84" s="303"/>
      <c r="U84" s="303"/>
      <c r="V84" s="303"/>
      <c r="W84" s="303"/>
      <c r="X84" s="303"/>
      <c r="Y84" s="303"/>
    </row>
    <row r="85" spans="1:25" s="300" customFormat="1" ht="12.75" hidden="1" customHeight="1">
      <c r="A85" s="345"/>
      <c r="F85" s="1458" t="s">
        <v>334</v>
      </c>
      <c r="G85" s="1458"/>
      <c r="L85" s="303"/>
      <c r="M85" s="303"/>
      <c r="N85" s="303"/>
      <c r="O85" s="303"/>
      <c r="P85" s="301"/>
      <c r="Q85" s="303"/>
      <c r="R85" s="303"/>
      <c r="S85" s="303"/>
      <c r="T85" s="303"/>
      <c r="U85" s="303"/>
      <c r="V85" s="303"/>
      <c r="W85" s="303"/>
      <c r="X85" s="303"/>
      <c r="Y85" s="303"/>
    </row>
    <row r="86" spans="1:25" s="300" customFormat="1" ht="12.75" hidden="1" customHeight="1">
      <c r="A86" s="345"/>
      <c r="D86" s="323" t="s">
        <v>333</v>
      </c>
      <c r="E86" s="671" t="s">
        <v>368</v>
      </c>
      <c r="F86" s="323" t="s">
        <v>34</v>
      </c>
      <c r="G86" s="323" t="s">
        <v>33</v>
      </c>
      <c r="H86" s="304"/>
      <c r="I86" s="304"/>
      <c r="L86" s="301"/>
      <c r="O86" s="301"/>
      <c r="P86" s="301"/>
      <c r="Q86" s="303"/>
      <c r="R86" s="303"/>
      <c r="S86" s="303"/>
      <c r="T86" s="303"/>
      <c r="U86" s="303"/>
      <c r="V86" s="303"/>
      <c r="W86" s="303"/>
      <c r="X86" s="303"/>
      <c r="Y86" s="303"/>
    </row>
    <row r="87" spans="1:25" s="300" customFormat="1" ht="11.25" hidden="1">
      <c r="B87" s="512" t="s">
        <v>332</v>
      </c>
      <c r="C87" s="740"/>
      <c r="D87" s="358">
        <v>5000</v>
      </c>
      <c r="E87" s="401">
        <v>200</v>
      </c>
      <c r="F87" s="359">
        <v>1.1100000000000001</v>
      </c>
      <c r="G87" s="359">
        <v>1.2</v>
      </c>
      <c r="H87" s="305"/>
      <c r="I87" s="348"/>
      <c r="L87" s="301"/>
      <c r="O87" s="301"/>
      <c r="P87" s="301"/>
      <c r="Q87" s="303"/>
      <c r="R87" s="303"/>
      <c r="S87" s="303"/>
      <c r="T87" s="303"/>
      <c r="U87" s="303"/>
      <c r="V87" s="303"/>
      <c r="W87" s="303"/>
      <c r="X87" s="303"/>
      <c r="Y87" s="303"/>
    </row>
    <row r="88" spans="1:25" s="300" customFormat="1" ht="11.25" hidden="1">
      <c r="B88" s="752" t="s">
        <v>331</v>
      </c>
      <c r="C88" s="740"/>
      <c r="D88" s="752"/>
      <c r="E88" s="752"/>
      <c r="F88" s="752"/>
      <c r="G88" s="752"/>
      <c r="J88" s="303"/>
      <c r="K88" s="303"/>
      <c r="L88" s="301"/>
      <c r="O88" s="301"/>
      <c r="P88" s="301"/>
      <c r="Q88" s="303"/>
      <c r="R88" s="303"/>
      <c r="S88" s="303"/>
      <c r="T88" s="303"/>
      <c r="U88" s="303"/>
      <c r="V88" s="303"/>
      <c r="W88" s="303"/>
      <c r="X88" s="303"/>
      <c r="Y88" s="303"/>
    </row>
    <row r="89" spans="1:25" s="300" customFormat="1" ht="11.25" hidden="1">
      <c r="B89" s="303"/>
      <c r="C89" s="303"/>
      <c r="D89" s="303"/>
      <c r="E89" s="303"/>
      <c r="F89" s="303"/>
      <c r="G89" s="303"/>
      <c r="J89" s="303"/>
      <c r="K89" s="303"/>
      <c r="L89" s="301"/>
      <c r="O89" s="301"/>
      <c r="P89" s="301"/>
      <c r="Q89" s="303"/>
      <c r="R89" s="303"/>
      <c r="S89" s="303"/>
      <c r="T89" s="303"/>
      <c r="U89" s="303"/>
      <c r="V89" s="303"/>
      <c r="W89" s="303"/>
      <c r="X89" s="303"/>
      <c r="Y89" s="303"/>
    </row>
    <row r="90" spans="1:25" s="300" customFormat="1" ht="12.75" hidden="1" customHeight="1">
      <c r="A90" s="345"/>
      <c r="B90" s="304"/>
      <c r="C90" s="682"/>
      <c r="D90" s="676" t="s">
        <v>35</v>
      </c>
      <c r="E90" s="676" t="s">
        <v>34</v>
      </c>
      <c r="F90" s="676" t="s">
        <v>33</v>
      </c>
      <c r="O90" s="301"/>
      <c r="P90" s="301"/>
      <c r="Q90" s="303"/>
      <c r="R90" s="303"/>
      <c r="S90" s="303"/>
      <c r="T90" s="303"/>
      <c r="U90" s="303"/>
      <c r="V90" s="303"/>
      <c r="W90" s="303"/>
      <c r="X90" s="303"/>
      <c r="Y90" s="303"/>
    </row>
    <row r="91" spans="1:25" s="300" customFormat="1" hidden="1">
      <c r="B91" s="361" t="s">
        <v>101</v>
      </c>
      <c r="C91" s="362"/>
      <c r="D91" s="679">
        <f>SUM(D87:D89)</f>
        <v>5000</v>
      </c>
      <c r="E91" s="679">
        <f>SUMPRODUCT(D87:D89,F87:F89)</f>
        <v>5550.0000000000009</v>
      </c>
      <c r="F91" s="679">
        <f>SUMPRODUCT(D87:D89,G87:G89,F87:F89)</f>
        <v>6660.0000000000009</v>
      </c>
      <c r="I91" s="304"/>
      <c r="J91" s="303"/>
      <c r="K91" s="303"/>
      <c r="L91" s="301"/>
      <c r="O91" s="301"/>
      <c r="P91" s="301"/>
      <c r="Q91" s="303"/>
      <c r="R91" s="303"/>
      <c r="S91" s="303"/>
      <c r="T91" s="303"/>
      <c r="U91" s="303"/>
      <c r="V91" s="303"/>
      <c r="W91" s="303"/>
      <c r="X91" s="303"/>
      <c r="Y91" s="303"/>
    </row>
    <row r="92" spans="1:25" s="300" customFormat="1" ht="11.25" hidden="1">
      <c r="I92" s="304"/>
      <c r="J92" s="303"/>
      <c r="K92" s="303"/>
      <c r="L92" s="301"/>
      <c r="O92" s="301"/>
      <c r="P92" s="301"/>
      <c r="Q92" s="303"/>
      <c r="R92" s="303"/>
      <c r="S92" s="303"/>
      <c r="T92" s="303"/>
      <c r="U92" s="303"/>
      <c r="V92" s="303"/>
      <c r="W92" s="303"/>
      <c r="X92" s="303"/>
      <c r="Y92" s="303"/>
    </row>
    <row r="93" spans="1:25" s="300" customFormat="1" ht="11.25" hidden="1">
      <c r="E93" s="304"/>
      <c r="J93" s="303"/>
      <c r="K93" s="303"/>
      <c r="L93" s="301"/>
      <c r="O93" s="301"/>
      <c r="P93" s="301"/>
      <c r="Q93" s="303"/>
      <c r="R93" s="303"/>
      <c r="S93" s="303"/>
      <c r="T93" s="303"/>
      <c r="U93" s="303"/>
      <c r="V93" s="303"/>
      <c r="W93" s="303"/>
      <c r="X93" s="303"/>
      <c r="Y93" s="303"/>
    </row>
    <row r="94" spans="1:25" s="300" customFormat="1" ht="12.75" hidden="1" customHeight="1">
      <c r="A94" s="345">
        <v>2.6</v>
      </c>
      <c r="B94" s="361" t="s">
        <v>335</v>
      </c>
      <c r="J94" s="303"/>
      <c r="K94" s="489"/>
      <c r="L94" s="301"/>
      <c r="O94" s="301"/>
      <c r="P94" s="301"/>
      <c r="Q94" s="303"/>
      <c r="R94" s="303"/>
      <c r="S94" s="303"/>
      <c r="T94" s="303"/>
      <c r="U94" s="303"/>
      <c r="V94" s="303"/>
      <c r="W94" s="303"/>
      <c r="X94" s="303"/>
      <c r="Y94" s="303"/>
    </row>
    <row r="95" spans="1:25" s="300" customFormat="1" ht="11.25" hidden="1">
      <c r="B95" s="1453" t="s">
        <v>340</v>
      </c>
      <c r="C95" s="1455"/>
      <c r="D95" s="323" t="s">
        <v>642</v>
      </c>
      <c r="E95" s="323" t="s">
        <v>336</v>
      </c>
      <c r="F95" s="323" t="s">
        <v>341</v>
      </c>
      <c r="G95" s="323" t="s">
        <v>339</v>
      </c>
      <c r="H95" s="323" t="s">
        <v>342</v>
      </c>
      <c r="J95" s="301"/>
      <c r="K95" s="301"/>
      <c r="L95" s="301"/>
      <c r="O95" s="301"/>
      <c r="P95" s="301"/>
      <c r="Q95" s="303"/>
      <c r="R95" s="303"/>
      <c r="S95" s="303"/>
      <c r="T95" s="303"/>
      <c r="U95" s="303"/>
      <c r="V95" s="303"/>
      <c r="W95" s="303"/>
      <c r="X95" s="303"/>
      <c r="Y95" s="303"/>
    </row>
    <row r="96" spans="1:25" s="300" customFormat="1" ht="11.25" hidden="1">
      <c r="B96" s="752" t="s">
        <v>338</v>
      </c>
      <c r="C96" s="740"/>
      <c r="D96" s="754">
        <v>40000</v>
      </c>
      <c r="E96" s="755">
        <v>0.1</v>
      </c>
      <c r="F96" s="752">
        <v>36</v>
      </c>
      <c r="G96" s="752">
        <v>12</v>
      </c>
      <c r="H96" s="752" t="s">
        <v>371</v>
      </c>
      <c r="I96" s="305"/>
      <c r="J96" s="301"/>
      <c r="K96" s="301"/>
      <c r="L96" s="301"/>
      <c r="O96" s="301"/>
      <c r="P96" s="301"/>
      <c r="Q96" s="303"/>
      <c r="R96" s="303"/>
      <c r="S96" s="303"/>
      <c r="T96" s="303"/>
      <c r="U96" s="303"/>
      <c r="V96" s="303"/>
      <c r="W96" s="303"/>
      <c r="X96" s="303"/>
      <c r="Y96" s="303"/>
    </row>
    <row r="97" spans="1:25" s="300" customFormat="1" ht="11.25" hidden="1">
      <c r="O97" s="301"/>
      <c r="P97" s="301"/>
      <c r="Q97" s="303"/>
      <c r="R97" s="303"/>
      <c r="S97" s="303"/>
      <c r="T97" s="303"/>
      <c r="U97" s="303"/>
      <c r="V97" s="303"/>
      <c r="W97" s="303"/>
      <c r="X97" s="303"/>
      <c r="Y97" s="303"/>
    </row>
    <row r="98" spans="1:25" s="300" customFormat="1" ht="11.25" hidden="1">
      <c r="B98" s="304"/>
      <c r="C98" s="682"/>
      <c r="D98" s="676" t="s">
        <v>35</v>
      </c>
      <c r="E98" s="676" t="s">
        <v>34</v>
      </c>
      <c r="F98" s="676" t="s">
        <v>33</v>
      </c>
      <c r="G98" s="676" t="s">
        <v>679</v>
      </c>
      <c r="O98" s="301"/>
      <c r="P98" s="301"/>
      <c r="Q98" s="303"/>
      <c r="R98" s="303"/>
      <c r="S98" s="303"/>
      <c r="T98" s="303"/>
      <c r="U98" s="303"/>
      <c r="V98" s="303"/>
      <c r="W98" s="303"/>
      <c r="X98" s="303"/>
      <c r="Y98" s="303"/>
    </row>
    <row r="99" spans="1:25" s="300" customFormat="1" hidden="1">
      <c r="B99" s="361" t="s">
        <v>101</v>
      </c>
      <c r="C99" s="362"/>
      <c r="D99" s="679">
        <f>debtAnnualPaymentsFY1(DebtRange)</f>
        <v>15391.295580719105</v>
      </c>
      <c r="E99" s="679">
        <f>debtAnnualPaymentsFY2(DebtRange)</f>
        <v>15391.295580719105</v>
      </c>
      <c r="F99" s="679">
        <f>debtAnnualPaymentsFY3(DebtRange)</f>
        <v>15391.295580719105</v>
      </c>
      <c r="G99" s="1247">
        <f>SUM(D96:D97)</f>
        <v>40000</v>
      </c>
      <c r="O99" s="301"/>
      <c r="P99" s="301"/>
      <c r="Q99" s="303"/>
      <c r="R99" s="303"/>
      <c r="S99" s="303"/>
      <c r="T99" s="303"/>
      <c r="U99" s="303"/>
      <c r="V99" s="303"/>
      <c r="W99" s="303"/>
      <c r="X99" s="303"/>
      <c r="Y99" s="303"/>
    </row>
    <row r="100" spans="1:25" s="300" customFormat="1" ht="11.25" hidden="1">
      <c r="O100" s="301"/>
      <c r="P100" s="301"/>
      <c r="Q100" s="303"/>
      <c r="R100" s="303"/>
      <c r="S100" s="303"/>
      <c r="T100" s="303"/>
      <c r="U100" s="303"/>
      <c r="V100" s="303"/>
      <c r="W100" s="303"/>
      <c r="X100" s="303"/>
      <c r="Y100" s="303"/>
    </row>
    <row r="101" spans="1:25" s="300" customFormat="1" ht="11.25" hidden="1">
      <c r="O101" s="301"/>
      <c r="P101" s="301"/>
      <c r="Q101" s="303"/>
      <c r="R101" s="303"/>
      <c r="S101" s="303"/>
      <c r="T101" s="303"/>
      <c r="U101" s="303"/>
      <c r="V101" s="303"/>
      <c r="W101" s="303"/>
      <c r="X101" s="303"/>
      <c r="Y101" s="303"/>
    </row>
    <row r="102" spans="1:25" s="300" customFormat="1" hidden="1">
      <c r="A102" s="345">
        <v>2.7</v>
      </c>
      <c r="B102" s="361" t="s">
        <v>76</v>
      </c>
      <c r="D102" s="323" t="s">
        <v>35</v>
      </c>
      <c r="E102" s="671" t="s">
        <v>34</v>
      </c>
      <c r="F102" s="323" t="s">
        <v>33</v>
      </c>
      <c r="I102" s="305"/>
      <c r="J102" s="301"/>
      <c r="K102" s="301"/>
      <c r="L102" s="301"/>
      <c r="O102" s="301"/>
      <c r="P102" s="301"/>
      <c r="Q102" s="303"/>
      <c r="R102" s="303"/>
      <c r="S102" s="303"/>
      <c r="T102" s="303"/>
      <c r="U102" s="303"/>
      <c r="V102" s="303"/>
      <c r="W102" s="303"/>
      <c r="X102" s="303"/>
      <c r="Y102" s="303"/>
    </row>
    <row r="103" spans="1:25" s="300" customFormat="1" hidden="1">
      <c r="A103" s="345"/>
      <c r="B103" s="357" t="s">
        <v>460</v>
      </c>
      <c r="C103" s="357"/>
      <c r="D103" s="756">
        <v>0.05</v>
      </c>
      <c r="E103" s="756">
        <v>9.5000000000000001E-2</v>
      </c>
      <c r="F103" s="756">
        <v>8.5500000000000007E-2</v>
      </c>
      <c r="I103" s="305"/>
      <c r="J103" s="301"/>
      <c r="K103" s="301"/>
      <c r="L103" s="301"/>
      <c r="O103" s="301"/>
      <c r="P103" s="301"/>
      <c r="Q103" s="303"/>
      <c r="R103" s="303"/>
      <c r="S103" s="303"/>
      <c r="T103" s="303"/>
      <c r="U103" s="303"/>
      <c r="V103" s="303"/>
      <c r="W103" s="303"/>
      <c r="X103" s="303"/>
      <c r="Y103" s="303"/>
    </row>
    <row r="104" spans="1:25" s="300" customFormat="1" ht="11.25" hidden="1">
      <c r="B104" s="299" t="s">
        <v>461</v>
      </c>
      <c r="C104" s="299"/>
      <c r="D104" s="683">
        <f>D113*D38*D103</f>
        <v>2625</v>
      </c>
      <c r="E104" s="684">
        <f>D113*D38*E103</f>
        <v>4987.5</v>
      </c>
      <c r="F104" s="684">
        <f>D113*D38*F103</f>
        <v>4488.75</v>
      </c>
      <c r="I104" s="305"/>
      <c r="J104" s="301"/>
      <c r="K104" s="301"/>
      <c r="L104" s="301"/>
      <c r="O104" s="301"/>
      <c r="P104" s="301"/>
      <c r="Q104" s="303"/>
      <c r="R104" s="303"/>
      <c r="S104" s="303"/>
      <c r="T104" s="303"/>
      <c r="U104" s="303"/>
      <c r="V104" s="303"/>
      <c r="W104" s="303"/>
      <c r="X104" s="303"/>
      <c r="Y104" s="303"/>
    </row>
    <row r="105" spans="1:25" s="300" customFormat="1" ht="11.25" hidden="1">
      <c r="B105" s="299"/>
      <c r="C105" s="299"/>
      <c r="D105" s="683"/>
      <c r="E105" s="684"/>
      <c r="F105" s="684"/>
      <c r="I105" s="305"/>
      <c r="J105" s="301"/>
      <c r="K105" s="301"/>
      <c r="L105" s="301"/>
      <c r="O105" s="301"/>
      <c r="P105" s="301"/>
      <c r="Q105" s="303"/>
      <c r="R105" s="303"/>
      <c r="S105" s="303"/>
      <c r="T105" s="303"/>
      <c r="U105" s="303"/>
      <c r="V105" s="303"/>
      <c r="W105" s="303"/>
      <c r="X105" s="303"/>
      <c r="Y105" s="303"/>
    </row>
    <row r="106" spans="1:25" s="300" customFormat="1" hidden="1">
      <c r="A106" s="345">
        <v>2.8</v>
      </c>
      <c r="B106" s="461" t="s">
        <v>626</v>
      </c>
      <c r="C106" s="299"/>
      <c r="D106" s="683"/>
      <c r="E106" s="1027" t="s">
        <v>345</v>
      </c>
      <c r="F106" s="684"/>
      <c r="I106" s="305"/>
      <c r="J106" s="301"/>
      <c r="K106" s="301"/>
      <c r="L106" s="301"/>
      <c r="O106" s="301"/>
      <c r="P106" s="301"/>
      <c r="Q106" s="303"/>
      <c r="R106" s="303"/>
      <c r="S106" s="303"/>
      <c r="T106" s="303"/>
      <c r="U106" s="303"/>
      <c r="V106" s="303"/>
      <c r="W106" s="303"/>
      <c r="X106" s="303"/>
      <c r="Y106" s="303"/>
    </row>
    <row r="107" spans="1:25" s="300" customFormat="1" ht="11.25" hidden="1">
      <c r="B107" s="357" t="s">
        <v>627</v>
      </c>
      <c r="C107" s="1025"/>
      <c r="D107" s="1026"/>
      <c r="E107" s="1028">
        <v>0.05</v>
      </c>
      <c r="F107" s="684"/>
      <c r="I107" s="305"/>
      <c r="J107" s="301"/>
      <c r="K107" s="301"/>
      <c r="L107" s="301"/>
      <c r="O107" s="301"/>
      <c r="P107" s="301"/>
      <c r="Q107" s="303"/>
      <c r="R107" s="303"/>
      <c r="S107" s="303"/>
      <c r="T107" s="303"/>
      <c r="U107" s="303"/>
      <c r="V107" s="303"/>
      <c r="W107" s="303"/>
      <c r="X107" s="303"/>
      <c r="Y107" s="303"/>
    </row>
    <row r="108" spans="1:25" s="300" customFormat="1" ht="11.25" hidden="1">
      <c r="B108" s="357" t="s">
        <v>628</v>
      </c>
      <c r="C108" s="1025"/>
      <c r="D108" s="1026"/>
      <c r="E108" s="1028">
        <v>0.01</v>
      </c>
      <c r="F108" s="684"/>
      <c r="I108" s="305"/>
      <c r="J108" s="301"/>
      <c r="K108" s="301"/>
      <c r="L108" s="301"/>
      <c r="O108" s="301"/>
      <c r="P108" s="301"/>
      <c r="Q108" s="303"/>
      <c r="R108" s="303"/>
      <c r="S108" s="303"/>
      <c r="T108" s="303"/>
      <c r="U108" s="303"/>
      <c r="V108" s="303"/>
      <c r="W108" s="303"/>
      <c r="X108" s="303"/>
      <c r="Y108" s="303"/>
    </row>
    <row r="109" spans="1:25" s="300" customFormat="1" ht="11.25" hidden="1">
      <c r="O109" s="301"/>
      <c r="P109" s="301"/>
      <c r="Q109" s="303"/>
      <c r="R109" s="303"/>
      <c r="S109" s="303"/>
      <c r="T109" s="303"/>
      <c r="U109" s="303"/>
      <c r="V109" s="303"/>
      <c r="W109" s="303"/>
      <c r="X109" s="303"/>
      <c r="Y109" s="303"/>
    </row>
    <row r="110" spans="1:25" s="300" customFormat="1" ht="15.75" hidden="1">
      <c r="A110" s="663">
        <v>3</v>
      </c>
      <c r="B110" s="1276" t="s">
        <v>507</v>
      </c>
      <c r="C110" s="663"/>
      <c r="O110" s="301"/>
      <c r="P110" s="301"/>
      <c r="Q110" s="303"/>
      <c r="R110" s="303"/>
      <c r="S110" s="303"/>
      <c r="T110" s="303"/>
      <c r="U110" s="303"/>
      <c r="V110" s="303"/>
      <c r="W110" s="303"/>
      <c r="X110" s="303"/>
      <c r="Y110" s="303"/>
    </row>
    <row r="111" spans="1:25" s="300" customFormat="1" hidden="1">
      <c r="A111" s="345">
        <v>3.1</v>
      </c>
      <c r="B111" s="361" t="s">
        <v>343</v>
      </c>
      <c r="O111" s="301"/>
      <c r="P111" s="301"/>
      <c r="Q111" s="303"/>
      <c r="R111" s="303"/>
      <c r="S111" s="303"/>
      <c r="T111" s="303"/>
      <c r="U111" s="303"/>
      <c r="V111" s="303"/>
      <c r="W111" s="303"/>
      <c r="X111" s="303"/>
      <c r="Y111" s="303"/>
    </row>
    <row r="112" spans="1:25" s="300" customFormat="1" ht="11.25" hidden="1">
      <c r="B112" s="671" t="s">
        <v>344</v>
      </c>
      <c r="C112" s="685"/>
      <c r="D112" s="685" t="s">
        <v>345</v>
      </c>
      <c r="O112" s="301"/>
      <c r="P112" s="301"/>
      <c r="Q112" s="303"/>
      <c r="R112" s="303"/>
      <c r="S112" s="303"/>
      <c r="T112" s="303"/>
      <c r="U112" s="303"/>
      <c r="V112" s="303"/>
      <c r="W112" s="303"/>
      <c r="X112" s="303"/>
      <c r="Y112" s="303"/>
    </row>
    <row r="113" spans="1:70" s="300" customFormat="1" ht="11.25" hidden="1">
      <c r="B113" s="357" t="s">
        <v>118</v>
      </c>
      <c r="C113" s="357"/>
      <c r="D113" s="757">
        <v>0.35</v>
      </c>
      <c r="O113" s="301"/>
      <c r="P113" s="301"/>
      <c r="Q113" s="303"/>
      <c r="R113" s="303"/>
      <c r="S113" s="303"/>
      <c r="T113" s="303"/>
      <c r="U113" s="303"/>
      <c r="V113" s="303"/>
      <c r="W113" s="303"/>
      <c r="X113" s="303"/>
      <c r="Y113" s="303"/>
    </row>
    <row r="114" spans="1:70" s="300" customFormat="1" ht="12.75" hidden="1" customHeight="1">
      <c r="A114" s="345"/>
      <c r="B114" s="304"/>
      <c r="C114" s="682"/>
      <c r="O114" s="301"/>
      <c r="P114" s="301"/>
      <c r="Q114" s="303"/>
      <c r="R114" s="303"/>
      <c r="S114" s="303"/>
      <c r="T114" s="303"/>
      <c r="U114" s="303"/>
      <c r="V114" s="303"/>
      <c r="W114" s="303"/>
      <c r="X114" s="303"/>
      <c r="Y114" s="303"/>
    </row>
    <row r="115" spans="1:70" s="300" customFormat="1" ht="12.75" hidden="1" customHeight="1">
      <c r="A115" s="345"/>
      <c r="B115" s="304"/>
      <c r="C115" s="682"/>
      <c r="O115" s="301"/>
      <c r="P115" s="301"/>
      <c r="Q115" s="303"/>
      <c r="R115" s="303"/>
      <c r="S115" s="303"/>
      <c r="T115" s="303"/>
      <c r="U115" s="303"/>
      <c r="V115" s="303"/>
      <c r="W115" s="303"/>
      <c r="X115" s="303"/>
      <c r="Y115" s="303"/>
    </row>
    <row r="116" spans="1:70" s="300" customFormat="1" ht="12.75" hidden="1" customHeight="1">
      <c r="A116" s="345">
        <v>3.2</v>
      </c>
      <c r="B116" s="686" t="s">
        <v>356</v>
      </c>
      <c r="C116" s="682"/>
      <c r="O116" s="301"/>
      <c r="P116" s="301"/>
      <c r="Q116" s="303"/>
      <c r="R116" s="303"/>
      <c r="S116" s="303"/>
      <c r="T116" s="303"/>
      <c r="U116" s="303"/>
      <c r="V116" s="303"/>
      <c r="W116" s="303"/>
      <c r="X116" s="303"/>
      <c r="Y116" s="303"/>
    </row>
    <row r="117" spans="1:70" s="300" customFormat="1" ht="11.25" hidden="1">
      <c r="B117" s="671" t="s">
        <v>357</v>
      </c>
      <c r="C117" s="685"/>
      <c r="D117" s="687" t="s">
        <v>337</v>
      </c>
      <c r="O117" s="301"/>
      <c r="P117" s="301"/>
      <c r="Q117" s="303"/>
      <c r="R117" s="303"/>
      <c r="S117" s="303"/>
      <c r="T117" s="303"/>
      <c r="U117" s="303"/>
      <c r="V117" s="303"/>
      <c r="W117" s="303"/>
      <c r="X117" s="303"/>
      <c r="Y117" s="303"/>
    </row>
    <row r="118" spans="1:70" s="300" customFormat="1" ht="11.25" hidden="1">
      <c r="B118" s="752" t="s">
        <v>358</v>
      </c>
      <c r="C118" s="742"/>
      <c r="D118" s="752"/>
      <c r="O118" s="301"/>
      <c r="P118" s="301"/>
      <c r="Q118" s="303"/>
      <c r="R118" s="303"/>
      <c r="S118" s="303"/>
      <c r="T118" s="303"/>
      <c r="U118" s="303"/>
      <c r="V118" s="303"/>
      <c r="W118" s="303"/>
      <c r="X118" s="303"/>
      <c r="Y118" s="303"/>
    </row>
    <row r="119" spans="1:70" s="300" customFormat="1" ht="11.25" hidden="1">
      <c r="O119" s="301"/>
      <c r="P119" s="301"/>
      <c r="Q119" s="303"/>
      <c r="R119" s="303"/>
      <c r="S119" s="303"/>
      <c r="T119" s="303"/>
      <c r="U119" s="303"/>
      <c r="V119" s="303"/>
      <c r="W119" s="303"/>
      <c r="X119" s="303"/>
      <c r="Y119" s="303"/>
    </row>
    <row r="120" spans="1:70" s="300" customFormat="1" hidden="1">
      <c r="B120" s="361" t="s">
        <v>101</v>
      </c>
      <c r="D120" s="300" t="str">
        <f>IF(SUM(D118:D119)=0,"",SUM(D118:D119))</f>
        <v/>
      </c>
      <c r="O120" s="301"/>
      <c r="P120" s="301"/>
      <c r="Q120" s="303"/>
      <c r="R120" s="303"/>
      <c r="S120" s="303"/>
      <c r="T120" s="303"/>
      <c r="U120" s="303"/>
      <c r="V120" s="303"/>
      <c r="W120" s="303"/>
      <c r="X120" s="303"/>
      <c r="Y120" s="303"/>
    </row>
    <row r="121" spans="1:70" s="300" customFormat="1" ht="11.25" hidden="1">
      <c r="O121" s="301"/>
      <c r="P121" s="301"/>
      <c r="Q121" s="303"/>
      <c r="R121" s="303"/>
      <c r="S121" s="303"/>
      <c r="T121" s="303"/>
      <c r="U121" s="303"/>
      <c r="V121" s="303"/>
      <c r="W121" s="303"/>
      <c r="X121" s="303"/>
      <c r="Y121" s="303"/>
    </row>
    <row r="122" spans="1:70" s="300" customFormat="1" ht="11.25" hidden="1">
      <c r="O122" s="301"/>
      <c r="P122" s="301"/>
      <c r="Q122" s="303"/>
      <c r="R122" s="303"/>
      <c r="S122" s="303"/>
      <c r="T122" s="303"/>
      <c r="U122" s="303"/>
      <c r="V122" s="303"/>
      <c r="W122" s="303"/>
      <c r="X122" s="303"/>
      <c r="Y122" s="303"/>
    </row>
    <row r="123" spans="1:70" ht="15.75" hidden="1">
      <c r="A123" s="663">
        <v>4</v>
      </c>
      <c r="B123" s="643" t="s">
        <v>72</v>
      </c>
      <c r="C123" s="688"/>
      <c r="D123" s="645"/>
      <c r="K123" s="293"/>
      <c r="N123" s="292"/>
      <c r="O123" s="648"/>
      <c r="P123" s="648"/>
      <c r="Z123" s="292"/>
      <c r="AA123" s="292"/>
      <c r="AB123" s="292"/>
      <c r="AC123" s="292"/>
      <c r="AD123" s="292"/>
      <c r="AE123" s="292"/>
      <c r="AF123" s="292"/>
      <c r="AG123" s="292"/>
      <c r="AH123" s="292"/>
      <c r="AI123" s="292"/>
      <c r="AJ123" s="292"/>
      <c r="AK123" s="292"/>
      <c r="AL123" s="292"/>
      <c r="AM123" s="292"/>
      <c r="AN123" s="292"/>
      <c r="AO123" s="292"/>
      <c r="AP123" s="292"/>
      <c r="AQ123" s="292"/>
      <c r="AR123" s="292"/>
      <c r="AS123" s="292"/>
      <c r="AT123" s="292"/>
      <c r="AU123" s="292"/>
      <c r="AV123" s="292"/>
      <c r="AW123" s="292"/>
      <c r="AX123" s="292"/>
      <c r="AY123" s="292"/>
      <c r="AZ123" s="292"/>
      <c r="BA123" s="292"/>
      <c r="BB123" s="292"/>
      <c r="BC123" s="292"/>
      <c r="BD123" s="292"/>
      <c r="BE123" s="292"/>
      <c r="BF123" s="292"/>
      <c r="BG123" s="292"/>
      <c r="BH123" s="292"/>
      <c r="BI123" s="292"/>
      <c r="BJ123" s="292"/>
      <c r="BK123" s="292"/>
      <c r="BL123" s="292"/>
      <c r="BM123" s="292"/>
      <c r="BN123" s="292"/>
      <c r="BO123" s="292"/>
      <c r="BP123" s="292"/>
      <c r="BQ123" s="292"/>
    </row>
    <row r="124" spans="1:70" s="300" customFormat="1" ht="15" hidden="1">
      <c r="A124" s="345" t="s">
        <v>355</v>
      </c>
      <c r="B124" s="361" t="s">
        <v>71</v>
      </c>
      <c r="C124" s="383"/>
      <c r="D124" s="361"/>
      <c r="K124" s="303"/>
      <c r="L124" s="303"/>
      <c r="M124" s="303"/>
      <c r="O124" s="301"/>
      <c r="P124" s="301"/>
      <c r="Q124" s="303"/>
      <c r="R124" s="303"/>
      <c r="S124" s="303"/>
      <c r="T124" s="303"/>
      <c r="U124" s="303"/>
      <c r="V124" s="303"/>
      <c r="W124" s="303"/>
      <c r="X124" s="303"/>
      <c r="Y124" s="303"/>
    </row>
    <row r="125" spans="1:70" s="300" customFormat="1" hidden="1">
      <c r="A125" s="345"/>
      <c r="B125" s="361"/>
      <c r="C125" s="383"/>
      <c r="D125" s="384"/>
      <c r="E125" s="1453" t="s">
        <v>189</v>
      </c>
      <c r="F125" s="1454"/>
      <c r="G125" s="1455"/>
      <c r="H125" s="323"/>
      <c r="M125" s="1456"/>
      <c r="N125" s="1456"/>
      <c r="O125" s="1456"/>
      <c r="P125" s="301"/>
      <c r="Q125" s="303"/>
      <c r="R125" s="303"/>
      <c r="S125" s="303"/>
      <c r="T125" s="303"/>
      <c r="U125" s="303"/>
      <c r="V125" s="303"/>
      <c r="W125" s="303"/>
      <c r="X125" s="303"/>
      <c r="Y125" s="303"/>
    </row>
    <row r="126" spans="1:70" s="301" customFormat="1" hidden="1">
      <c r="A126" s="38"/>
      <c r="B126" s="385"/>
      <c r="C126" s="385"/>
      <c r="D126" s="386"/>
      <c r="E126" s="387" t="s">
        <v>433</v>
      </c>
      <c r="F126" s="388" t="s">
        <v>64</v>
      </c>
      <c r="G126" s="389" t="s">
        <v>63</v>
      </c>
      <c r="H126" s="390" t="s">
        <v>369</v>
      </c>
      <c r="I126" s="388" t="s">
        <v>351</v>
      </c>
      <c r="J126" s="388" t="s">
        <v>639</v>
      </c>
      <c r="K126" s="388" t="s">
        <v>70</v>
      </c>
      <c r="L126" s="388" t="s">
        <v>348</v>
      </c>
      <c r="M126" s="388" t="s">
        <v>347</v>
      </c>
      <c r="N126" s="388" t="s">
        <v>640</v>
      </c>
      <c r="O126" s="391"/>
      <c r="P126" s="391"/>
      <c r="Q126" s="303"/>
      <c r="R126" s="303"/>
      <c r="S126" s="303"/>
      <c r="T126" s="303"/>
      <c r="U126" s="303"/>
      <c r="V126" s="303"/>
      <c r="W126" s="303"/>
      <c r="X126" s="303"/>
      <c r="Y126" s="303"/>
      <c r="Z126" s="303"/>
      <c r="AA126" s="303"/>
      <c r="AB126" s="303"/>
      <c r="AC126" s="303"/>
      <c r="AD126" s="303"/>
      <c r="AE126" s="303"/>
      <c r="AF126" s="303"/>
      <c r="AG126" s="303"/>
      <c r="AH126" s="303"/>
      <c r="AI126" s="303"/>
      <c r="AJ126" s="303"/>
      <c r="AK126" s="303"/>
      <c r="AL126" s="303"/>
      <c r="AM126" s="303"/>
      <c r="AN126" s="303"/>
      <c r="AO126" s="303"/>
      <c r="AP126" s="303"/>
      <c r="AQ126" s="303"/>
      <c r="AR126" s="303"/>
      <c r="AS126" s="303"/>
      <c r="AT126" s="303"/>
      <c r="AU126" s="303"/>
      <c r="AV126" s="303"/>
      <c r="AW126" s="303"/>
      <c r="AX126" s="303"/>
      <c r="AY126" s="303"/>
      <c r="AZ126" s="303"/>
      <c r="BA126" s="303"/>
      <c r="BB126" s="303"/>
      <c r="BC126" s="303"/>
      <c r="BD126" s="303"/>
      <c r="BE126" s="303"/>
      <c r="BF126" s="303"/>
      <c r="BG126" s="303"/>
      <c r="BH126" s="303"/>
      <c r="BI126" s="303"/>
      <c r="BJ126" s="303"/>
      <c r="BK126" s="303"/>
      <c r="BL126" s="303"/>
      <c r="BM126" s="303"/>
      <c r="BN126" s="303"/>
      <c r="BO126" s="303"/>
      <c r="BP126" s="303"/>
      <c r="BQ126" s="303"/>
      <c r="BR126" s="303"/>
    </row>
    <row r="127" spans="1:70" s="301" customFormat="1" hidden="1">
      <c r="A127" s="38"/>
      <c r="B127" s="357" t="s">
        <v>66</v>
      </c>
      <c r="C127" s="392" t="s">
        <v>432</v>
      </c>
      <c r="D127" s="393" t="s">
        <v>346</v>
      </c>
      <c r="E127" s="394" t="s">
        <v>354</v>
      </c>
      <c r="F127" s="395" t="s">
        <v>354</v>
      </c>
      <c r="G127" s="396" t="s">
        <v>354</v>
      </c>
      <c r="H127" s="397" t="s">
        <v>354</v>
      </c>
      <c r="I127" s="395" t="s">
        <v>350</v>
      </c>
      <c r="J127" s="395"/>
      <c r="K127" s="395" t="s">
        <v>352</v>
      </c>
      <c r="L127" s="395" t="s">
        <v>352</v>
      </c>
      <c r="M127" s="395" t="s">
        <v>353</v>
      </c>
      <c r="N127" s="395" t="s">
        <v>353</v>
      </c>
      <c r="O127" s="391"/>
      <c r="P127" s="303"/>
      <c r="Q127" s="303"/>
      <c r="R127" s="303"/>
      <c r="S127" s="303"/>
      <c r="T127" s="303"/>
      <c r="U127" s="303"/>
      <c r="V127" s="303"/>
      <c r="W127" s="303"/>
      <c r="X127" s="303"/>
      <c r="Y127" s="303"/>
      <c r="Z127" s="303"/>
      <c r="AA127" s="303"/>
      <c r="AB127" s="303"/>
      <c r="AC127" s="303"/>
      <c r="AD127" s="303"/>
      <c r="AE127" s="303"/>
      <c r="AF127" s="303"/>
      <c r="AG127" s="303"/>
      <c r="AH127" s="303"/>
      <c r="AI127" s="303"/>
      <c r="AJ127" s="303"/>
      <c r="AK127" s="303"/>
      <c r="AL127" s="303"/>
      <c r="AM127" s="303"/>
      <c r="AN127" s="303"/>
      <c r="AO127" s="303"/>
      <c r="AP127" s="303"/>
      <c r="AQ127" s="303"/>
      <c r="AR127" s="303"/>
      <c r="AS127" s="303"/>
      <c r="AT127" s="303"/>
      <c r="AU127" s="303"/>
      <c r="AV127" s="303"/>
      <c r="AW127" s="303"/>
      <c r="AX127" s="303"/>
      <c r="AY127" s="303"/>
      <c r="AZ127" s="303"/>
      <c r="BA127" s="303"/>
      <c r="BB127" s="303"/>
      <c r="BC127" s="303"/>
      <c r="BD127" s="303"/>
      <c r="BE127" s="303"/>
      <c r="BF127" s="303"/>
      <c r="BG127" s="303"/>
      <c r="BH127" s="303"/>
      <c r="BI127" s="303"/>
      <c r="BJ127" s="303"/>
      <c r="BK127" s="303"/>
      <c r="BL127" s="303"/>
      <c r="BM127" s="303"/>
      <c r="BN127" s="303"/>
      <c r="BO127" s="303"/>
      <c r="BP127" s="303"/>
      <c r="BQ127" s="303"/>
      <c r="BR127" s="303"/>
    </row>
    <row r="128" spans="1:70" s="301" customFormat="1" hidden="1">
      <c r="A128" s="38"/>
      <c r="B128" s="512" t="s">
        <v>584</v>
      </c>
      <c r="C128" s="391" t="s">
        <v>410</v>
      </c>
      <c r="D128" s="398" t="s">
        <v>69</v>
      </c>
      <c r="E128" s="399">
        <v>0.56000000000000005</v>
      </c>
      <c r="F128" s="399">
        <v>0.3</v>
      </c>
      <c r="G128" s="399">
        <v>0.3</v>
      </c>
      <c r="H128" s="400">
        <v>4</v>
      </c>
      <c r="I128" s="401">
        <v>1</v>
      </c>
      <c r="J128" s="401">
        <v>0.8</v>
      </c>
      <c r="K128" s="401">
        <v>1.05</v>
      </c>
      <c r="L128" s="401">
        <v>1.3</v>
      </c>
      <c r="M128" s="401">
        <v>0</v>
      </c>
      <c r="N128" s="401">
        <v>0</v>
      </c>
      <c r="O128" s="391"/>
      <c r="P128" s="402"/>
      <c r="Q128" s="403" t="s">
        <v>60</v>
      </c>
      <c r="R128" s="402"/>
      <c r="S128" s="402"/>
      <c r="T128" s="303"/>
      <c r="U128" s="303"/>
      <c r="V128" s="303"/>
      <c r="W128" s="303"/>
      <c r="X128" s="303"/>
      <c r="Y128" s="303"/>
      <c r="Z128" s="303"/>
      <c r="AA128" s="303"/>
      <c r="AB128" s="303"/>
      <c r="AC128" s="303"/>
      <c r="AD128" s="303"/>
      <c r="AE128" s="303"/>
      <c r="AF128" s="303"/>
      <c r="AG128" s="303"/>
      <c r="AH128" s="303"/>
      <c r="AI128" s="303"/>
      <c r="AJ128" s="303"/>
      <c r="AK128" s="303"/>
      <c r="AL128" s="303"/>
      <c r="AM128" s="303"/>
      <c r="AN128" s="303"/>
      <c r="AO128" s="303"/>
      <c r="AP128" s="303"/>
      <c r="AQ128" s="303"/>
      <c r="AR128" s="303"/>
      <c r="AS128" s="303"/>
      <c r="AT128" s="303"/>
      <c r="AU128" s="303"/>
      <c r="AV128" s="303"/>
      <c r="AW128" s="303"/>
      <c r="AX128" s="303"/>
      <c r="AY128" s="303"/>
      <c r="AZ128" s="303"/>
      <c r="BA128" s="303"/>
      <c r="BB128" s="303"/>
      <c r="BC128" s="303"/>
      <c r="BD128" s="303"/>
      <c r="BE128" s="303"/>
      <c r="BF128" s="303"/>
      <c r="BG128" s="303"/>
      <c r="BH128" s="303"/>
      <c r="BI128" s="303"/>
      <c r="BJ128" s="303"/>
      <c r="BK128" s="303"/>
      <c r="BL128" s="303"/>
      <c r="BM128" s="303"/>
      <c r="BN128" s="303"/>
      <c r="BO128" s="303"/>
      <c r="BP128" s="303"/>
      <c r="BQ128" s="303"/>
      <c r="BR128" s="303"/>
    </row>
    <row r="129" spans="1:70" s="301" customFormat="1" hidden="1">
      <c r="A129" s="38"/>
      <c r="B129" s="512" t="s">
        <v>585</v>
      </c>
      <c r="C129" s="391" t="s">
        <v>410</v>
      </c>
      <c r="D129" s="398" t="s">
        <v>68</v>
      </c>
      <c r="E129" s="399">
        <v>0.5</v>
      </c>
      <c r="F129" s="399">
        <v>0.3</v>
      </c>
      <c r="G129" s="399">
        <v>0.3</v>
      </c>
      <c r="H129" s="400">
        <v>4</v>
      </c>
      <c r="I129" s="401">
        <v>1</v>
      </c>
      <c r="J129" s="401">
        <f t="shared" ref="J129:J135" si="0">cutoff</f>
        <v>0.8</v>
      </c>
      <c r="K129" s="401">
        <v>1.05</v>
      </c>
      <c r="L129" s="401">
        <v>1.3</v>
      </c>
      <c r="M129" s="401">
        <v>0</v>
      </c>
      <c r="N129" s="401">
        <v>0</v>
      </c>
      <c r="O129" s="391"/>
      <c r="P129" s="404" t="s">
        <v>58</v>
      </c>
      <c r="Q129" s="402" t="s">
        <v>57</v>
      </c>
      <c r="R129" s="402"/>
      <c r="S129" s="402"/>
      <c r="T129" s="303"/>
      <c r="U129" s="303"/>
      <c r="V129" s="303"/>
      <c r="W129" s="303"/>
      <c r="X129" s="303"/>
      <c r="Y129" s="303"/>
      <c r="Z129" s="303"/>
      <c r="AA129" s="303"/>
      <c r="AB129" s="303"/>
      <c r="AC129" s="303"/>
      <c r="AD129" s="303"/>
      <c r="AE129" s="303"/>
      <c r="AF129" s="303"/>
      <c r="AG129" s="303"/>
      <c r="AH129" s="303"/>
      <c r="AI129" s="303"/>
      <c r="AJ129" s="303"/>
      <c r="AK129" s="303"/>
      <c r="AL129" s="303"/>
      <c r="AM129" s="303"/>
      <c r="AN129" s="303"/>
      <c r="AO129" s="303"/>
      <c r="AP129" s="303"/>
      <c r="AQ129" s="303"/>
      <c r="AR129" s="303"/>
      <c r="AS129" s="303"/>
      <c r="AT129" s="303"/>
      <c r="AU129" s="303"/>
      <c r="AV129" s="303"/>
      <c r="AW129" s="303"/>
      <c r="AX129" s="303"/>
      <c r="AY129" s="303"/>
      <c r="AZ129" s="303"/>
      <c r="BA129" s="303"/>
      <c r="BB129" s="303"/>
      <c r="BC129" s="303"/>
      <c r="BD129" s="303"/>
      <c r="BE129" s="303"/>
      <c r="BF129" s="303"/>
      <c r="BG129" s="303"/>
      <c r="BH129" s="303"/>
      <c r="BI129" s="303"/>
      <c r="BJ129" s="303"/>
      <c r="BK129" s="303"/>
      <c r="BL129" s="303"/>
      <c r="BM129" s="303"/>
      <c r="BN129" s="303"/>
      <c r="BO129" s="303"/>
      <c r="BP129" s="303"/>
      <c r="BQ129" s="303"/>
      <c r="BR129" s="303"/>
    </row>
    <row r="130" spans="1:70" s="301" customFormat="1" hidden="1">
      <c r="A130" s="38"/>
      <c r="B130" s="512" t="s">
        <v>586</v>
      </c>
      <c r="C130" s="391" t="s">
        <v>410</v>
      </c>
      <c r="D130" s="398" t="s">
        <v>434</v>
      </c>
      <c r="E130" s="399">
        <v>0.5</v>
      </c>
      <c r="F130" s="399">
        <v>0.3</v>
      </c>
      <c r="G130" s="399">
        <v>0.3</v>
      </c>
      <c r="H130" s="400">
        <v>3.5</v>
      </c>
      <c r="I130" s="401">
        <v>1</v>
      </c>
      <c r="J130" s="401">
        <f t="shared" si="0"/>
        <v>0.8</v>
      </c>
      <c r="K130" s="401">
        <v>1.05</v>
      </c>
      <c r="L130" s="401">
        <v>1.3</v>
      </c>
      <c r="M130" s="401">
        <v>0</v>
      </c>
      <c r="N130" s="401">
        <v>0</v>
      </c>
      <c r="O130" s="303"/>
      <c r="P130" s="405" t="s">
        <v>56</v>
      </c>
      <c r="Q130" s="406" t="s">
        <v>55</v>
      </c>
      <c r="R130" s="406"/>
      <c r="S130" s="402"/>
      <c r="T130" s="303"/>
      <c r="U130" s="303"/>
      <c r="V130" s="303"/>
      <c r="W130" s="303"/>
      <c r="X130" s="303"/>
      <c r="Y130" s="303"/>
      <c r="Z130" s="303"/>
      <c r="AA130" s="303"/>
      <c r="AB130" s="303"/>
      <c r="AC130" s="303"/>
      <c r="AD130" s="303"/>
      <c r="AE130" s="303"/>
      <c r="AF130" s="303"/>
      <c r="AG130" s="303"/>
      <c r="AH130" s="303"/>
      <c r="AI130" s="303"/>
      <c r="AJ130" s="303"/>
      <c r="AK130" s="303"/>
      <c r="AL130" s="303"/>
      <c r="AM130" s="303"/>
      <c r="AN130" s="303"/>
      <c r="AO130" s="303"/>
      <c r="AP130" s="303"/>
      <c r="AQ130" s="303"/>
      <c r="AR130" s="303"/>
      <c r="AS130" s="303"/>
      <c r="AT130" s="303"/>
      <c r="AU130" s="303"/>
      <c r="AV130" s="303"/>
      <c r="AW130" s="303"/>
      <c r="AX130" s="303"/>
      <c r="AY130" s="303"/>
      <c r="AZ130" s="303"/>
      <c r="BA130" s="303"/>
      <c r="BB130" s="303"/>
      <c r="BC130" s="303"/>
      <c r="BD130" s="303"/>
      <c r="BE130" s="303"/>
      <c r="BF130" s="303"/>
      <c r="BG130" s="303"/>
      <c r="BH130" s="303"/>
      <c r="BI130" s="303"/>
      <c r="BJ130" s="303"/>
      <c r="BK130" s="303"/>
      <c r="BL130" s="303"/>
      <c r="BM130" s="303"/>
      <c r="BN130" s="303"/>
      <c r="BO130" s="303"/>
      <c r="BP130" s="303"/>
      <c r="BQ130" s="303"/>
      <c r="BR130" s="303"/>
    </row>
    <row r="131" spans="1:70" s="301" customFormat="1" hidden="1">
      <c r="A131" s="38"/>
      <c r="B131" s="512" t="s">
        <v>587</v>
      </c>
      <c r="C131" s="391" t="s">
        <v>410</v>
      </c>
      <c r="D131" s="398" t="s">
        <v>435</v>
      </c>
      <c r="E131" s="399">
        <v>0.5</v>
      </c>
      <c r="F131" s="399">
        <v>0.3</v>
      </c>
      <c r="G131" s="399">
        <v>0.3</v>
      </c>
      <c r="H131" s="400">
        <v>3.5</v>
      </c>
      <c r="I131" s="401">
        <v>1</v>
      </c>
      <c r="J131" s="401">
        <f t="shared" si="0"/>
        <v>0.8</v>
      </c>
      <c r="K131" s="401">
        <v>1.05</v>
      </c>
      <c r="L131" s="401">
        <v>1.3</v>
      </c>
      <c r="M131" s="401">
        <v>0</v>
      </c>
      <c r="N131" s="401">
        <v>0</v>
      </c>
      <c r="O131" s="303"/>
      <c r="P131" s="405" t="s">
        <v>54</v>
      </c>
      <c r="Q131" s="407" t="s">
        <v>53</v>
      </c>
      <c r="R131" s="407"/>
      <c r="S131" s="402"/>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303"/>
      <c r="BG131" s="303"/>
      <c r="BH131" s="303"/>
      <c r="BI131" s="303"/>
      <c r="BJ131" s="303"/>
      <c r="BK131" s="303"/>
      <c r="BL131" s="303"/>
      <c r="BM131" s="303"/>
      <c r="BN131" s="303"/>
      <c r="BO131" s="303"/>
      <c r="BP131" s="303"/>
      <c r="BQ131" s="303"/>
      <c r="BR131" s="303"/>
    </row>
    <row r="132" spans="1:70" s="301" customFormat="1" hidden="1">
      <c r="A132" s="38"/>
      <c r="B132" s="512" t="s">
        <v>588</v>
      </c>
      <c r="C132" s="391" t="s">
        <v>410</v>
      </c>
      <c r="D132" s="398" t="s">
        <v>436</v>
      </c>
      <c r="E132" s="399">
        <v>0.5</v>
      </c>
      <c r="F132" s="399">
        <v>0.3</v>
      </c>
      <c r="G132" s="399">
        <v>0.3</v>
      </c>
      <c r="H132" s="400">
        <v>3.5</v>
      </c>
      <c r="I132" s="401">
        <v>1</v>
      </c>
      <c r="J132" s="401">
        <f t="shared" si="0"/>
        <v>0.8</v>
      </c>
      <c r="K132" s="401">
        <v>1.05</v>
      </c>
      <c r="L132" s="401">
        <v>1.3</v>
      </c>
      <c r="M132" s="401">
        <v>0</v>
      </c>
      <c r="N132" s="401">
        <v>0</v>
      </c>
      <c r="O132" s="303"/>
      <c r="P132" s="405"/>
      <c r="Q132" s="407"/>
      <c r="R132" s="407"/>
      <c r="S132" s="402"/>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c r="AS132" s="303"/>
      <c r="AT132" s="303"/>
      <c r="AU132" s="303"/>
      <c r="AV132" s="303"/>
      <c r="AW132" s="303"/>
      <c r="AX132" s="303"/>
      <c r="AY132" s="303"/>
      <c r="AZ132" s="303"/>
      <c r="BA132" s="303"/>
      <c r="BB132" s="303"/>
      <c r="BC132" s="303"/>
      <c r="BD132" s="303"/>
      <c r="BE132" s="303"/>
      <c r="BF132" s="303"/>
      <c r="BG132" s="303"/>
      <c r="BH132" s="303"/>
      <c r="BI132" s="303"/>
      <c r="BJ132" s="303"/>
      <c r="BK132" s="303"/>
      <c r="BL132" s="303"/>
      <c r="BM132" s="303"/>
      <c r="BN132" s="303"/>
      <c r="BO132" s="303"/>
      <c r="BP132" s="303"/>
      <c r="BQ132" s="303"/>
      <c r="BR132" s="303"/>
    </row>
    <row r="133" spans="1:70" s="301" customFormat="1" hidden="1">
      <c r="A133" s="38"/>
      <c r="B133" s="512" t="s">
        <v>589</v>
      </c>
      <c r="C133" s="391" t="s">
        <v>410</v>
      </c>
      <c r="D133" s="398" t="s">
        <v>437</v>
      </c>
      <c r="E133" s="399">
        <v>0.5</v>
      </c>
      <c r="F133" s="399">
        <v>0.3</v>
      </c>
      <c r="G133" s="399">
        <v>0.3</v>
      </c>
      <c r="H133" s="400">
        <v>3.5</v>
      </c>
      <c r="I133" s="401">
        <v>1</v>
      </c>
      <c r="J133" s="401">
        <f t="shared" si="0"/>
        <v>0.8</v>
      </c>
      <c r="K133" s="401">
        <v>1.05</v>
      </c>
      <c r="L133" s="401">
        <v>1.3</v>
      </c>
      <c r="M133" s="401">
        <v>0</v>
      </c>
      <c r="N133" s="401">
        <v>0</v>
      </c>
      <c r="O133" s="303"/>
      <c r="P133" s="405"/>
      <c r="Q133" s="407"/>
      <c r="R133" s="407"/>
      <c r="S133" s="402"/>
      <c r="T133" s="303"/>
      <c r="U133" s="303"/>
      <c r="V133" s="303"/>
      <c r="W133" s="303"/>
      <c r="X133" s="303"/>
      <c r="Y133" s="303"/>
      <c r="Z133" s="303"/>
      <c r="AA133" s="303"/>
      <c r="AB133" s="303"/>
      <c r="AC133" s="303"/>
      <c r="AD133" s="303"/>
      <c r="AE133" s="303"/>
      <c r="AF133" s="303"/>
      <c r="AG133" s="303"/>
      <c r="AH133" s="303"/>
      <c r="AI133" s="303"/>
      <c r="AJ133" s="303"/>
      <c r="AK133" s="303"/>
      <c r="AL133" s="303"/>
      <c r="AM133" s="303"/>
      <c r="AN133" s="303"/>
      <c r="AO133" s="303"/>
      <c r="AP133" s="303"/>
      <c r="AQ133" s="303"/>
      <c r="AR133" s="303"/>
      <c r="AS133" s="303"/>
      <c r="AT133" s="303"/>
      <c r="AU133" s="303"/>
      <c r="AV133" s="303"/>
      <c r="AW133" s="303"/>
      <c r="AX133" s="303"/>
      <c r="AY133" s="303"/>
      <c r="AZ133" s="303"/>
      <c r="BA133" s="303"/>
      <c r="BB133" s="303"/>
      <c r="BC133" s="303"/>
      <c r="BD133" s="303"/>
      <c r="BE133" s="303"/>
      <c r="BF133" s="303"/>
      <c r="BG133" s="303"/>
      <c r="BH133" s="303"/>
      <c r="BI133" s="303"/>
      <c r="BJ133" s="303"/>
      <c r="BK133" s="303"/>
      <c r="BL133" s="303"/>
      <c r="BM133" s="303"/>
      <c r="BN133" s="303"/>
      <c r="BO133" s="303"/>
      <c r="BP133" s="303"/>
      <c r="BQ133" s="303"/>
      <c r="BR133" s="303"/>
    </row>
    <row r="134" spans="1:70" s="301" customFormat="1" hidden="1">
      <c r="A134" s="38"/>
      <c r="B134" s="512" t="s">
        <v>590</v>
      </c>
      <c r="C134" s="391" t="s">
        <v>411</v>
      </c>
      <c r="D134" s="398" t="s">
        <v>69</v>
      </c>
      <c r="E134" s="399">
        <v>0.56000000000000005</v>
      </c>
      <c r="F134" s="399">
        <v>0.24</v>
      </c>
      <c r="G134" s="399">
        <v>0.26</v>
      </c>
      <c r="H134" s="400">
        <v>1.25</v>
      </c>
      <c r="I134" s="401">
        <v>124</v>
      </c>
      <c r="J134" s="401">
        <f t="shared" si="0"/>
        <v>0.8</v>
      </c>
      <c r="K134" s="401">
        <v>130.80000000000001</v>
      </c>
      <c r="L134" s="401">
        <v>160.5</v>
      </c>
      <c r="M134" s="401" t="s">
        <v>349</v>
      </c>
      <c r="N134" s="401">
        <v>16</v>
      </c>
      <c r="O134" s="689"/>
      <c r="P134" s="405"/>
      <c r="Q134" s="407"/>
      <c r="R134" s="407"/>
      <c r="S134" s="402"/>
      <c r="T134" s="303"/>
      <c r="U134" s="303"/>
      <c r="V134" s="303"/>
      <c r="W134" s="303"/>
      <c r="X134" s="303"/>
      <c r="Y134" s="303"/>
      <c r="Z134" s="303"/>
      <c r="AA134" s="303"/>
      <c r="AB134" s="303"/>
      <c r="AC134" s="303"/>
      <c r="AD134" s="303"/>
      <c r="AE134" s="303"/>
      <c r="AF134" s="303"/>
      <c r="AG134" s="303"/>
      <c r="AH134" s="303"/>
      <c r="AI134" s="303"/>
      <c r="AJ134" s="303"/>
      <c r="AK134" s="303"/>
      <c r="AL134" s="303"/>
      <c r="AM134" s="303"/>
      <c r="AN134" s="303"/>
      <c r="AO134" s="303"/>
      <c r="AP134" s="303"/>
      <c r="AQ134" s="303"/>
      <c r="AR134" s="303"/>
      <c r="AS134" s="303"/>
      <c r="AT134" s="303"/>
      <c r="AU134" s="303"/>
      <c r="AV134" s="303"/>
      <c r="AW134" s="303"/>
      <c r="AX134" s="303"/>
      <c r="AY134" s="303"/>
      <c r="AZ134" s="303"/>
      <c r="BA134" s="303"/>
      <c r="BB134" s="303"/>
      <c r="BC134" s="303"/>
      <c r="BD134" s="303"/>
      <c r="BE134" s="303"/>
      <c r="BF134" s="303"/>
      <c r="BG134" s="303"/>
      <c r="BH134" s="303"/>
      <c r="BI134" s="303"/>
      <c r="BJ134" s="303"/>
      <c r="BK134" s="303"/>
      <c r="BL134" s="303"/>
      <c r="BM134" s="303"/>
      <c r="BN134" s="303"/>
      <c r="BO134" s="303"/>
      <c r="BP134" s="303"/>
      <c r="BQ134" s="303"/>
      <c r="BR134" s="303"/>
    </row>
    <row r="135" spans="1:70" s="301" customFormat="1" hidden="1">
      <c r="A135" s="38"/>
      <c r="B135" s="512" t="s">
        <v>591</v>
      </c>
      <c r="C135" s="391" t="s">
        <v>411</v>
      </c>
      <c r="D135" s="398" t="s">
        <v>68</v>
      </c>
      <c r="E135" s="399">
        <v>0.56000000000000005</v>
      </c>
      <c r="F135" s="399">
        <v>0.24</v>
      </c>
      <c r="G135" s="399">
        <v>0.26</v>
      </c>
      <c r="H135" s="400">
        <v>1.28</v>
      </c>
      <c r="I135" s="401">
        <v>124</v>
      </c>
      <c r="J135" s="401">
        <f t="shared" si="0"/>
        <v>0.8</v>
      </c>
      <c r="K135" s="401">
        <v>130.80000000000001</v>
      </c>
      <c r="L135" s="401">
        <v>160.5</v>
      </c>
      <c r="M135" s="401">
        <v>23.3</v>
      </c>
      <c r="N135" s="401">
        <v>16</v>
      </c>
      <c r="O135" s="689"/>
      <c r="P135" s="405"/>
      <c r="Q135" s="407"/>
      <c r="R135" s="407"/>
      <c r="S135" s="402"/>
      <c r="T135" s="303"/>
      <c r="U135" s="303"/>
      <c r="V135" s="303"/>
      <c r="W135" s="303"/>
      <c r="X135" s="303"/>
      <c r="Y135" s="303"/>
      <c r="Z135" s="303"/>
      <c r="AA135" s="303"/>
      <c r="AB135" s="303"/>
      <c r="AC135" s="303"/>
      <c r="AD135" s="303"/>
      <c r="AE135" s="303"/>
      <c r="AF135" s="303"/>
      <c r="AG135" s="303"/>
      <c r="AH135" s="303"/>
      <c r="AI135" s="303"/>
      <c r="AJ135" s="303"/>
      <c r="AK135" s="303"/>
      <c r="AL135" s="303"/>
      <c r="AM135" s="303"/>
      <c r="AN135" s="303"/>
      <c r="AO135" s="303"/>
      <c r="AP135" s="303"/>
      <c r="AQ135" s="303"/>
      <c r="AR135" s="303"/>
      <c r="AS135" s="303"/>
      <c r="AT135" s="303"/>
      <c r="AU135" s="303"/>
      <c r="AV135" s="303"/>
      <c r="AW135" s="303"/>
      <c r="AX135" s="303"/>
      <c r="AY135" s="303"/>
      <c r="AZ135" s="303"/>
      <c r="BA135" s="303"/>
      <c r="BB135" s="303"/>
      <c r="BC135" s="303"/>
      <c r="BD135" s="303"/>
      <c r="BE135" s="303"/>
      <c r="BF135" s="303"/>
      <c r="BG135" s="303"/>
      <c r="BH135" s="303"/>
      <c r="BI135" s="303"/>
      <c r="BJ135" s="303"/>
      <c r="BK135" s="303"/>
      <c r="BL135" s="303"/>
      <c r="BM135" s="303"/>
      <c r="BN135" s="303"/>
      <c r="BO135" s="303"/>
      <c r="BP135" s="303"/>
      <c r="BQ135" s="303"/>
      <c r="BR135" s="303"/>
    </row>
    <row r="136" spans="1:70" s="301" customFormat="1" hidden="1">
      <c r="A136" s="38"/>
      <c r="B136" s="512" t="s">
        <v>592</v>
      </c>
      <c r="C136" s="391" t="s">
        <v>410</v>
      </c>
      <c r="D136" s="398" t="s">
        <v>447</v>
      </c>
      <c r="E136" s="399">
        <f>AVERAGE(E128:E135)</f>
        <v>0.52249999999999996</v>
      </c>
      <c r="F136" s="399">
        <f>AVERAGE(F128:F135)</f>
        <v>0.28500000000000003</v>
      </c>
      <c r="G136" s="399">
        <f>AVERAGE(G128:G135)</f>
        <v>0.29000000000000004</v>
      </c>
      <c r="H136" s="400">
        <f>MIN(H128:H135)</f>
        <v>1.25</v>
      </c>
      <c r="I136" s="401">
        <v>1</v>
      </c>
      <c r="J136" s="401">
        <v>1</v>
      </c>
      <c r="K136" s="401">
        <v>1.05</v>
      </c>
      <c r="L136" s="401">
        <v>1.3</v>
      </c>
      <c r="M136" s="401">
        <v>0</v>
      </c>
      <c r="N136" s="401">
        <v>0</v>
      </c>
      <c r="O136" s="689"/>
      <c r="P136" s="405"/>
      <c r="Q136" s="407"/>
      <c r="R136" s="407"/>
      <c r="S136" s="402"/>
      <c r="T136" s="303"/>
      <c r="U136" s="303"/>
      <c r="V136" s="303"/>
      <c r="W136" s="303"/>
      <c r="X136" s="303"/>
      <c r="Y136" s="303"/>
      <c r="Z136" s="303"/>
      <c r="AA136" s="303"/>
      <c r="AB136" s="303"/>
      <c r="AC136" s="303"/>
      <c r="AD136" s="303"/>
      <c r="AE136" s="303"/>
      <c r="AF136" s="303"/>
      <c r="AG136" s="303"/>
      <c r="AH136" s="303"/>
      <c r="AI136" s="303"/>
      <c r="AJ136" s="303"/>
      <c r="AK136" s="303"/>
      <c r="AL136" s="303"/>
      <c r="AM136" s="303"/>
      <c r="AN136" s="303"/>
      <c r="AO136" s="303"/>
      <c r="AP136" s="303"/>
      <c r="AQ136" s="303"/>
      <c r="AR136" s="303"/>
      <c r="AS136" s="303"/>
      <c r="AT136" s="303"/>
      <c r="AU136" s="303"/>
      <c r="AV136" s="303"/>
      <c r="AW136" s="303"/>
      <c r="AX136" s="303"/>
      <c r="AY136" s="303"/>
      <c r="AZ136" s="303"/>
      <c r="BA136" s="303"/>
      <c r="BB136" s="303"/>
      <c r="BC136" s="303"/>
      <c r="BD136" s="303"/>
      <c r="BE136" s="303"/>
      <c r="BF136" s="303"/>
      <c r="BG136" s="303"/>
      <c r="BH136" s="303"/>
      <c r="BI136" s="303"/>
      <c r="BJ136" s="303"/>
      <c r="BK136" s="303"/>
      <c r="BL136" s="303"/>
      <c r="BM136" s="303"/>
      <c r="BN136" s="303"/>
      <c r="BO136" s="303"/>
      <c r="BP136" s="303"/>
      <c r="BQ136" s="303"/>
      <c r="BR136" s="303"/>
    </row>
    <row r="137" spans="1:70" s="301" customFormat="1" hidden="1">
      <c r="A137" s="38"/>
      <c r="B137" s="303"/>
      <c r="C137" s="360"/>
      <c r="D137" s="391"/>
      <c r="E137" s="391"/>
      <c r="F137" s="391"/>
      <c r="G137" s="391"/>
      <c r="H137" s="391"/>
      <c r="I137" s="391"/>
      <c r="J137" s="391"/>
      <c r="K137" s="391"/>
      <c r="L137" s="391"/>
      <c r="M137" s="391"/>
      <c r="N137" s="391"/>
      <c r="O137" s="391"/>
      <c r="P137" s="405" t="s">
        <v>52</v>
      </c>
      <c r="Q137" s="406" t="s">
        <v>51</v>
      </c>
      <c r="R137" s="407"/>
      <c r="S137" s="402"/>
      <c r="T137" s="303"/>
      <c r="U137" s="303"/>
      <c r="V137" s="303"/>
      <c r="W137" s="303"/>
      <c r="X137" s="303"/>
      <c r="Y137" s="303"/>
      <c r="Z137" s="303"/>
      <c r="AA137" s="303"/>
      <c r="AB137" s="303"/>
      <c r="AC137" s="303"/>
      <c r="AD137" s="303"/>
      <c r="AE137" s="303"/>
      <c r="AF137" s="303"/>
      <c r="AG137" s="303"/>
      <c r="AH137" s="303"/>
      <c r="AI137" s="303"/>
      <c r="AJ137" s="303"/>
      <c r="AK137" s="303"/>
      <c r="AL137" s="303"/>
      <c r="AM137" s="303"/>
      <c r="AN137" s="303"/>
      <c r="AO137" s="303"/>
      <c r="AP137" s="303"/>
      <c r="AQ137" s="303"/>
      <c r="AR137" s="303"/>
      <c r="AS137" s="303"/>
      <c r="AT137" s="303"/>
      <c r="AU137" s="303"/>
      <c r="AV137" s="303"/>
      <c r="AW137" s="303"/>
      <c r="AX137" s="303"/>
      <c r="AY137" s="303"/>
      <c r="AZ137" s="303"/>
      <c r="BA137" s="303"/>
      <c r="BB137" s="303"/>
      <c r="BC137" s="303"/>
      <c r="BD137" s="303"/>
      <c r="BE137" s="303"/>
      <c r="BF137" s="303"/>
      <c r="BG137" s="303"/>
      <c r="BH137" s="303"/>
      <c r="BI137" s="303"/>
      <c r="BJ137" s="303"/>
      <c r="BK137" s="303"/>
      <c r="BL137" s="303"/>
      <c r="BM137" s="303"/>
      <c r="BN137" s="303"/>
      <c r="BO137" s="303"/>
      <c r="BP137" s="303"/>
      <c r="BQ137" s="303"/>
      <c r="BR137" s="303"/>
    </row>
    <row r="138" spans="1:70" s="303" customFormat="1" ht="11.25" hidden="1">
      <c r="A138" s="408"/>
      <c r="C138" s="391"/>
      <c r="E138" s="360"/>
      <c r="H138" s="306"/>
      <c r="I138" s="306"/>
      <c r="J138" s="409"/>
      <c r="K138" s="391"/>
      <c r="L138" s="391"/>
    </row>
    <row r="139" spans="1:70" s="303" customFormat="1" ht="11.25" hidden="1">
      <c r="A139" s="408"/>
      <c r="C139" s="391"/>
      <c r="E139" s="360"/>
      <c r="H139" s="306"/>
      <c r="I139" s="306"/>
      <c r="J139" s="409"/>
      <c r="K139" s="391"/>
    </row>
    <row r="140" spans="1:70" s="303" customFormat="1" ht="15.75" hidden="1">
      <c r="A140" s="663">
        <v>5</v>
      </c>
      <c r="B140" s="1457" t="s">
        <v>431</v>
      </c>
      <c r="C140" s="1457"/>
      <c r="D140" s="1457"/>
      <c r="E140" s="1457"/>
      <c r="F140" s="1457"/>
      <c r="G140" s="1457"/>
      <c r="H140" s="306"/>
      <c r="I140" s="306"/>
      <c r="J140" s="409"/>
      <c r="K140" s="391"/>
      <c r="L140" s="391"/>
      <c r="N140" s="417"/>
      <c r="P140" s="417"/>
    </row>
    <row r="141" spans="1:70" s="303" customFormat="1" ht="11.25" hidden="1">
      <c r="A141" s="416"/>
      <c r="C141" s="391"/>
      <c r="D141" s="332"/>
      <c r="E141" s="360"/>
      <c r="H141" s="306"/>
      <c r="I141" s="306"/>
      <c r="J141" s="409"/>
      <c r="K141" s="391"/>
      <c r="L141" s="391"/>
      <c r="N141" s="417"/>
      <c r="P141" s="417"/>
    </row>
    <row r="142" spans="1:70" s="303" customFormat="1" ht="11.25" hidden="1">
      <c r="A142" s="416"/>
      <c r="B142" s="385"/>
      <c r="C142" s="388"/>
      <c r="D142" s="418"/>
      <c r="E142" s="419" t="s">
        <v>35</v>
      </c>
      <c r="F142" s="420"/>
      <c r="G142" s="421"/>
      <c r="H142" s="418"/>
      <c r="I142" s="419" t="s">
        <v>34</v>
      </c>
      <c r="J142" s="420"/>
      <c r="K142" s="421"/>
      <c r="L142" s="418"/>
      <c r="M142" s="419" t="s">
        <v>33</v>
      </c>
      <c r="N142" s="422"/>
      <c r="O142" s="421"/>
      <c r="P142" s="417"/>
    </row>
    <row r="143" spans="1:70" s="303" customFormat="1" ht="11.25" hidden="1">
      <c r="A143" s="416"/>
      <c r="B143" s="385"/>
      <c r="C143" s="423" t="s">
        <v>61</v>
      </c>
      <c r="D143" s="424">
        <f>SUM(D146:D156)</f>
        <v>1</v>
      </c>
      <c r="E143" s="425">
        <f>H24</f>
        <v>100514.72914560002</v>
      </c>
      <c r="F143" s="426"/>
      <c r="G143" s="427"/>
      <c r="H143" s="424">
        <f>SUM(H146:H156)</f>
        <v>1</v>
      </c>
      <c r="I143" s="425">
        <f>I24</f>
        <v>106999.55038080004</v>
      </c>
      <c r="J143" s="426"/>
      <c r="K143" s="427"/>
      <c r="L143" s="424">
        <f>SUM(L146:L156)</f>
        <v>1</v>
      </c>
      <c r="M143" s="425">
        <f>J24</f>
        <v>110583.26737920001</v>
      </c>
      <c r="N143" s="428"/>
      <c r="O143" s="427"/>
      <c r="P143" s="417"/>
    </row>
    <row r="144" spans="1:70" s="303" customFormat="1" ht="11.25" hidden="1">
      <c r="A144" s="416"/>
      <c r="B144" s="385"/>
      <c r="C144" s="426" t="s">
        <v>62</v>
      </c>
      <c r="D144" s="429"/>
      <c r="E144" s="427"/>
      <c r="F144" s="430">
        <f>SUM(F146:F156)</f>
        <v>1</v>
      </c>
      <c r="G144" s="431">
        <f>H27</f>
        <v>163997.71597440002</v>
      </c>
      <c r="H144" s="429"/>
      <c r="I144" s="427"/>
      <c r="J144" s="430">
        <f>SUM(J146:J156)</f>
        <v>1</v>
      </c>
      <c r="K144" s="431">
        <f>I27</f>
        <v>174578.21377920004</v>
      </c>
      <c r="L144" s="429"/>
      <c r="M144" s="427"/>
      <c r="N144" s="430">
        <f>SUM(N146:N156)</f>
        <v>1</v>
      </c>
      <c r="O144" s="431">
        <f>J27</f>
        <v>196592.47534080004</v>
      </c>
      <c r="P144" s="417"/>
    </row>
    <row r="145" spans="1:48" s="303" customFormat="1" ht="11.25" hidden="1">
      <c r="A145" s="416"/>
      <c r="B145" s="357" t="s">
        <v>66</v>
      </c>
      <c r="C145" s="392" t="s">
        <v>432</v>
      </c>
      <c r="D145" s="432"/>
      <c r="E145" s="396"/>
      <c r="F145" s="357"/>
      <c r="G145" s="433"/>
      <c r="H145" s="432"/>
      <c r="I145" s="396"/>
      <c r="J145" s="357"/>
      <c r="K145" s="433"/>
      <c r="L145" s="432"/>
      <c r="M145" s="396"/>
      <c r="N145" s="434"/>
      <c r="O145" s="433"/>
      <c r="P145" s="417"/>
    </row>
    <row r="146" spans="1:48" s="303" customFormat="1" ht="11.25" hidden="1">
      <c r="A146" s="416"/>
      <c r="B146" s="303" t="str">
        <f>B128</f>
        <v>BR01-01</v>
      </c>
      <c r="C146" s="391" t="s">
        <v>410</v>
      </c>
      <c r="D146" s="758">
        <v>0.23</v>
      </c>
      <c r="E146" s="690">
        <f>E143*D146</f>
        <v>23118.387703488006</v>
      </c>
      <c r="F146" s="360"/>
      <c r="G146" s="691"/>
      <c r="H146" s="758">
        <v>0.24</v>
      </c>
      <c r="I146" s="690">
        <f>$I$143*H146</f>
        <v>25679.892091392008</v>
      </c>
      <c r="J146" s="360"/>
      <c r="K146" s="691"/>
      <c r="L146" s="758">
        <v>0.23</v>
      </c>
      <c r="M146" s="690">
        <f>M143*L146</f>
        <v>25434.151497216004</v>
      </c>
      <c r="N146" s="417"/>
      <c r="O146" s="691"/>
      <c r="P146" s="417"/>
    </row>
    <row r="147" spans="1:48" s="303" customFormat="1" ht="11.25" hidden="1">
      <c r="A147" s="416"/>
      <c r="B147" s="303" t="str">
        <f t="shared" ref="B147:B154" si="1">B129</f>
        <v>BR01-02</v>
      </c>
      <c r="C147" s="391" t="s">
        <v>410</v>
      </c>
      <c r="D147" s="758">
        <v>0.25</v>
      </c>
      <c r="E147" s="690">
        <f>E143*D147</f>
        <v>25128.682286400006</v>
      </c>
      <c r="F147" s="360"/>
      <c r="G147" s="691"/>
      <c r="H147" s="758">
        <v>0.23</v>
      </c>
      <c r="I147" s="690">
        <f>I143*H147</f>
        <v>24609.896587584008</v>
      </c>
      <c r="J147" s="360"/>
      <c r="K147" s="691"/>
      <c r="L147" s="758">
        <v>0.22</v>
      </c>
      <c r="M147" s="690">
        <f>M143*L147</f>
        <v>24328.318823424004</v>
      </c>
      <c r="N147" s="417"/>
      <c r="O147" s="691"/>
      <c r="P147" s="417"/>
    </row>
    <row r="148" spans="1:48" s="303" customFormat="1" ht="11.25" hidden="1">
      <c r="A148" s="416"/>
      <c r="B148" s="303" t="str">
        <f t="shared" si="1"/>
        <v>BR01-03</v>
      </c>
      <c r="C148" s="391" t="s">
        <v>410</v>
      </c>
      <c r="D148" s="758">
        <v>0.14000000000000001</v>
      </c>
      <c r="E148" s="690">
        <f>E143*D148</f>
        <v>14072.062080384005</v>
      </c>
      <c r="F148" s="360"/>
      <c r="G148" s="691"/>
      <c r="H148" s="758">
        <v>0.14000000000000001</v>
      </c>
      <c r="I148" s="690">
        <f>I143*H148</f>
        <v>14979.937053312007</v>
      </c>
      <c r="J148" s="360"/>
      <c r="K148" s="691"/>
      <c r="L148" s="758">
        <v>0.15</v>
      </c>
      <c r="M148" s="690">
        <f>M143*L148</f>
        <v>16587.490106880003</v>
      </c>
      <c r="N148" s="417"/>
      <c r="O148" s="691"/>
      <c r="P148" s="417"/>
    </row>
    <row r="149" spans="1:48" s="303" customFormat="1" ht="11.25" hidden="1">
      <c r="A149" s="416"/>
      <c r="B149" s="303" t="str">
        <f t="shared" si="1"/>
        <v>BR01-04</v>
      </c>
      <c r="C149" s="391" t="s">
        <v>410</v>
      </c>
      <c r="D149" s="758">
        <v>0.12</v>
      </c>
      <c r="E149" s="690">
        <f>E143*D149</f>
        <v>12061.767497472003</v>
      </c>
      <c r="F149" s="360"/>
      <c r="G149" s="691"/>
      <c r="H149" s="758">
        <v>0.13</v>
      </c>
      <c r="I149" s="690">
        <f>I143*H149</f>
        <v>13909.941549504005</v>
      </c>
      <c r="J149" s="360"/>
      <c r="K149" s="691"/>
      <c r="L149" s="758">
        <v>0.13</v>
      </c>
      <c r="M149" s="690">
        <f>M143*L149</f>
        <v>14375.824759296002</v>
      </c>
      <c r="N149" s="417"/>
      <c r="O149" s="691"/>
      <c r="P149" s="417"/>
    </row>
    <row r="150" spans="1:48" s="303" customFormat="1" ht="11.25" hidden="1">
      <c r="A150" s="416"/>
      <c r="B150" s="303" t="str">
        <f t="shared" si="1"/>
        <v>BR01-05</v>
      </c>
      <c r="C150" s="391" t="s">
        <v>410</v>
      </c>
      <c r="D150" s="758">
        <v>0.12</v>
      </c>
      <c r="E150" s="690">
        <f>E143*D150</f>
        <v>12061.767497472003</v>
      </c>
      <c r="G150" s="691"/>
      <c r="H150" s="758">
        <v>0.13</v>
      </c>
      <c r="I150" s="690">
        <f>I143*H150</f>
        <v>13909.941549504005</v>
      </c>
      <c r="K150" s="691"/>
      <c r="L150" s="758">
        <v>0.13</v>
      </c>
      <c r="M150" s="690">
        <f>M143*L150</f>
        <v>14375.824759296002</v>
      </c>
      <c r="N150" s="417"/>
      <c r="O150" s="691"/>
      <c r="P150" s="417"/>
    </row>
    <row r="151" spans="1:48" s="303" customFormat="1" ht="11.25" hidden="1">
      <c r="A151" s="416"/>
      <c r="B151" s="303" t="str">
        <f t="shared" si="1"/>
        <v>BR01-06</v>
      </c>
      <c r="C151" s="391" t="s">
        <v>410</v>
      </c>
      <c r="D151" s="759">
        <v>0.14000000000000001</v>
      </c>
      <c r="E151" s="690">
        <f>E143*D151</f>
        <v>14072.062080384005</v>
      </c>
      <c r="G151" s="692"/>
      <c r="H151" s="759">
        <v>0.13</v>
      </c>
      <c r="I151" s="690">
        <f>I143*H151</f>
        <v>13909.941549504005</v>
      </c>
      <c r="K151" s="692"/>
      <c r="L151" s="759">
        <v>0.14000000000000001</v>
      </c>
      <c r="M151" s="690">
        <f>M143*L151</f>
        <v>15481.657433088003</v>
      </c>
      <c r="N151" s="417"/>
      <c r="O151" s="692"/>
      <c r="P151" s="417"/>
    </row>
    <row r="152" spans="1:48" s="303" customFormat="1" ht="11.25" hidden="1">
      <c r="A152" s="416"/>
      <c r="B152" s="303" t="str">
        <f t="shared" si="1"/>
        <v>BR01-07</v>
      </c>
      <c r="C152" s="391" t="s">
        <v>411</v>
      </c>
      <c r="D152" s="332"/>
      <c r="F152" s="760">
        <v>0.45</v>
      </c>
      <c r="G152" s="693">
        <f>G144*F152</f>
        <v>73798.972188480009</v>
      </c>
      <c r="H152" s="332"/>
      <c r="J152" s="760">
        <v>0.48</v>
      </c>
      <c r="K152" s="694">
        <f>K144*J152</f>
        <v>83797.542614016013</v>
      </c>
      <c r="L152" s="332"/>
      <c r="N152" s="761">
        <v>0.5</v>
      </c>
      <c r="O152" s="693">
        <f>O144*N152</f>
        <v>98296.23767040002</v>
      </c>
      <c r="P152" s="417"/>
    </row>
    <row r="153" spans="1:48" s="303" customFormat="1" ht="11.25" hidden="1">
      <c r="A153" s="416"/>
      <c r="B153" s="303" t="str">
        <f t="shared" si="1"/>
        <v>BR01-08</v>
      </c>
      <c r="C153" s="391" t="s">
        <v>411</v>
      </c>
      <c r="D153" s="332"/>
      <c r="F153" s="762">
        <f>100%-F152</f>
        <v>0.55000000000000004</v>
      </c>
      <c r="G153" s="693">
        <f>G144*F153</f>
        <v>90198.743785920014</v>
      </c>
      <c r="H153" s="332"/>
      <c r="J153" s="762">
        <v>0.52</v>
      </c>
      <c r="K153" s="693">
        <f>K144*J153</f>
        <v>90780.671165184031</v>
      </c>
      <c r="L153" s="332"/>
      <c r="N153" s="763">
        <v>0.5</v>
      </c>
      <c r="O153" s="693">
        <f>O144*N153</f>
        <v>98296.23767040002</v>
      </c>
      <c r="P153" s="417"/>
    </row>
    <row r="154" spans="1:48" s="303" customFormat="1" ht="11.25" hidden="1">
      <c r="A154" s="416"/>
      <c r="B154" s="303" t="str">
        <f t="shared" si="1"/>
        <v>BR01-09</v>
      </c>
      <c r="C154" s="391" t="s">
        <v>410</v>
      </c>
      <c r="D154" s="759">
        <v>0</v>
      </c>
      <c r="E154" s="695">
        <f>E143*D154</f>
        <v>0</v>
      </c>
      <c r="F154" s="696"/>
      <c r="G154" s="693"/>
      <c r="H154" s="759">
        <v>0</v>
      </c>
      <c r="I154" s="303">
        <f>I144*H136</f>
        <v>0</v>
      </c>
      <c r="J154" s="696"/>
      <c r="K154" s="693"/>
      <c r="L154" s="759">
        <v>0</v>
      </c>
      <c r="M154" s="303">
        <f>M144*L136</f>
        <v>0</v>
      </c>
      <c r="N154" s="697"/>
      <c r="O154" s="693"/>
      <c r="P154" s="417"/>
    </row>
    <row r="155" spans="1:48" s="303" customFormat="1" ht="11.25" hidden="1">
      <c r="A155" s="408"/>
      <c r="C155" s="391"/>
      <c r="E155" s="698"/>
      <c r="H155" s="306"/>
      <c r="I155" s="306"/>
      <c r="J155" s="409"/>
      <c r="K155" s="391"/>
    </row>
    <row r="156" spans="1:48" s="440" customFormat="1" ht="15.75" hidden="1">
      <c r="A156" s="699">
        <v>6</v>
      </c>
      <c r="B156" s="664" t="s">
        <v>48</v>
      </c>
      <c r="C156" s="664"/>
      <c r="D156" s="699"/>
      <c r="E156" s="699"/>
      <c r="F156" s="699"/>
      <c r="G156" s="699"/>
      <c r="H156" s="646"/>
      <c r="I156" s="646"/>
      <c r="J156" s="439"/>
      <c r="K156" s="293"/>
      <c r="O156" s="293"/>
      <c r="P156" s="293"/>
      <c r="Q156" s="293"/>
      <c r="R156" s="293"/>
      <c r="S156" s="293"/>
      <c r="T156" s="293"/>
      <c r="U156" s="293"/>
      <c r="V156" s="293"/>
      <c r="W156" s="293"/>
      <c r="X156" s="293"/>
      <c r="Y156" s="293"/>
    </row>
    <row r="157" spans="1:48" s="293" customFormat="1" ht="12.75" hidden="1" customHeight="1">
      <c r="A157" s="700"/>
      <c r="B157" s="667"/>
      <c r="C157" s="667"/>
      <c r="D157" s="701"/>
      <c r="E157" s="702"/>
      <c r="F157" s="702"/>
      <c r="G157" s="702"/>
      <c r="H157" s="438"/>
      <c r="I157" s="438"/>
      <c r="J157" s="439"/>
      <c r="L157" s="472"/>
      <c r="M157" s="472"/>
    </row>
    <row r="158" spans="1:48" s="293" customFormat="1" ht="12" hidden="1" customHeight="1">
      <c r="B158" s="703" t="s">
        <v>408</v>
      </c>
      <c r="C158" s="704" t="s">
        <v>85</v>
      </c>
      <c r="D158" s="705">
        <v>124</v>
      </c>
      <c r="E158" s="703" t="s">
        <v>409</v>
      </c>
      <c r="F158" s="764">
        <v>0.8</v>
      </c>
      <c r="G158" s="702"/>
      <c r="H158" s="438"/>
      <c r="I158" s="438"/>
      <c r="J158" s="439"/>
    </row>
    <row r="159" spans="1:48" s="444" customFormat="1" hidden="1">
      <c r="A159" s="441"/>
      <c r="B159" s="442"/>
      <c r="C159" s="442"/>
      <c r="D159" s="443"/>
      <c r="E159" s="442"/>
      <c r="F159" s="442"/>
      <c r="G159" s="442"/>
      <c r="H159" s="391"/>
      <c r="I159" s="391"/>
      <c r="J159" s="391"/>
      <c r="K159" s="391"/>
      <c r="L159" s="391"/>
      <c r="M159" s="391"/>
      <c r="N159" s="293"/>
      <c r="O159" s="293"/>
      <c r="P159" s="293"/>
      <c r="Q159" s="293"/>
      <c r="R159" s="293"/>
      <c r="S159" s="293"/>
      <c r="T159" s="293"/>
      <c r="U159" s="293"/>
      <c r="V159" s="293"/>
      <c r="W159" s="293"/>
      <c r="X159" s="293"/>
      <c r="Y159" s="29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row>
    <row r="160" spans="1:48" s="444" customFormat="1" hidden="1">
      <c r="A160" s="441"/>
      <c r="B160" s="442" t="s">
        <v>438</v>
      </c>
      <c r="C160" s="442"/>
      <c r="D160" s="393" t="str">
        <f>B128</f>
        <v>BR01-01</v>
      </c>
      <c r="E160" s="395" t="str">
        <f>IF(B129="","",B129)</f>
        <v>BR01-02</v>
      </c>
      <c r="F160" s="395" t="str">
        <f>IF(B130="","",B130)</f>
        <v>BR01-03</v>
      </c>
      <c r="G160" s="395" t="str">
        <f>IF(B131="","",B131)</f>
        <v>BR01-04</v>
      </c>
      <c r="H160" s="357" t="str">
        <f>IF(B132="","",B132)</f>
        <v>BR01-05</v>
      </c>
      <c r="I160" s="357" t="str">
        <f>IF(B133="","",B133)</f>
        <v>BR01-06</v>
      </c>
      <c r="J160" s="357" t="str">
        <f>IF(B134="","",B134)</f>
        <v>BR01-07</v>
      </c>
      <c r="K160" s="357" t="str">
        <f>IF(B135="","",B135)</f>
        <v>BR01-08</v>
      </c>
      <c r="L160" s="357" t="str">
        <f>IF(B136="","",B136)</f>
        <v>BR01-09</v>
      </c>
      <c r="M160" s="293"/>
      <c r="N160" s="293"/>
      <c r="O160" s="293"/>
      <c r="P160" s="293"/>
      <c r="Q160" s="293"/>
      <c r="R160" s="293"/>
      <c r="S160" s="293"/>
      <c r="T160" s="293"/>
      <c r="U160" s="293"/>
      <c r="V160" s="293"/>
      <c r="W160" s="293"/>
      <c r="X160" s="293"/>
      <c r="Y160" s="29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row>
    <row r="161" spans="1:48" s="444" customFormat="1" hidden="1">
      <c r="A161" s="441"/>
      <c r="B161" s="442"/>
      <c r="C161" s="442"/>
      <c r="D161" s="395" t="str">
        <f>C128</f>
        <v>[retail]</v>
      </c>
      <c r="E161" s="395" t="str">
        <f>C129</f>
        <v>[retail]</v>
      </c>
      <c r="F161" s="395" t="str">
        <f>C130</f>
        <v>[retail]</v>
      </c>
      <c r="G161" s="395" t="str">
        <f>C131</f>
        <v>[retail]</v>
      </c>
      <c r="H161" s="395" t="str">
        <f>C132</f>
        <v>[retail]</v>
      </c>
      <c r="I161" s="395" t="str">
        <f>C133</f>
        <v>[retail]</v>
      </c>
      <c r="J161" s="395" t="str">
        <f>C134</f>
        <v>[wholesale]</v>
      </c>
      <c r="K161" s="395" t="str">
        <f>C135</f>
        <v>[wholesale]</v>
      </c>
      <c r="L161" s="395" t="str">
        <f>C136</f>
        <v>[retail]</v>
      </c>
      <c r="M161" s="293"/>
      <c r="N161" s="293"/>
      <c r="O161" s="293"/>
      <c r="P161" s="293"/>
      <c r="Q161" s="293"/>
      <c r="R161" s="293"/>
      <c r="S161" s="293"/>
      <c r="T161" s="293"/>
      <c r="U161" s="293"/>
      <c r="V161" s="293"/>
      <c r="W161" s="293"/>
      <c r="X161" s="293"/>
      <c r="Y161" s="29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row>
    <row r="162" spans="1:48" s="444" customFormat="1" hidden="1">
      <c r="A162" s="441"/>
      <c r="B162" s="445" t="s">
        <v>35</v>
      </c>
      <c r="C162" s="445"/>
      <c r="D162" s="446" t="s">
        <v>412</v>
      </c>
      <c r="E162" s="445"/>
      <c r="F162" s="445"/>
      <c r="G162" s="445"/>
      <c r="H162" s="445"/>
      <c r="I162" s="445"/>
      <c r="J162" s="445"/>
      <c r="K162" s="445"/>
      <c r="L162" s="293"/>
      <c r="M162" s="293"/>
      <c r="N162" s="293"/>
      <c r="O162" s="293"/>
      <c r="P162" s="293"/>
      <c r="Q162" s="293"/>
      <c r="R162" s="293"/>
      <c r="S162" s="293"/>
      <c r="T162" s="293"/>
      <c r="U162" s="293"/>
      <c r="V162" s="293"/>
      <c r="W162" s="293"/>
      <c r="X162" s="293"/>
      <c r="Y162" s="29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row>
    <row r="163" spans="1:48" s="444" customFormat="1" hidden="1">
      <c r="A163" s="447"/>
      <c r="B163" s="448" t="s">
        <v>47</v>
      </c>
      <c r="D163" s="449">
        <v>7.0000000000000007E-2</v>
      </c>
      <c r="E163" s="449">
        <v>0.06</v>
      </c>
      <c r="F163" s="449">
        <v>0.05</v>
      </c>
      <c r="G163" s="449">
        <v>0.05</v>
      </c>
      <c r="H163" s="449">
        <v>0.05</v>
      </c>
      <c r="I163" s="449">
        <v>0.05</v>
      </c>
      <c r="J163" s="449">
        <v>0.05</v>
      </c>
      <c r="K163" s="449">
        <v>0.05</v>
      </c>
      <c r="L163" s="449"/>
      <c r="M163" s="293"/>
      <c r="N163" s="293"/>
      <c r="O163" s="293"/>
      <c r="P163" s="293"/>
      <c r="Q163" s="293"/>
      <c r="R163" s="293"/>
      <c r="S163" s="293"/>
      <c r="T163" s="293"/>
      <c r="U163" s="293"/>
      <c r="V163" s="293"/>
      <c r="W163" s="293"/>
      <c r="X163" s="293"/>
      <c r="Y163" s="29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row>
    <row r="164" spans="1:48" s="444" customFormat="1" hidden="1">
      <c r="A164" s="450"/>
      <c r="B164" s="448" t="s">
        <v>46</v>
      </c>
      <c r="D164" s="449">
        <v>7.0000000000000007E-2</v>
      </c>
      <c r="E164" s="449">
        <v>0.06</v>
      </c>
      <c r="F164" s="449">
        <v>0.05</v>
      </c>
      <c r="G164" s="449">
        <v>0.05</v>
      </c>
      <c r="H164" s="449">
        <v>0.05</v>
      </c>
      <c r="I164" s="449">
        <v>0.05</v>
      </c>
      <c r="J164" s="449">
        <v>0.05</v>
      </c>
      <c r="K164" s="449">
        <v>0.05</v>
      </c>
      <c r="L164" s="449"/>
      <c r="M164" s="293"/>
      <c r="N164" s="293"/>
      <c r="O164" s="29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row>
    <row r="165" spans="1:48" s="444" customFormat="1" hidden="1">
      <c r="A165" s="442"/>
      <c r="B165" s="451" t="s">
        <v>45</v>
      </c>
      <c r="D165" s="449">
        <v>7.0000000000000007E-2</v>
      </c>
      <c r="E165" s="449">
        <v>0.06</v>
      </c>
      <c r="F165" s="449">
        <v>0.06</v>
      </c>
      <c r="G165" s="449">
        <v>0.06</v>
      </c>
      <c r="H165" s="449">
        <v>0.06</v>
      </c>
      <c r="I165" s="449">
        <v>0.06</v>
      </c>
      <c r="J165" s="449">
        <v>0.06</v>
      </c>
      <c r="K165" s="449">
        <v>0.06</v>
      </c>
      <c r="L165" s="449"/>
      <c r="M165" s="293"/>
      <c r="N165" s="293"/>
      <c r="O165" s="293"/>
      <c r="P165" s="293"/>
      <c r="Q165" s="293"/>
      <c r="R165" s="293"/>
      <c r="S165" s="293"/>
      <c r="T165" s="293"/>
      <c r="U165" s="293"/>
      <c r="V165" s="293"/>
      <c r="W165" s="293"/>
      <c r="X165" s="293"/>
      <c r="Y165" s="29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row>
    <row r="166" spans="1:48" s="442" customFormat="1" hidden="1">
      <c r="B166" s="451" t="s">
        <v>44</v>
      </c>
      <c r="D166" s="449">
        <v>7.0000000000000007E-2</v>
      </c>
      <c r="E166" s="449">
        <v>7.0000000000000007E-2</v>
      </c>
      <c r="F166" s="449">
        <v>7.0000000000000007E-2</v>
      </c>
      <c r="G166" s="449">
        <v>7.0000000000000007E-2</v>
      </c>
      <c r="H166" s="449">
        <v>7.0000000000000007E-2</v>
      </c>
      <c r="I166" s="449">
        <v>7.0000000000000007E-2</v>
      </c>
      <c r="J166" s="449">
        <v>7.0000000000000007E-2</v>
      </c>
      <c r="K166" s="449">
        <v>7.0000000000000007E-2</v>
      </c>
      <c r="L166" s="449"/>
      <c r="M166" s="293"/>
      <c r="N166" s="293"/>
      <c r="O166" s="293"/>
      <c r="P166" s="293"/>
      <c r="Q166" s="293"/>
      <c r="R166" s="293"/>
      <c r="S166" s="293"/>
      <c r="T166" s="293"/>
      <c r="U166" s="293"/>
      <c r="V166" s="293"/>
      <c r="W166" s="293"/>
      <c r="X166" s="293"/>
      <c r="Y166" s="29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row>
    <row r="167" spans="1:48" s="442" customFormat="1" hidden="1">
      <c r="B167" s="451" t="s">
        <v>43</v>
      </c>
      <c r="D167" s="449">
        <v>0.08</v>
      </c>
      <c r="E167" s="449">
        <v>0.08</v>
      </c>
      <c r="F167" s="449">
        <v>0.08</v>
      </c>
      <c r="G167" s="449">
        <v>0.08</v>
      </c>
      <c r="H167" s="449">
        <v>0.08</v>
      </c>
      <c r="I167" s="449">
        <v>0.08</v>
      </c>
      <c r="J167" s="449">
        <v>0.08</v>
      </c>
      <c r="K167" s="449">
        <v>0.08</v>
      </c>
      <c r="L167" s="449"/>
      <c r="M167" s="293"/>
      <c r="N167" s="293"/>
      <c r="O167" s="293"/>
      <c r="P167" s="293"/>
      <c r="Q167" s="293"/>
      <c r="R167" s="293"/>
      <c r="S167" s="293"/>
      <c r="T167" s="293"/>
      <c r="U167" s="293"/>
      <c r="V167" s="293"/>
      <c r="W167" s="293"/>
      <c r="X167" s="293"/>
      <c r="Y167" s="29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row>
    <row r="168" spans="1:48" s="442" customFormat="1" hidden="1">
      <c r="A168" s="293"/>
      <c r="B168" s="451" t="s">
        <v>42</v>
      </c>
      <c r="D168" s="449">
        <v>0.1</v>
      </c>
      <c r="E168" s="449">
        <v>0.1</v>
      </c>
      <c r="F168" s="449">
        <v>0.1</v>
      </c>
      <c r="G168" s="449">
        <v>0.1</v>
      </c>
      <c r="H168" s="449">
        <v>0.1</v>
      </c>
      <c r="I168" s="449">
        <v>0.1</v>
      </c>
      <c r="J168" s="449">
        <v>0.1</v>
      </c>
      <c r="K168" s="449">
        <v>0.1</v>
      </c>
      <c r="L168" s="449"/>
      <c r="M168" s="293"/>
      <c r="N168" s="293"/>
      <c r="O168" s="29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row>
    <row r="169" spans="1:48" s="442" customFormat="1" hidden="1">
      <c r="A169" s="293"/>
      <c r="B169" s="451" t="s">
        <v>41</v>
      </c>
      <c r="D169" s="449">
        <v>0.1</v>
      </c>
      <c r="E169" s="449">
        <v>0.1</v>
      </c>
      <c r="F169" s="449">
        <v>0.1</v>
      </c>
      <c r="G169" s="449">
        <v>0.1</v>
      </c>
      <c r="H169" s="449">
        <v>0.1</v>
      </c>
      <c r="I169" s="449">
        <v>0.1</v>
      </c>
      <c r="J169" s="449">
        <v>0.1</v>
      </c>
      <c r="K169" s="449">
        <v>0.1</v>
      </c>
      <c r="L169" s="449"/>
      <c r="M169" s="293"/>
      <c r="N169" s="293"/>
      <c r="O169" s="293"/>
      <c r="P169" s="293"/>
      <c r="Q169" s="293"/>
      <c r="R169" s="293"/>
      <c r="S169" s="293"/>
      <c r="T169" s="293"/>
      <c r="U169" s="293"/>
      <c r="V169" s="293"/>
      <c r="W169" s="293"/>
      <c r="X169" s="293"/>
      <c r="Y169" s="29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row>
    <row r="170" spans="1:48" s="442" customFormat="1" hidden="1">
      <c r="A170" s="293"/>
      <c r="B170" s="451" t="s">
        <v>40</v>
      </c>
      <c r="D170" s="449">
        <v>0.1</v>
      </c>
      <c r="E170" s="449">
        <v>0.11</v>
      </c>
      <c r="F170" s="449">
        <v>0.12</v>
      </c>
      <c r="G170" s="449">
        <v>0.12</v>
      </c>
      <c r="H170" s="449">
        <v>0.12</v>
      </c>
      <c r="I170" s="449">
        <v>0.12</v>
      </c>
      <c r="J170" s="449">
        <v>0.12</v>
      </c>
      <c r="K170" s="449">
        <v>0.12</v>
      </c>
      <c r="L170" s="449"/>
      <c r="M170" s="293"/>
      <c r="N170" s="293"/>
      <c r="O170" s="293"/>
      <c r="P170" s="293"/>
      <c r="Q170" s="293"/>
      <c r="R170" s="293"/>
      <c r="S170" s="293"/>
      <c r="T170" s="293"/>
      <c r="U170" s="293"/>
      <c r="V170" s="293"/>
      <c r="W170" s="293"/>
      <c r="X170" s="293"/>
      <c r="Y170" s="29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row>
    <row r="171" spans="1:48" s="442" customFormat="1" hidden="1">
      <c r="A171" s="293"/>
      <c r="B171" s="451" t="s">
        <v>39</v>
      </c>
      <c r="D171" s="449">
        <v>0.1</v>
      </c>
      <c r="E171" s="449">
        <v>0.11</v>
      </c>
      <c r="F171" s="449">
        <v>0.12</v>
      </c>
      <c r="G171" s="449">
        <v>0.12</v>
      </c>
      <c r="H171" s="449">
        <v>0.12</v>
      </c>
      <c r="I171" s="449">
        <v>0.12</v>
      </c>
      <c r="J171" s="449">
        <v>0.12</v>
      </c>
      <c r="K171" s="449">
        <v>0.12</v>
      </c>
      <c r="L171" s="449"/>
      <c r="M171" s="293"/>
      <c r="N171" s="293"/>
      <c r="O171" s="293"/>
      <c r="P171" s="293"/>
      <c r="Q171" s="293"/>
      <c r="R171" s="293"/>
      <c r="S171" s="293"/>
      <c r="T171" s="293"/>
      <c r="U171" s="293"/>
      <c r="V171" s="293"/>
      <c r="W171" s="293"/>
      <c r="X171" s="293"/>
      <c r="Y171" s="29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row>
    <row r="172" spans="1:48" s="442" customFormat="1" hidden="1">
      <c r="A172" s="293"/>
      <c r="B172" s="451" t="s">
        <v>38</v>
      </c>
      <c r="D172" s="449">
        <v>0.1</v>
      </c>
      <c r="E172" s="449">
        <v>0.11</v>
      </c>
      <c r="F172" s="449">
        <v>0.11</v>
      </c>
      <c r="G172" s="449">
        <v>0.11</v>
      </c>
      <c r="H172" s="449">
        <v>0.11</v>
      </c>
      <c r="I172" s="449">
        <v>0.11</v>
      </c>
      <c r="J172" s="449">
        <v>0.11</v>
      </c>
      <c r="K172" s="449">
        <v>0.11</v>
      </c>
      <c r="L172" s="449"/>
      <c r="M172" s="293"/>
      <c r="N172" s="293"/>
      <c r="O172" s="293"/>
      <c r="P172" s="293"/>
      <c r="Q172" s="293"/>
      <c r="R172" s="293"/>
      <c r="S172" s="293"/>
      <c r="T172" s="293"/>
      <c r="U172" s="293"/>
      <c r="V172" s="293"/>
      <c r="W172" s="293"/>
      <c r="X172" s="293"/>
      <c r="Y172" s="29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row>
    <row r="173" spans="1:48" s="442" customFormat="1" hidden="1">
      <c r="A173" s="293"/>
      <c r="B173" s="451" t="s">
        <v>37</v>
      </c>
      <c r="D173" s="449">
        <v>7.0000000000000007E-2</v>
      </c>
      <c r="E173" s="449">
        <v>7.0000000000000007E-2</v>
      </c>
      <c r="F173" s="449">
        <v>7.0000000000000007E-2</v>
      </c>
      <c r="G173" s="449">
        <v>7.0000000000000007E-2</v>
      </c>
      <c r="H173" s="449">
        <v>7.0000000000000007E-2</v>
      </c>
      <c r="I173" s="449">
        <v>7.0000000000000007E-2</v>
      </c>
      <c r="J173" s="449">
        <v>7.0000000000000007E-2</v>
      </c>
      <c r="K173" s="449">
        <v>7.0000000000000007E-2</v>
      </c>
      <c r="L173" s="449"/>
      <c r="M173" s="293"/>
      <c r="N173" s="293"/>
      <c r="O173" s="29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row>
    <row r="174" spans="1:48" s="442" customFormat="1" hidden="1">
      <c r="A174" s="293"/>
      <c r="B174" s="451" t="s">
        <v>36</v>
      </c>
      <c r="D174" s="449">
        <v>7.0000000000000007E-2</v>
      </c>
      <c r="E174" s="449">
        <v>7.0000000000000007E-2</v>
      </c>
      <c r="F174" s="449">
        <v>7.0000000000000007E-2</v>
      </c>
      <c r="G174" s="449">
        <v>7.0000000000000007E-2</v>
      </c>
      <c r="H174" s="449">
        <v>7.0000000000000007E-2</v>
      </c>
      <c r="I174" s="449">
        <v>7.0000000000000007E-2</v>
      </c>
      <c r="J174" s="449">
        <v>7.0000000000000007E-2</v>
      </c>
      <c r="K174" s="449">
        <v>0.06</v>
      </c>
      <c r="L174" s="449"/>
      <c r="M174" s="293"/>
      <c r="N174" s="293"/>
      <c r="O174" s="293"/>
      <c r="P174" s="293"/>
      <c r="Q174" s="293"/>
      <c r="R174" s="293"/>
      <c r="S174" s="293"/>
      <c r="T174" s="293"/>
      <c r="U174" s="293"/>
      <c r="V174" s="293"/>
      <c r="W174" s="293"/>
      <c r="X174" s="293"/>
      <c r="Y174" s="29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row>
    <row r="175" spans="1:48" s="442" customFormat="1" hidden="1">
      <c r="A175" s="293"/>
      <c r="B175" s="451" t="s">
        <v>413</v>
      </c>
      <c r="D175" s="452">
        <f>SUM(D163:D174)</f>
        <v>1</v>
      </c>
      <c r="E175" s="452">
        <f t="shared" ref="E175:K175" si="2">SUM(E163:E174)</f>
        <v>1</v>
      </c>
      <c r="F175" s="452">
        <f t="shared" si="2"/>
        <v>1</v>
      </c>
      <c r="G175" s="452">
        <f t="shared" si="2"/>
        <v>1</v>
      </c>
      <c r="H175" s="452">
        <f t="shared" si="2"/>
        <v>1</v>
      </c>
      <c r="I175" s="452">
        <f t="shared" si="2"/>
        <v>1</v>
      </c>
      <c r="J175" s="452">
        <f t="shared" si="2"/>
        <v>1</v>
      </c>
      <c r="K175" s="452">
        <f t="shared" si="2"/>
        <v>0.99</v>
      </c>
      <c r="L175" s="452">
        <f>SUM(L163:L174)</f>
        <v>0</v>
      </c>
      <c r="M175" s="293"/>
      <c r="N175" s="293"/>
      <c r="O175" s="293"/>
      <c r="P175" s="293"/>
      <c r="Q175" s="293"/>
      <c r="R175" s="293"/>
      <c r="S175" s="293"/>
      <c r="T175" s="293"/>
      <c r="U175" s="293"/>
      <c r="V175" s="293"/>
      <c r="W175" s="293"/>
      <c r="AG175" s="293"/>
      <c r="AH175" s="293"/>
      <c r="AI175" s="293"/>
      <c r="AJ175" s="293"/>
      <c r="AK175" s="293"/>
      <c r="AL175" s="293"/>
      <c r="AM175" s="293"/>
      <c r="AN175" s="293"/>
      <c r="AO175" s="293"/>
      <c r="AP175" s="293"/>
      <c r="AQ175" s="293"/>
      <c r="AR175" s="293"/>
      <c r="AS175" s="293"/>
      <c r="AT175" s="293"/>
      <c r="AU175" s="293"/>
      <c r="AV175" s="293"/>
    </row>
    <row r="176" spans="1:48" s="442" customFormat="1" hidden="1">
      <c r="A176" s="293"/>
      <c r="B176" s="451"/>
      <c r="D176" s="453" t="s">
        <v>414</v>
      </c>
      <c r="E176" s="454"/>
      <c r="F176" s="454"/>
      <c r="G176" s="454"/>
      <c r="H176" s="454"/>
      <c r="I176" s="454"/>
      <c r="J176" s="454"/>
      <c r="K176" s="454"/>
      <c r="L176" s="454"/>
      <c r="M176" s="293"/>
      <c r="N176" s="293"/>
      <c r="O176" s="293"/>
      <c r="P176" s="293"/>
      <c r="Q176" s="293"/>
      <c r="R176" s="293"/>
      <c r="S176" s="293"/>
      <c r="T176" s="293"/>
      <c r="U176" s="293"/>
      <c r="V176" s="293"/>
      <c r="W176" s="293"/>
      <c r="AG176" s="293"/>
      <c r="AH176" s="293"/>
      <c r="AI176" s="293"/>
      <c r="AJ176" s="293"/>
      <c r="AK176" s="293"/>
      <c r="AL176" s="293"/>
      <c r="AM176" s="293"/>
      <c r="AN176" s="293"/>
      <c r="AO176" s="293"/>
      <c r="AP176" s="293"/>
      <c r="AQ176" s="293"/>
      <c r="AR176" s="293"/>
      <c r="AS176" s="293"/>
      <c r="AT176" s="293"/>
      <c r="AU176" s="293"/>
      <c r="AV176" s="293"/>
    </row>
    <row r="177" spans="1:48" s="442" customFormat="1" hidden="1">
      <c r="A177" s="441"/>
      <c r="B177" s="448" t="s">
        <v>47</v>
      </c>
      <c r="D177" s="455">
        <f>D189*D163</f>
        <v>1618.2871392441605</v>
      </c>
      <c r="E177" s="455">
        <f t="shared" ref="E177:K177" si="3">E189*E163</f>
        <v>1507.7209371840004</v>
      </c>
      <c r="F177" s="455">
        <f t="shared" si="3"/>
        <v>703.60310401920026</v>
      </c>
      <c r="G177" s="455">
        <f t="shared" si="3"/>
        <v>603.08837487360017</v>
      </c>
      <c r="H177" s="455">
        <f t="shared" si="3"/>
        <v>603.08837487360017</v>
      </c>
      <c r="I177" s="455">
        <f t="shared" si="3"/>
        <v>703.60310401920026</v>
      </c>
      <c r="J177" s="455">
        <f t="shared" si="3"/>
        <v>3689.9486094240006</v>
      </c>
      <c r="K177" s="455">
        <f t="shared" si="3"/>
        <v>4509.9371892960007</v>
      </c>
      <c r="L177" s="455">
        <f>L189*L163</f>
        <v>0</v>
      </c>
      <c r="M177" s="293"/>
      <c r="N177" s="293"/>
      <c r="O177" s="293"/>
      <c r="P177" s="293"/>
      <c r="Q177" s="293"/>
      <c r="R177" s="293"/>
      <c r="S177" s="293"/>
      <c r="T177" s="293"/>
      <c r="U177" s="293"/>
      <c r="V177" s="293"/>
      <c r="W177" s="293"/>
      <c r="AG177" s="293"/>
      <c r="AH177" s="293"/>
      <c r="AI177" s="293"/>
      <c r="AJ177" s="293"/>
      <c r="AK177" s="293"/>
      <c r="AL177" s="293"/>
      <c r="AM177" s="293"/>
      <c r="AN177" s="293"/>
      <c r="AO177" s="293"/>
      <c r="AP177" s="293"/>
      <c r="AQ177" s="293"/>
      <c r="AR177" s="293"/>
      <c r="AS177" s="293"/>
      <c r="AT177" s="293"/>
      <c r="AU177" s="293"/>
      <c r="AV177" s="293"/>
    </row>
    <row r="178" spans="1:48" s="442" customFormat="1" hidden="1">
      <c r="A178" s="441"/>
      <c r="B178" s="448" t="s">
        <v>46</v>
      </c>
      <c r="D178" s="455">
        <f>D189*D164</f>
        <v>1618.2871392441605</v>
      </c>
      <c r="E178" s="455">
        <f t="shared" ref="E178:K178" si="4">E189*E164</f>
        <v>1507.7209371840004</v>
      </c>
      <c r="F178" s="455">
        <f t="shared" si="4"/>
        <v>703.60310401920026</v>
      </c>
      <c r="G178" s="455">
        <f t="shared" si="4"/>
        <v>603.08837487360017</v>
      </c>
      <c r="H178" s="455">
        <f t="shared" si="4"/>
        <v>603.08837487360017</v>
      </c>
      <c r="I178" s="455">
        <f t="shared" si="4"/>
        <v>703.60310401920026</v>
      </c>
      <c r="J178" s="455">
        <f t="shared" si="4"/>
        <v>3689.9486094240006</v>
      </c>
      <c r="K178" s="455">
        <f t="shared" si="4"/>
        <v>4509.9371892960007</v>
      </c>
      <c r="L178" s="455">
        <f>L189*L164</f>
        <v>0</v>
      </c>
      <c r="M178" s="293"/>
      <c r="N178" s="293"/>
      <c r="O178" s="293"/>
      <c r="P178" s="293"/>
      <c r="Q178" s="293"/>
      <c r="R178" s="293"/>
      <c r="S178" s="293"/>
      <c r="T178" s="293"/>
      <c r="U178" s="293"/>
      <c r="V178" s="293"/>
      <c r="W178" s="293"/>
      <c r="AG178" s="293"/>
      <c r="AH178" s="293"/>
      <c r="AI178" s="293"/>
      <c r="AJ178" s="293"/>
      <c r="AK178" s="293"/>
      <c r="AL178" s="293"/>
      <c r="AM178" s="293"/>
      <c r="AN178" s="293"/>
      <c r="AO178" s="293"/>
      <c r="AP178" s="293"/>
      <c r="AQ178" s="293"/>
      <c r="AR178" s="293"/>
      <c r="AS178" s="293"/>
      <c r="AT178" s="293"/>
      <c r="AU178" s="293"/>
      <c r="AV178" s="293"/>
    </row>
    <row r="179" spans="1:48" s="442" customFormat="1" hidden="1">
      <c r="A179" s="441"/>
      <c r="B179" s="451" t="s">
        <v>45</v>
      </c>
      <c r="D179" s="455">
        <f>D189*D165</f>
        <v>1618.2871392441605</v>
      </c>
      <c r="E179" s="455">
        <f t="shared" ref="E179:K179" si="5">E189*E165</f>
        <v>1507.7209371840004</v>
      </c>
      <c r="F179" s="455">
        <f t="shared" si="5"/>
        <v>844.32372482304027</v>
      </c>
      <c r="G179" s="455">
        <f t="shared" si="5"/>
        <v>723.70604984832016</v>
      </c>
      <c r="H179" s="455">
        <f t="shared" si="5"/>
        <v>723.70604984832016</v>
      </c>
      <c r="I179" s="455">
        <f t="shared" si="5"/>
        <v>844.32372482304027</v>
      </c>
      <c r="J179" s="455">
        <f t="shared" si="5"/>
        <v>4427.9383313088001</v>
      </c>
      <c r="K179" s="455">
        <f t="shared" si="5"/>
        <v>5411.9246271552011</v>
      </c>
      <c r="L179" s="455">
        <f>L189*L165</f>
        <v>0</v>
      </c>
      <c r="M179" s="293"/>
      <c r="N179" s="293"/>
      <c r="O179" s="293"/>
      <c r="P179" s="293"/>
      <c r="Q179" s="293"/>
      <c r="R179" s="293"/>
      <c r="S179" s="293"/>
      <c r="T179" s="293"/>
      <c r="U179" s="293"/>
      <c r="V179" s="293"/>
      <c r="W179" s="293"/>
      <c r="AG179" s="293"/>
      <c r="AH179" s="293"/>
      <c r="AI179" s="293"/>
      <c r="AJ179" s="293"/>
      <c r="AK179" s="293"/>
      <c r="AL179" s="293"/>
      <c r="AM179" s="293"/>
      <c r="AN179" s="293"/>
      <c r="AO179" s="293"/>
      <c r="AP179" s="293"/>
      <c r="AQ179" s="293"/>
      <c r="AR179" s="293"/>
      <c r="AS179" s="293"/>
      <c r="AT179" s="293"/>
      <c r="AU179" s="293"/>
      <c r="AV179" s="293"/>
    </row>
    <row r="180" spans="1:48" s="442" customFormat="1" hidden="1">
      <c r="A180" s="456"/>
      <c r="B180" s="451" t="s">
        <v>44</v>
      </c>
      <c r="D180" s="455">
        <f>D189*D166</f>
        <v>1618.2871392441605</v>
      </c>
      <c r="E180" s="455">
        <f t="shared" ref="E180:K180" si="6">E189*E166</f>
        <v>1759.0077600480006</v>
      </c>
      <c r="F180" s="455">
        <f t="shared" si="6"/>
        <v>985.04434562688039</v>
      </c>
      <c r="G180" s="455">
        <f t="shared" si="6"/>
        <v>844.32372482304027</v>
      </c>
      <c r="H180" s="455">
        <f t="shared" si="6"/>
        <v>844.32372482304027</v>
      </c>
      <c r="I180" s="455">
        <f t="shared" si="6"/>
        <v>985.04434562688039</v>
      </c>
      <c r="J180" s="455">
        <f t="shared" si="6"/>
        <v>5165.928053193601</v>
      </c>
      <c r="K180" s="455">
        <f t="shared" si="6"/>
        <v>6313.9120650144014</v>
      </c>
      <c r="L180" s="455">
        <f>L189*L166</f>
        <v>0</v>
      </c>
      <c r="M180" s="293"/>
      <c r="N180" s="293"/>
      <c r="O180" s="293"/>
      <c r="P180" s="293"/>
      <c r="Q180" s="293"/>
      <c r="R180" s="293"/>
      <c r="S180" s="293"/>
      <c r="T180" s="293"/>
      <c r="U180" s="293"/>
    </row>
    <row r="181" spans="1:48" s="442" customFormat="1" hidden="1">
      <c r="A181" s="441"/>
      <c r="B181" s="451" t="s">
        <v>43</v>
      </c>
      <c r="D181" s="455">
        <f>D189*D167</f>
        <v>1849.4710162790404</v>
      </c>
      <c r="E181" s="455">
        <f t="shared" ref="E181:K181" si="7">E189*E167</f>
        <v>2010.2945829120006</v>
      </c>
      <c r="F181" s="455">
        <f t="shared" si="7"/>
        <v>1125.7649664307205</v>
      </c>
      <c r="G181" s="455">
        <f t="shared" si="7"/>
        <v>964.94139979776025</v>
      </c>
      <c r="H181" s="455">
        <f t="shared" si="7"/>
        <v>964.94139979776025</v>
      </c>
      <c r="I181" s="455">
        <f t="shared" si="7"/>
        <v>1125.7649664307205</v>
      </c>
      <c r="J181" s="455">
        <f t="shared" si="7"/>
        <v>5903.9177750784011</v>
      </c>
      <c r="K181" s="455">
        <f t="shared" si="7"/>
        <v>7215.8995028736017</v>
      </c>
      <c r="L181" s="455">
        <f>L189*L167</f>
        <v>0</v>
      </c>
      <c r="M181" s="293"/>
      <c r="N181" s="293"/>
      <c r="O181" s="293"/>
      <c r="P181" s="293"/>
      <c r="Q181" s="293"/>
      <c r="R181" s="293"/>
      <c r="S181" s="293"/>
      <c r="T181" s="293"/>
      <c r="U181" s="293"/>
    </row>
    <row r="182" spans="1:48" s="442" customFormat="1" hidden="1">
      <c r="A182" s="441"/>
      <c r="B182" s="451" t="s">
        <v>42</v>
      </c>
      <c r="D182" s="455">
        <f>D189*D168</f>
        <v>2311.8387703488006</v>
      </c>
      <c r="E182" s="455">
        <f t="shared" ref="E182:K182" si="8">E189*E168</f>
        <v>2512.8682286400008</v>
      </c>
      <c r="F182" s="455">
        <f t="shared" si="8"/>
        <v>1407.2062080384005</v>
      </c>
      <c r="G182" s="455">
        <f t="shared" si="8"/>
        <v>1206.1767497472003</v>
      </c>
      <c r="H182" s="455">
        <f t="shared" si="8"/>
        <v>1206.1767497472003</v>
      </c>
      <c r="I182" s="455">
        <f t="shared" si="8"/>
        <v>1407.2062080384005</v>
      </c>
      <c r="J182" s="455">
        <f t="shared" si="8"/>
        <v>7379.8972188480011</v>
      </c>
      <c r="K182" s="455">
        <f t="shared" si="8"/>
        <v>9019.8743785920014</v>
      </c>
      <c r="L182" s="455">
        <f>L189*L168</f>
        <v>0</v>
      </c>
      <c r="M182" s="293"/>
      <c r="N182" s="293"/>
      <c r="O182" s="293"/>
      <c r="P182" s="293"/>
      <c r="Q182" s="293"/>
      <c r="R182" s="293"/>
      <c r="S182" s="293"/>
      <c r="T182" s="293"/>
      <c r="U182" s="293"/>
    </row>
    <row r="183" spans="1:48" s="442" customFormat="1" hidden="1">
      <c r="A183" s="441"/>
      <c r="B183" s="451" t="s">
        <v>41</v>
      </c>
      <c r="D183" s="455">
        <f>D189*D169</f>
        <v>2311.8387703488006</v>
      </c>
      <c r="E183" s="455">
        <f t="shared" ref="E183:K183" si="9">E189*E169</f>
        <v>2512.8682286400008</v>
      </c>
      <c r="F183" s="455">
        <f t="shared" si="9"/>
        <v>1407.2062080384005</v>
      </c>
      <c r="G183" s="455">
        <f t="shared" si="9"/>
        <v>1206.1767497472003</v>
      </c>
      <c r="H183" s="455">
        <f t="shared" si="9"/>
        <v>1206.1767497472003</v>
      </c>
      <c r="I183" s="455">
        <f t="shared" si="9"/>
        <v>1407.2062080384005</v>
      </c>
      <c r="J183" s="455">
        <f t="shared" si="9"/>
        <v>7379.8972188480011</v>
      </c>
      <c r="K183" s="455">
        <f t="shared" si="9"/>
        <v>9019.8743785920014</v>
      </c>
      <c r="L183" s="455">
        <f>L189*L169</f>
        <v>0</v>
      </c>
      <c r="M183" s="293"/>
      <c r="N183" s="293"/>
      <c r="O183" s="293"/>
      <c r="P183" s="293"/>
      <c r="Q183" s="293"/>
      <c r="R183" s="293"/>
      <c r="S183" s="293"/>
      <c r="T183" s="293"/>
      <c r="U183" s="293"/>
    </row>
    <row r="184" spans="1:48" s="442" customFormat="1" hidden="1">
      <c r="A184" s="441"/>
      <c r="B184" s="451" t="s">
        <v>40</v>
      </c>
      <c r="D184" s="455">
        <f>D189*D170</f>
        <v>2311.8387703488006</v>
      </c>
      <c r="E184" s="455">
        <f t="shared" ref="E184:K184" si="10">E189*E170</f>
        <v>2764.1550515040008</v>
      </c>
      <c r="F184" s="455">
        <f t="shared" si="10"/>
        <v>1688.6474496460805</v>
      </c>
      <c r="G184" s="455">
        <f t="shared" si="10"/>
        <v>1447.4120996966403</v>
      </c>
      <c r="H184" s="455">
        <f t="shared" si="10"/>
        <v>1447.4120996966403</v>
      </c>
      <c r="I184" s="455">
        <f t="shared" si="10"/>
        <v>1688.6474496460805</v>
      </c>
      <c r="J184" s="455">
        <f t="shared" si="10"/>
        <v>8855.8766626176002</v>
      </c>
      <c r="K184" s="455">
        <f t="shared" si="10"/>
        <v>10823.849254310402</v>
      </c>
      <c r="L184" s="455">
        <f>L189*L170</f>
        <v>0</v>
      </c>
      <c r="M184" s="293"/>
      <c r="N184" s="293"/>
      <c r="O184" s="293"/>
      <c r="P184" s="293"/>
      <c r="Q184" s="293"/>
      <c r="R184" s="293"/>
      <c r="S184" s="293"/>
      <c r="T184" s="293"/>
      <c r="U184" s="293"/>
    </row>
    <row r="185" spans="1:48" s="442" customFormat="1" hidden="1">
      <c r="A185" s="441"/>
      <c r="B185" s="451" t="s">
        <v>39</v>
      </c>
      <c r="D185" s="455">
        <f>D189*D171</f>
        <v>2311.8387703488006</v>
      </c>
      <c r="E185" s="455">
        <f t="shared" ref="E185:K185" si="11">E189*E171</f>
        <v>2764.1550515040008</v>
      </c>
      <c r="F185" s="455">
        <f t="shared" si="11"/>
        <v>1688.6474496460805</v>
      </c>
      <c r="G185" s="455">
        <f t="shared" si="11"/>
        <v>1447.4120996966403</v>
      </c>
      <c r="H185" s="455">
        <f t="shared" si="11"/>
        <v>1447.4120996966403</v>
      </c>
      <c r="I185" s="455">
        <f t="shared" si="11"/>
        <v>1688.6474496460805</v>
      </c>
      <c r="J185" s="455">
        <f t="shared" si="11"/>
        <v>8855.8766626176002</v>
      </c>
      <c r="K185" s="455">
        <f t="shared" si="11"/>
        <v>10823.849254310402</v>
      </c>
      <c r="L185" s="455">
        <f>L189*L171</f>
        <v>0</v>
      </c>
      <c r="M185" s="293"/>
      <c r="N185" s="293"/>
      <c r="O185" s="293"/>
      <c r="P185" s="293"/>
      <c r="Q185" s="293"/>
      <c r="R185" s="293"/>
      <c r="S185" s="293"/>
      <c r="T185" s="293"/>
      <c r="U185" s="293"/>
    </row>
    <row r="186" spans="1:48" s="442" customFormat="1" hidden="1">
      <c r="A186" s="441"/>
      <c r="B186" s="451" t="s">
        <v>38</v>
      </c>
      <c r="D186" s="455">
        <f>D189*D172</f>
        <v>2311.8387703488006</v>
      </c>
      <c r="E186" s="455">
        <f t="shared" ref="E186:K186" si="12">E189*E172</f>
        <v>2764.1550515040008</v>
      </c>
      <c r="F186" s="455">
        <f t="shared" si="12"/>
        <v>1547.9268288422406</v>
      </c>
      <c r="G186" s="455">
        <f t="shared" si="12"/>
        <v>1326.7944247219204</v>
      </c>
      <c r="H186" s="455">
        <f t="shared" si="12"/>
        <v>1326.7944247219204</v>
      </c>
      <c r="I186" s="455">
        <f t="shared" si="12"/>
        <v>1547.9268288422406</v>
      </c>
      <c r="J186" s="455">
        <f t="shared" si="12"/>
        <v>8117.8869407328011</v>
      </c>
      <c r="K186" s="455">
        <f t="shared" si="12"/>
        <v>9921.8618164512009</v>
      </c>
      <c r="L186" s="455">
        <f>L189*L172</f>
        <v>0</v>
      </c>
      <c r="M186" s="293"/>
      <c r="N186" s="293"/>
      <c r="O186" s="293"/>
      <c r="P186" s="293"/>
      <c r="Q186" s="293"/>
      <c r="R186" s="293"/>
      <c r="S186" s="293"/>
      <c r="T186" s="293"/>
      <c r="U186" s="293"/>
    </row>
    <row r="187" spans="1:48" s="442" customFormat="1" hidden="1">
      <c r="A187" s="441"/>
      <c r="B187" s="451" t="s">
        <v>37</v>
      </c>
      <c r="D187" s="455">
        <f>D189*D173</f>
        <v>1618.2871392441605</v>
      </c>
      <c r="E187" s="455">
        <f t="shared" ref="E187:K187" si="13">E189*E173</f>
        <v>1759.0077600480006</v>
      </c>
      <c r="F187" s="455">
        <f t="shared" si="13"/>
        <v>985.04434562688039</v>
      </c>
      <c r="G187" s="455">
        <f t="shared" si="13"/>
        <v>844.32372482304027</v>
      </c>
      <c r="H187" s="455">
        <f t="shared" si="13"/>
        <v>844.32372482304027</v>
      </c>
      <c r="I187" s="455">
        <f t="shared" si="13"/>
        <v>985.04434562688039</v>
      </c>
      <c r="J187" s="455">
        <f t="shared" si="13"/>
        <v>5165.928053193601</v>
      </c>
      <c r="K187" s="455">
        <f t="shared" si="13"/>
        <v>6313.9120650144014</v>
      </c>
      <c r="L187" s="455">
        <f>L189*L173</f>
        <v>0</v>
      </c>
      <c r="M187" s="293"/>
      <c r="N187" s="293"/>
      <c r="O187" s="293"/>
      <c r="P187" s="293"/>
      <c r="Q187" s="293"/>
      <c r="R187" s="293"/>
      <c r="S187" s="293"/>
      <c r="T187" s="293"/>
      <c r="U187" s="293"/>
    </row>
    <row r="188" spans="1:48" s="442" customFormat="1" hidden="1">
      <c r="A188" s="441"/>
      <c r="B188" s="451" t="s">
        <v>36</v>
      </c>
      <c r="D188" s="455">
        <f>D189*D174</f>
        <v>1618.2871392441605</v>
      </c>
      <c r="E188" s="455">
        <f t="shared" ref="E188:K188" si="14">E189*E174</f>
        <v>1759.0077600480006</v>
      </c>
      <c r="F188" s="455">
        <f t="shared" si="14"/>
        <v>985.04434562688039</v>
      </c>
      <c r="G188" s="455">
        <f t="shared" si="14"/>
        <v>844.32372482304027</v>
      </c>
      <c r="H188" s="455">
        <f t="shared" si="14"/>
        <v>844.32372482304027</v>
      </c>
      <c r="I188" s="455">
        <f t="shared" si="14"/>
        <v>985.04434562688039</v>
      </c>
      <c r="J188" s="455">
        <f t="shared" si="14"/>
        <v>5165.928053193601</v>
      </c>
      <c r="K188" s="455">
        <f t="shared" si="14"/>
        <v>5411.9246271552011</v>
      </c>
      <c r="L188" s="455">
        <f>L189*L174</f>
        <v>0</v>
      </c>
      <c r="M188" s="293"/>
      <c r="N188" s="293"/>
      <c r="O188" s="293"/>
      <c r="P188" s="293"/>
      <c r="Q188" s="293"/>
      <c r="R188" s="293"/>
      <c r="S188" s="293"/>
      <c r="T188" s="293"/>
      <c r="U188" s="293"/>
    </row>
    <row r="189" spans="1:48" s="442" customFormat="1" hidden="1">
      <c r="A189" s="441"/>
      <c r="B189" s="451" t="s">
        <v>413</v>
      </c>
      <c r="D189" s="455">
        <f>VLOOKUP(D160,TargetedMS,IF(D161="[retail]",4,6),FALSE)</f>
        <v>23118.387703488006</v>
      </c>
      <c r="E189" s="455">
        <f t="shared" ref="E189:K189" si="15">VLOOKUP(E160,TargetedMS,IF(E161="[retail]",4,6),FALSE)</f>
        <v>25128.682286400006</v>
      </c>
      <c r="F189" s="455">
        <f t="shared" si="15"/>
        <v>14072.062080384005</v>
      </c>
      <c r="G189" s="455">
        <f t="shared" si="15"/>
        <v>12061.767497472003</v>
      </c>
      <c r="H189" s="455">
        <f t="shared" si="15"/>
        <v>12061.767497472003</v>
      </c>
      <c r="I189" s="455">
        <f t="shared" si="15"/>
        <v>14072.062080384005</v>
      </c>
      <c r="J189" s="455">
        <f t="shared" si="15"/>
        <v>73798.972188480009</v>
      </c>
      <c r="K189" s="455">
        <f t="shared" si="15"/>
        <v>90198.743785920014</v>
      </c>
      <c r="L189" s="455">
        <f>VLOOKUP(L160,TargetedMS,IF(L161="[retail]",4,6),FALSE)</f>
        <v>0</v>
      </c>
      <c r="M189" s="293"/>
      <c r="N189" s="293"/>
      <c r="O189" s="293"/>
      <c r="P189" s="293"/>
      <c r="Q189" s="293"/>
      <c r="R189" s="293"/>
      <c r="S189" s="293"/>
      <c r="T189" s="293"/>
      <c r="U189" s="293"/>
    </row>
    <row r="190" spans="1:48" s="293" customFormat="1" hidden="1">
      <c r="A190" s="441"/>
      <c r="B190" s="448" t="s">
        <v>415</v>
      </c>
      <c r="D190" s="457" t="str">
        <f t="shared" ref="D190:K190" si="16">IF(D161="[wholesale]",D189/capacity,"")</f>
        <v/>
      </c>
      <c r="E190" s="457" t="str">
        <f t="shared" si="16"/>
        <v/>
      </c>
      <c r="F190" s="457" t="str">
        <f t="shared" si="16"/>
        <v/>
      </c>
      <c r="G190" s="457" t="str">
        <f t="shared" si="16"/>
        <v/>
      </c>
      <c r="H190" s="457" t="str">
        <f t="shared" si="16"/>
        <v/>
      </c>
      <c r="I190" s="457" t="str">
        <f t="shared" si="16"/>
        <v/>
      </c>
      <c r="J190" s="457">
        <f t="shared" si="16"/>
        <v>59.515300152000009</v>
      </c>
      <c r="K190" s="457">
        <f t="shared" si="16"/>
        <v>72.740922408000017</v>
      </c>
      <c r="L190" s="457" t="str">
        <f>IF(L161="[wholesale]",L189/capacity,"")</f>
        <v/>
      </c>
    </row>
    <row r="191" spans="1:48" s="461" customFormat="1" hidden="1">
      <c r="A191" s="458"/>
      <c r="B191" s="459"/>
      <c r="C191" s="460" t="s">
        <v>101</v>
      </c>
      <c r="D191" s="453" t="s">
        <v>416</v>
      </c>
      <c r="E191" s="453"/>
      <c r="F191" s="453"/>
      <c r="G191" s="453"/>
      <c r="H191" s="453"/>
      <c r="I191" s="453"/>
      <c r="J191" s="453"/>
      <c r="K191" s="453"/>
      <c r="L191" s="453"/>
      <c r="O191" s="454"/>
      <c r="R191" s="454"/>
      <c r="S191" s="454"/>
    </row>
    <row r="192" spans="1:48" s="293" customFormat="1" hidden="1">
      <c r="A192" s="447"/>
      <c r="B192" s="448" t="s">
        <v>47</v>
      </c>
      <c r="C192" s="462">
        <f>SUM(D192:Z192)</f>
        <v>9</v>
      </c>
      <c r="D192" s="463">
        <f t="shared" ref="D192:L192" si="17">ProductionFY1(1,D160,VLOOKUP(D160,ProductsRange,3,FALSE),D177)</f>
        <v>1.2194538568865856</v>
      </c>
      <c r="E192" s="463">
        <f t="shared" si="17"/>
        <v>1.252747252747253</v>
      </c>
      <c r="F192" s="463">
        <f t="shared" si="17"/>
        <v>0</v>
      </c>
      <c r="G192" s="463">
        <f t="shared" si="17"/>
        <v>0</v>
      </c>
      <c r="H192" s="463">
        <f t="shared" si="17"/>
        <v>0</v>
      </c>
      <c r="I192" s="463">
        <f t="shared" si="17"/>
        <v>0</v>
      </c>
      <c r="J192" s="463">
        <f t="shared" si="17"/>
        <v>2.7805461431134142</v>
      </c>
      <c r="K192" s="463">
        <f t="shared" si="17"/>
        <v>3.7472527472527473</v>
      </c>
      <c r="L192" s="463">
        <f t="shared" si="17"/>
        <v>0</v>
      </c>
      <c r="M192" s="706"/>
      <c r="N192" s="464"/>
      <c r="O192" s="465"/>
      <c r="R192" s="465"/>
      <c r="S192" s="465"/>
    </row>
    <row r="193" spans="1:48" s="293" customFormat="1" hidden="1">
      <c r="A193" s="450"/>
      <c r="B193" s="448" t="s">
        <v>46</v>
      </c>
      <c r="C193" s="462">
        <f t="shared" ref="C193:C203" si="18">SUM(D193:Z193)</f>
        <v>9</v>
      </c>
      <c r="D193" s="463">
        <f>ProductionFY1(2,D160,VLOOKUP(D160,ProductsRange,3,FALSE),D178)</f>
        <v>1.2194538568865856</v>
      </c>
      <c r="E193" s="463">
        <f t="shared" ref="E193:L193" si="19">ProductionFY1(2,E160,VLOOKUP(E160,ProductsRange,3,FALSE),E178)</f>
        <v>1.252747252747253</v>
      </c>
      <c r="F193" s="463">
        <f t="shared" si="19"/>
        <v>0</v>
      </c>
      <c r="G193" s="463">
        <f t="shared" si="19"/>
        <v>0</v>
      </c>
      <c r="H193" s="463">
        <f t="shared" si="19"/>
        <v>0</v>
      </c>
      <c r="I193" s="463">
        <f t="shared" si="19"/>
        <v>0</v>
      </c>
      <c r="J193" s="463">
        <f t="shared" si="19"/>
        <v>2.7805461431134142</v>
      </c>
      <c r="K193" s="463">
        <f t="shared" si="19"/>
        <v>3.7472527472527473</v>
      </c>
      <c r="L193" s="463">
        <f t="shared" si="19"/>
        <v>0</v>
      </c>
      <c r="M193" s="447"/>
      <c r="O193" s="465"/>
      <c r="R193" s="465"/>
      <c r="S193" s="465"/>
    </row>
    <row r="194" spans="1:48" s="293" customFormat="1" hidden="1">
      <c r="A194" s="442"/>
      <c r="B194" s="451" t="s">
        <v>45</v>
      </c>
      <c r="C194" s="462">
        <f t="shared" si="18"/>
        <v>10</v>
      </c>
      <c r="D194" s="463">
        <f>ProductionFY1(3,D160,VLOOKUP(D160,ProductsRange,3,FALSE),D179)</f>
        <v>1.3382623151631816</v>
      </c>
      <c r="E194" s="463">
        <f t="shared" ref="E194:L194" si="20">ProductionFY1(3,E160,VLOOKUP(E160,ProductsRange,3,FALSE),E179)</f>
        <v>1.0894495412844036</v>
      </c>
      <c r="F194" s="463">
        <f t="shared" si="20"/>
        <v>0</v>
      </c>
      <c r="G194" s="463">
        <f t="shared" si="20"/>
        <v>0</v>
      </c>
      <c r="H194" s="463">
        <f t="shared" si="20"/>
        <v>0</v>
      </c>
      <c r="I194" s="463">
        <f t="shared" si="20"/>
        <v>0</v>
      </c>
      <c r="J194" s="463">
        <f t="shared" si="20"/>
        <v>3.6617376848368184</v>
      </c>
      <c r="K194" s="463">
        <f t="shared" si="20"/>
        <v>3.9105504587155959</v>
      </c>
      <c r="L194" s="463">
        <f t="shared" si="20"/>
        <v>0</v>
      </c>
      <c r="M194" s="447"/>
      <c r="O194" s="465"/>
      <c r="R194" s="465"/>
      <c r="S194" s="465"/>
    </row>
    <row r="195" spans="1:48" s="293" customFormat="1" hidden="1">
      <c r="A195" s="442"/>
      <c r="B195" s="451" t="s">
        <v>44</v>
      </c>
      <c r="C195" s="462">
        <f t="shared" si="18"/>
        <v>11</v>
      </c>
      <c r="D195" s="463">
        <f>ProductionFY1(4,D160,VLOOKUP(D160,ProductsRange,3,FALSE),D180)</f>
        <v>1.1926855895196506</v>
      </c>
      <c r="E195" s="463">
        <f t="shared" ref="E195:L195" si="21">ProductionFY1(4,E160,VLOOKUP(E160,ProductsRange,3,FALSE),E180)</f>
        <v>1.3073394495412844</v>
      </c>
      <c r="F195" s="463">
        <f t="shared" si="21"/>
        <v>0</v>
      </c>
      <c r="G195" s="463">
        <f t="shared" si="21"/>
        <v>0</v>
      </c>
      <c r="H195" s="463">
        <f t="shared" si="21"/>
        <v>0</v>
      </c>
      <c r="I195" s="463">
        <f t="shared" si="21"/>
        <v>0</v>
      </c>
      <c r="J195" s="463">
        <f t="shared" si="21"/>
        <v>3.8073144104803496</v>
      </c>
      <c r="K195" s="463">
        <f t="shared" si="21"/>
        <v>4.6926605504587151</v>
      </c>
      <c r="L195" s="463">
        <f t="shared" si="21"/>
        <v>0</v>
      </c>
      <c r="M195" s="447"/>
      <c r="O195" s="465"/>
      <c r="R195" s="465"/>
      <c r="S195" s="465"/>
    </row>
    <row r="196" spans="1:48" s="293" customFormat="1" hidden="1">
      <c r="A196" s="442"/>
      <c r="B196" s="451" t="s">
        <v>43</v>
      </c>
      <c r="C196" s="462">
        <f t="shared" si="18"/>
        <v>14.999999999999998</v>
      </c>
      <c r="D196" s="463">
        <f>ProductionFY1(5,D160,VLOOKUP(D160,ProductsRange,3,FALSE),D181)</f>
        <v>1.4312227074235808</v>
      </c>
      <c r="E196" s="463">
        <f t="shared" ref="E196:L196" si="22">ProductionFY1(5,E160,VLOOKUP(E160,ProductsRange,3,FALSE),E181)</f>
        <v>1.5252293577981653</v>
      </c>
      <c r="F196" s="463">
        <f t="shared" si="22"/>
        <v>1</v>
      </c>
      <c r="G196" s="463">
        <f t="shared" si="22"/>
        <v>0</v>
      </c>
      <c r="H196" s="463">
        <f t="shared" si="22"/>
        <v>0</v>
      </c>
      <c r="I196" s="463">
        <f t="shared" si="22"/>
        <v>1</v>
      </c>
      <c r="J196" s="463">
        <f t="shared" si="22"/>
        <v>4.568777292576419</v>
      </c>
      <c r="K196" s="463">
        <f t="shared" si="22"/>
        <v>5.4747706422018343</v>
      </c>
      <c r="L196" s="463">
        <f t="shared" si="22"/>
        <v>0</v>
      </c>
      <c r="M196" s="447"/>
      <c r="O196" s="465"/>
      <c r="R196" s="465"/>
      <c r="S196" s="465"/>
    </row>
    <row r="197" spans="1:48" s="293" customFormat="1" hidden="1">
      <c r="B197" s="451" t="s">
        <v>42</v>
      </c>
      <c r="C197" s="462">
        <f t="shared" si="18"/>
        <v>21.000000000000004</v>
      </c>
      <c r="D197" s="463">
        <f>ProductionFY1(6,D160,VLOOKUP(D160,ProductsRange,3,FALSE),D182)</f>
        <v>1.9082969432314414</v>
      </c>
      <c r="E197" s="463">
        <f t="shared" ref="E197:L197" si="23">ProductionFY1(6,E160,VLOOKUP(E160,ProductsRange,3,FALSE),E182)</f>
        <v>1.9610091743119269</v>
      </c>
      <c r="F197" s="463">
        <f t="shared" si="23"/>
        <v>1</v>
      </c>
      <c r="G197" s="463">
        <f t="shared" si="23"/>
        <v>1</v>
      </c>
      <c r="H197" s="463">
        <f t="shared" si="23"/>
        <v>1</v>
      </c>
      <c r="I197" s="463">
        <f t="shared" si="23"/>
        <v>1</v>
      </c>
      <c r="J197" s="463">
        <f t="shared" si="23"/>
        <v>6.0917030567685595</v>
      </c>
      <c r="K197" s="463">
        <f t="shared" si="23"/>
        <v>7.0389908256880744</v>
      </c>
      <c r="L197" s="463">
        <f t="shared" si="23"/>
        <v>0</v>
      </c>
      <c r="M197" s="447"/>
      <c r="O197" s="465"/>
      <c r="R197" s="465"/>
      <c r="S197" s="465"/>
    </row>
    <row r="198" spans="1:48" s="293" customFormat="1" hidden="1">
      <c r="B198" s="451" t="s">
        <v>41</v>
      </c>
      <c r="C198" s="462">
        <f t="shared" si="18"/>
        <v>21.000000000000004</v>
      </c>
      <c r="D198" s="463">
        <f>ProductionFY1(7,D160,VLOOKUP(D160,ProductsRange,3,FALSE),D183)</f>
        <v>1.9082969432314414</v>
      </c>
      <c r="E198" s="463">
        <f t="shared" ref="E198:L198" si="24">ProductionFY1(7,E160,VLOOKUP(E160,ProductsRange,3,FALSE),E183)</f>
        <v>1.9610091743119269</v>
      </c>
      <c r="F198" s="463">
        <f t="shared" si="24"/>
        <v>1</v>
      </c>
      <c r="G198" s="463">
        <f t="shared" si="24"/>
        <v>1</v>
      </c>
      <c r="H198" s="463">
        <f t="shared" si="24"/>
        <v>1</v>
      </c>
      <c r="I198" s="463">
        <f t="shared" si="24"/>
        <v>1</v>
      </c>
      <c r="J198" s="463">
        <f t="shared" si="24"/>
        <v>6.0917030567685595</v>
      </c>
      <c r="K198" s="463">
        <f t="shared" si="24"/>
        <v>7.0389908256880744</v>
      </c>
      <c r="L198" s="463">
        <f t="shared" si="24"/>
        <v>0</v>
      </c>
      <c r="M198" s="447"/>
      <c r="O198" s="465"/>
      <c r="R198" s="465"/>
      <c r="S198" s="465"/>
    </row>
    <row r="199" spans="1:48" s="293" customFormat="1" hidden="1">
      <c r="B199" s="451" t="s">
        <v>40</v>
      </c>
      <c r="C199" s="462">
        <f t="shared" si="18"/>
        <v>24</v>
      </c>
      <c r="D199" s="463">
        <f>ProductionFY1(8,D160,VLOOKUP(D160,ProductsRange,3,FALSE),D184)</f>
        <v>1.8630980577925158</v>
      </c>
      <c r="E199" s="463">
        <f t="shared" ref="E199:L199" si="25">ProductionFY1(8,E160,VLOOKUP(E160,ProductsRange,3,FALSE),E184)</f>
        <v>2.2376873661670236</v>
      </c>
      <c r="F199" s="463">
        <f t="shared" si="25"/>
        <v>1</v>
      </c>
      <c r="G199" s="463">
        <f t="shared" si="25"/>
        <v>1</v>
      </c>
      <c r="H199" s="463">
        <f t="shared" si="25"/>
        <v>1</v>
      </c>
      <c r="I199" s="463">
        <f t="shared" si="25"/>
        <v>1</v>
      </c>
      <c r="J199" s="463">
        <f t="shared" si="25"/>
        <v>7.1369019422074853</v>
      </c>
      <c r="K199" s="463">
        <f t="shared" si="25"/>
        <v>8.7623126338329751</v>
      </c>
      <c r="L199" s="463">
        <f t="shared" si="25"/>
        <v>0</v>
      </c>
      <c r="M199" s="447"/>
      <c r="O199" s="465"/>
      <c r="R199" s="465"/>
      <c r="S199" s="465"/>
    </row>
    <row r="200" spans="1:48" s="293" customFormat="1" hidden="1">
      <c r="B200" s="451" t="s">
        <v>39</v>
      </c>
      <c r="C200" s="462">
        <f t="shared" si="18"/>
        <v>24</v>
      </c>
      <c r="D200" s="463">
        <f>ProductionFY1(9,D160,VLOOKUP(D160,ProductsRange,3,FALSE),D185)</f>
        <v>1.8630980577925158</v>
      </c>
      <c r="E200" s="463">
        <f t="shared" ref="E200:L200" si="26">ProductionFY1(9,E160,VLOOKUP(E160,ProductsRange,3,FALSE),E185)</f>
        <v>2.2376873661670236</v>
      </c>
      <c r="F200" s="463">
        <f t="shared" si="26"/>
        <v>1</v>
      </c>
      <c r="G200" s="463">
        <f t="shared" si="26"/>
        <v>1</v>
      </c>
      <c r="H200" s="463">
        <f t="shared" si="26"/>
        <v>1</v>
      </c>
      <c r="I200" s="463">
        <f t="shared" si="26"/>
        <v>1</v>
      </c>
      <c r="J200" s="463">
        <f t="shared" si="26"/>
        <v>7.1369019422074853</v>
      </c>
      <c r="K200" s="463">
        <f t="shared" si="26"/>
        <v>8.7623126338329751</v>
      </c>
      <c r="L200" s="463">
        <f t="shared" si="26"/>
        <v>0</v>
      </c>
      <c r="M200" s="447"/>
      <c r="O200" s="465"/>
      <c r="R200" s="465"/>
      <c r="S200" s="465"/>
    </row>
    <row r="201" spans="1:48" s="293" customFormat="1" hidden="1">
      <c r="B201" s="451" t="s">
        <v>38</v>
      </c>
      <c r="C201" s="462">
        <f t="shared" si="18"/>
        <v>22</v>
      </c>
      <c r="D201" s="463">
        <f>ProductionFY1(10,D160,VLOOKUP(D160,ProductsRange,3,FALSE),D186)</f>
        <v>1.7732690844534618</v>
      </c>
      <c r="E201" s="463">
        <f t="shared" ref="E201:L201" si="27">ProductionFY1(10,E160,VLOOKUP(E160,ProductsRange,3,FALSE),E186)</f>
        <v>2.1788990825688077</v>
      </c>
      <c r="F201" s="463">
        <f t="shared" si="27"/>
        <v>1</v>
      </c>
      <c r="G201" s="463">
        <f t="shared" si="27"/>
        <v>1</v>
      </c>
      <c r="H201" s="463">
        <f t="shared" si="27"/>
        <v>1</v>
      </c>
      <c r="I201" s="463">
        <f t="shared" si="27"/>
        <v>1</v>
      </c>
      <c r="J201" s="463">
        <f t="shared" si="27"/>
        <v>6.2267309155465371</v>
      </c>
      <c r="K201" s="463">
        <f t="shared" si="27"/>
        <v>7.8211009174311927</v>
      </c>
      <c r="L201" s="463">
        <f t="shared" si="27"/>
        <v>0</v>
      </c>
      <c r="M201" s="447"/>
      <c r="O201" s="465"/>
      <c r="R201" s="465"/>
      <c r="S201" s="465"/>
    </row>
    <row r="202" spans="1:48" s="293" customFormat="1" hidden="1">
      <c r="B202" s="451" t="s">
        <v>37</v>
      </c>
      <c r="C202" s="462">
        <f t="shared" si="18"/>
        <v>11</v>
      </c>
      <c r="D202" s="463">
        <f>ProductionFY1(11,D160,VLOOKUP(D160,ProductsRange,3,FALSE),D187)</f>
        <v>1.1926855895196506</v>
      </c>
      <c r="E202" s="463">
        <f t="shared" ref="E202:L202" si="28">ProductionFY1(11,E160,VLOOKUP(E160,ProductsRange,3,FALSE),E187)</f>
        <v>1.3073394495412844</v>
      </c>
      <c r="F202" s="463">
        <f t="shared" si="28"/>
        <v>0</v>
      </c>
      <c r="G202" s="463">
        <f t="shared" si="28"/>
        <v>0</v>
      </c>
      <c r="H202" s="463">
        <f t="shared" si="28"/>
        <v>0</v>
      </c>
      <c r="I202" s="463">
        <f t="shared" si="28"/>
        <v>0</v>
      </c>
      <c r="J202" s="463">
        <f t="shared" si="28"/>
        <v>3.8073144104803496</v>
      </c>
      <c r="K202" s="463">
        <f t="shared" si="28"/>
        <v>4.6926605504587151</v>
      </c>
      <c r="L202" s="463">
        <f t="shared" si="28"/>
        <v>0</v>
      </c>
      <c r="M202" s="447"/>
      <c r="O202" s="465"/>
      <c r="R202" s="465"/>
      <c r="S202" s="465"/>
    </row>
    <row r="203" spans="1:48" s="293" customFormat="1" hidden="1">
      <c r="B203" s="451" t="s">
        <v>36</v>
      </c>
      <c r="C203" s="462">
        <f t="shared" si="18"/>
        <v>10</v>
      </c>
      <c r="D203" s="463">
        <f>ProductionFY1(12,D160,VLOOKUP(D160,ProductsRange,3,FALSE),D188)</f>
        <v>1.1926855895196506</v>
      </c>
      <c r="E203" s="463">
        <f t="shared" ref="E203:L203" si="29">ProductionFY1(12,E160,VLOOKUP(E160,ProductsRange,3,FALSE),E188)</f>
        <v>1.2264846919955736</v>
      </c>
      <c r="F203" s="463">
        <f t="shared" si="29"/>
        <v>0</v>
      </c>
      <c r="G203" s="463">
        <f t="shared" si="29"/>
        <v>0</v>
      </c>
      <c r="H203" s="463">
        <f t="shared" si="29"/>
        <v>0</v>
      </c>
      <c r="I203" s="463">
        <f t="shared" si="29"/>
        <v>0</v>
      </c>
      <c r="J203" s="463">
        <f t="shared" si="29"/>
        <v>3.8073144104803496</v>
      </c>
      <c r="K203" s="463">
        <f t="shared" si="29"/>
        <v>3.7735153080044261</v>
      </c>
      <c r="L203" s="463">
        <f t="shared" si="29"/>
        <v>0</v>
      </c>
      <c r="M203" s="447"/>
      <c r="O203" s="465"/>
      <c r="R203" s="465"/>
      <c r="S203" s="465"/>
    </row>
    <row r="204" spans="1:48" s="293" customFormat="1" hidden="1">
      <c r="A204" s="466" t="s">
        <v>417</v>
      </c>
      <c r="B204" s="442"/>
      <c r="C204" s="448" t="s">
        <v>85</v>
      </c>
      <c r="D204" s="467">
        <f t="shared" ref="D204:I204" si="30">SUM(D177:D188)</f>
        <v>23118.387703488002</v>
      </c>
      <c r="E204" s="468">
        <f t="shared" si="30"/>
        <v>25128.682286400002</v>
      </c>
      <c r="F204" s="468">
        <f t="shared" si="30"/>
        <v>14072.062080384005</v>
      </c>
      <c r="G204" s="468">
        <f t="shared" si="30"/>
        <v>12061.767497472003</v>
      </c>
      <c r="H204" s="468">
        <f t="shared" si="30"/>
        <v>12061.767497472003</v>
      </c>
      <c r="I204" s="468">
        <f t="shared" si="30"/>
        <v>14072.062080384005</v>
      </c>
      <c r="J204" s="469">
        <f>J189</f>
        <v>73798.972188480009</v>
      </c>
      <c r="K204" s="469">
        <f>K189</f>
        <v>90198.743785920014</v>
      </c>
      <c r="L204" s="469">
        <f>L189</f>
        <v>0</v>
      </c>
      <c r="O204" s="465"/>
      <c r="R204" s="465"/>
      <c r="S204" s="465"/>
    </row>
    <row r="205" spans="1:48" s="293" customFormat="1" hidden="1">
      <c r="A205" s="466" t="s">
        <v>418</v>
      </c>
      <c r="B205" s="442"/>
      <c r="C205" s="448" t="s">
        <v>85</v>
      </c>
      <c r="D205" s="467">
        <f t="shared" ref="D205:K205" si="31">SUM(D192:D203)*capacity</f>
        <v>22447.110653361127</v>
      </c>
      <c r="E205" s="467">
        <f t="shared" si="31"/>
        <v>24226.660157385588</v>
      </c>
      <c r="F205" s="467">
        <f t="shared" si="31"/>
        <v>7440</v>
      </c>
      <c r="G205" s="467">
        <f t="shared" si="31"/>
        <v>6200</v>
      </c>
      <c r="H205" s="467">
        <f t="shared" si="31"/>
        <v>6200</v>
      </c>
      <c r="I205" s="467">
        <f t="shared" si="31"/>
        <v>7440</v>
      </c>
      <c r="J205" s="467">
        <f t="shared" si="31"/>
        <v>71792.889346638884</v>
      </c>
      <c r="K205" s="467">
        <f t="shared" si="31"/>
        <v>86133.339842614398</v>
      </c>
      <c r="L205" s="467">
        <f>SUM(L192:L203)*capacity</f>
        <v>0</v>
      </c>
      <c r="O205" s="465"/>
      <c r="R205" s="465"/>
      <c r="S205" s="465"/>
    </row>
    <row r="206" spans="1:48" s="293" customFormat="1" hidden="1">
      <c r="A206" s="466" t="s">
        <v>419</v>
      </c>
      <c r="B206" s="442"/>
      <c r="C206" s="448" t="s">
        <v>85</v>
      </c>
      <c r="D206" s="467">
        <f t="shared" ref="D206:K206" si="32">D204-D205</f>
        <v>671.27705012687511</v>
      </c>
      <c r="E206" s="468">
        <f t="shared" si="32"/>
        <v>902.02212901441453</v>
      </c>
      <c r="F206" s="468">
        <f t="shared" si="32"/>
        <v>6632.0620803840047</v>
      </c>
      <c r="G206" s="468">
        <f t="shared" si="32"/>
        <v>5861.767497472003</v>
      </c>
      <c r="H206" s="468">
        <f t="shared" si="32"/>
        <v>5861.767497472003</v>
      </c>
      <c r="I206" s="468">
        <f t="shared" si="32"/>
        <v>6632.0620803840047</v>
      </c>
      <c r="J206" s="468">
        <f t="shared" si="32"/>
        <v>2006.0828418411256</v>
      </c>
      <c r="K206" s="468">
        <f t="shared" si="32"/>
        <v>4065.4039433056168</v>
      </c>
      <c r="L206" s="468">
        <f>L204-L205</f>
        <v>0</v>
      </c>
      <c r="O206" s="465"/>
      <c r="R206" s="465"/>
      <c r="S206" s="465"/>
    </row>
    <row r="207" spans="1:48" s="444" customFormat="1" hidden="1">
      <c r="A207" s="441"/>
      <c r="B207" s="445" t="s">
        <v>34</v>
      </c>
      <c r="C207" s="445"/>
      <c r="D207" s="470" t="s">
        <v>412</v>
      </c>
      <c r="E207" s="470"/>
      <c r="F207" s="470"/>
      <c r="G207" s="470"/>
      <c r="H207" s="470"/>
      <c r="I207" s="470"/>
      <c r="J207" s="470"/>
      <c r="K207" s="470"/>
      <c r="L207" s="470"/>
      <c r="M207" s="293"/>
      <c r="N207" s="293"/>
      <c r="O207" s="293"/>
      <c r="P207" s="293"/>
      <c r="Q207" s="293"/>
      <c r="R207" s="293"/>
      <c r="S207" s="293"/>
      <c r="T207" s="293"/>
      <c r="U207" s="293"/>
      <c r="V207" s="293"/>
      <c r="W207" s="293"/>
      <c r="AG207" s="293"/>
      <c r="AH207" s="293"/>
      <c r="AI207" s="293"/>
      <c r="AJ207" s="293"/>
      <c r="AK207" s="293"/>
      <c r="AL207" s="293"/>
      <c r="AM207" s="293"/>
      <c r="AN207" s="293"/>
      <c r="AO207" s="293"/>
      <c r="AP207" s="293"/>
      <c r="AQ207" s="293"/>
      <c r="AR207" s="293"/>
      <c r="AS207" s="293"/>
      <c r="AT207" s="293"/>
      <c r="AU207" s="293"/>
      <c r="AV207" s="293"/>
    </row>
    <row r="208" spans="1:48" s="444" customFormat="1" hidden="1">
      <c r="A208" s="447"/>
      <c r="B208" s="448" t="s">
        <v>47</v>
      </c>
      <c r="D208" s="449">
        <v>7.0000000000000007E-2</v>
      </c>
      <c r="E208" s="449">
        <v>0.06</v>
      </c>
      <c r="F208" s="449">
        <v>0.05</v>
      </c>
      <c r="G208" s="449">
        <v>0.05</v>
      </c>
      <c r="H208" s="449">
        <v>0.05</v>
      </c>
      <c r="I208" s="449">
        <v>0.05</v>
      </c>
      <c r="J208" s="449">
        <v>0.05</v>
      </c>
      <c r="K208" s="449">
        <v>0.05</v>
      </c>
      <c r="L208" s="449"/>
      <c r="M208" s="293"/>
      <c r="N208" s="293"/>
      <c r="O208" s="293"/>
      <c r="P208" s="293"/>
      <c r="Q208" s="293"/>
      <c r="R208" s="293"/>
      <c r="S208" s="293"/>
      <c r="T208" s="293"/>
      <c r="U208" s="293"/>
      <c r="V208" s="293"/>
      <c r="W208" s="293"/>
      <c r="AG208" s="293"/>
      <c r="AH208" s="293"/>
      <c r="AI208" s="293"/>
      <c r="AJ208" s="293"/>
      <c r="AK208" s="293"/>
      <c r="AL208" s="293"/>
      <c r="AM208" s="293"/>
      <c r="AN208" s="293"/>
      <c r="AO208" s="293"/>
      <c r="AP208" s="293"/>
      <c r="AQ208" s="293"/>
      <c r="AR208" s="293"/>
      <c r="AS208" s="293"/>
      <c r="AT208" s="293"/>
      <c r="AU208" s="293"/>
      <c r="AV208" s="293"/>
    </row>
    <row r="209" spans="1:48" s="444" customFormat="1" hidden="1">
      <c r="A209" s="450"/>
      <c r="B209" s="448" t="s">
        <v>46</v>
      </c>
      <c r="D209" s="449">
        <v>7.0000000000000007E-2</v>
      </c>
      <c r="E209" s="449">
        <v>0.06</v>
      </c>
      <c r="F209" s="449">
        <v>0.05</v>
      </c>
      <c r="G209" s="449">
        <v>0.05</v>
      </c>
      <c r="H209" s="449">
        <v>0.05</v>
      </c>
      <c r="I209" s="449">
        <v>0.05</v>
      </c>
      <c r="J209" s="449">
        <v>0.05</v>
      </c>
      <c r="K209" s="449">
        <v>0.05</v>
      </c>
      <c r="L209" s="449"/>
      <c r="M209" s="293"/>
      <c r="N209" s="293"/>
      <c r="O209" s="293"/>
      <c r="P209" s="293"/>
      <c r="Q209" s="293"/>
      <c r="R209" s="293"/>
      <c r="S209" s="293"/>
      <c r="T209" s="293"/>
      <c r="U209" s="293"/>
      <c r="V209" s="293"/>
      <c r="W209" s="293"/>
      <c r="AG209" s="293"/>
      <c r="AH209" s="293"/>
      <c r="AI209" s="293"/>
      <c r="AJ209" s="293"/>
      <c r="AK209" s="293"/>
      <c r="AL209" s="293"/>
      <c r="AM209" s="293"/>
      <c r="AN209" s="293"/>
      <c r="AO209" s="293"/>
      <c r="AP209" s="293"/>
      <c r="AQ209" s="293"/>
      <c r="AR209" s="293"/>
      <c r="AS209" s="293"/>
      <c r="AT209" s="293"/>
      <c r="AU209" s="293"/>
      <c r="AV209" s="293"/>
    </row>
    <row r="210" spans="1:48" s="444" customFormat="1" hidden="1">
      <c r="A210" s="442"/>
      <c r="B210" s="451" t="s">
        <v>45</v>
      </c>
      <c r="D210" s="449">
        <v>7.0000000000000007E-2</v>
      </c>
      <c r="E210" s="449">
        <v>0.06</v>
      </c>
      <c r="F210" s="449">
        <v>0.06</v>
      </c>
      <c r="G210" s="449">
        <v>0.06</v>
      </c>
      <c r="H210" s="449">
        <v>0.06</v>
      </c>
      <c r="I210" s="449">
        <v>0.06</v>
      </c>
      <c r="J210" s="449">
        <v>0.06</v>
      </c>
      <c r="K210" s="449">
        <v>0.06</v>
      </c>
      <c r="L210" s="449"/>
      <c r="M210" s="293"/>
      <c r="N210" s="293"/>
      <c r="O210" s="293"/>
      <c r="P210" s="293"/>
      <c r="Q210" s="293"/>
      <c r="R210" s="293"/>
      <c r="S210" s="293"/>
      <c r="T210" s="293"/>
      <c r="U210" s="293"/>
      <c r="V210" s="293"/>
      <c r="W210" s="293"/>
      <c r="AG210" s="293"/>
      <c r="AH210" s="293"/>
      <c r="AI210" s="293"/>
      <c r="AJ210" s="293"/>
      <c r="AK210" s="293"/>
      <c r="AL210" s="293"/>
      <c r="AM210" s="293"/>
      <c r="AN210" s="293"/>
      <c r="AO210" s="293"/>
      <c r="AP210" s="293"/>
      <c r="AQ210" s="293"/>
      <c r="AR210" s="293"/>
      <c r="AS210" s="293"/>
      <c r="AT210" s="293"/>
      <c r="AU210" s="293"/>
      <c r="AV210" s="293"/>
    </row>
    <row r="211" spans="1:48" s="442" customFormat="1" hidden="1">
      <c r="B211" s="451" t="s">
        <v>44</v>
      </c>
      <c r="D211" s="449">
        <v>7.0000000000000007E-2</v>
      </c>
      <c r="E211" s="449">
        <v>7.0000000000000007E-2</v>
      </c>
      <c r="F211" s="449">
        <v>7.0000000000000007E-2</v>
      </c>
      <c r="G211" s="449">
        <v>7.0000000000000007E-2</v>
      </c>
      <c r="H211" s="449">
        <v>7.0000000000000007E-2</v>
      </c>
      <c r="I211" s="449">
        <v>7.0000000000000007E-2</v>
      </c>
      <c r="J211" s="449">
        <v>7.0000000000000007E-2</v>
      </c>
      <c r="K211" s="449">
        <v>7.0000000000000007E-2</v>
      </c>
      <c r="L211" s="449"/>
      <c r="M211" s="293"/>
      <c r="N211" s="293"/>
      <c r="O211" s="293"/>
      <c r="P211" s="293"/>
      <c r="Q211" s="293"/>
      <c r="R211" s="293"/>
      <c r="S211" s="293"/>
      <c r="T211" s="293"/>
      <c r="U211" s="293"/>
      <c r="V211" s="293"/>
      <c r="W211" s="293"/>
      <c r="AG211" s="293"/>
      <c r="AH211" s="293"/>
      <c r="AI211" s="293"/>
      <c r="AJ211" s="293"/>
      <c r="AK211" s="293"/>
      <c r="AL211" s="293"/>
      <c r="AM211" s="293"/>
      <c r="AN211" s="293"/>
      <c r="AO211" s="293"/>
      <c r="AP211" s="293"/>
      <c r="AQ211" s="293"/>
      <c r="AR211" s="293"/>
      <c r="AS211" s="293"/>
      <c r="AT211" s="293"/>
      <c r="AU211" s="293"/>
      <c r="AV211" s="293"/>
    </row>
    <row r="212" spans="1:48" s="442" customFormat="1" hidden="1">
      <c r="B212" s="451" t="s">
        <v>43</v>
      </c>
      <c r="D212" s="449">
        <v>0.08</v>
      </c>
      <c r="E212" s="449">
        <v>0.08</v>
      </c>
      <c r="F212" s="449">
        <v>0.08</v>
      </c>
      <c r="G212" s="449">
        <v>0.08</v>
      </c>
      <c r="H212" s="449">
        <v>0.08</v>
      </c>
      <c r="I212" s="449">
        <v>0.08</v>
      </c>
      <c r="J212" s="449">
        <v>0.08</v>
      </c>
      <c r="K212" s="449">
        <v>0.08</v>
      </c>
      <c r="L212" s="449"/>
      <c r="M212" s="293"/>
      <c r="N212" s="293"/>
      <c r="O212" s="293"/>
      <c r="P212" s="293"/>
      <c r="Q212" s="293"/>
      <c r="R212" s="293"/>
      <c r="S212" s="293"/>
      <c r="T212" s="293"/>
      <c r="U212" s="293"/>
      <c r="V212" s="293"/>
      <c r="W212" s="293"/>
      <c r="AG212" s="293"/>
      <c r="AH212" s="293"/>
      <c r="AI212" s="293"/>
      <c r="AJ212" s="293"/>
      <c r="AK212" s="293"/>
      <c r="AL212" s="293"/>
      <c r="AM212" s="293"/>
      <c r="AN212" s="293"/>
      <c r="AO212" s="293"/>
      <c r="AP212" s="293"/>
      <c r="AQ212" s="293"/>
      <c r="AR212" s="293"/>
      <c r="AS212" s="293"/>
      <c r="AT212" s="293"/>
      <c r="AU212" s="293"/>
      <c r="AV212" s="293"/>
    </row>
    <row r="213" spans="1:48" s="442" customFormat="1" hidden="1">
      <c r="A213" s="293"/>
      <c r="B213" s="451" t="s">
        <v>42</v>
      </c>
      <c r="D213" s="449">
        <v>0.1</v>
      </c>
      <c r="E213" s="449">
        <v>0.1</v>
      </c>
      <c r="F213" s="449">
        <v>0.1</v>
      </c>
      <c r="G213" s="449">
        <v>0.1</v>
      </c>
      <c r="H213" s="449">
        <v>0.1</v>
      </c>
      <c r="I213" s="449">
        <v>0.1</v>
      </c>
      <c r="J213" s="449">
        <v>0.1</v>
      </c>
      <c r="K213" s="449">
        <v>0.1</v>
      </c>
      <c r="L213" s="449"/>
      <c r="M213" s="293"/>
      <c r="N213" s="293"/>
      <c r="O213" s="293"/>
      <c r="P213" s="293"/>
      <c r="Q213" s="293"/>
      <c r="R213" s="293"/>
      <c r="S213" s="293"/>
      <c r="T213" s="293"/>
      <c r="U213" s="293"/>
      <c r="V213" s="293"/>
      <c r="W213" s="293"/>
      <c r="X213" s="293"/>
      <c r="Y213" s="29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row>
    <row r="214" spans="1:48" s="442" customFormat="1" hidden="1">
      <c r="A214" s="293"/>
      <c r="B214" s="451" t="s">
        <v>41</v>
      </c>
      <c r="D214" s="449">
        <v>0.1</v>
      </c>
      <c r="E214" s="449">
        <v>0.1</v>
      </c>
      <c r="F214" s="449">
        <v>0.1</v>
      </c>
      <c r="G214" s="449">
        <v>0.1</v>
      </c>
      <c r="H214" s="449">
        <v>0.1</v>
      </c>
      <c r="I214" s="449">
        <v>0.1</v>
      </c>
      <c r="J214" s="449">
        <v>0.1</v>
      </c>
      <c r="K214" s="449">
        <v>0.1</v>
      </c>
      <c r="L214" s="449"/>
      <c r="M214" s="293"/>
      <c r="N214" s="293"/>
      <c r="O214" s="293"/>
      <c r="P214" s="293"/>
      <c r="Q214" s="293"/>
      <c r="R214" s="293"/>
      <c r="S214" s="293"/>
      <c r="T214" s="293"/>
      <c r="U214" s="293"/>
      <c r="V214" s="293"/>
      <c r="W214" s="293"/>
      <c r="X214" s="293"/>
      <c r="Y214" s="29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row>
    <row r="215" spans="1:48" s="442" customFormat="1" hidden="1">
      <c r="A215" s="293"/>
      <c r="B215" s="451" t="s">
        <v>40</v>
      </c>
      <c r="D215" s="449">
        <v>0.1</v>
      </c>
      <c r="E215" s="449">
        <v>0.11</v>
      </c>
      <c r="F215" s="449">
        <v>0.12</v>
      </c>
      <c r="G215" s="449">
        <v>0.12</v>
      </c>
      <c r="H215" s="449">
        <v>0.12</v>
      </c>
      <c r="I215" s="449">
        <v>0.12</v>
      </c>
      <c r="J215" s="449">
        <v>0.12</v>
      </c>
      <c r="K215" s="449">
        <v>0.12</v>
      </c>
      <c r="L215" s="449"/>
      <c r="M215" s="293"/>
      <c r="N215" s="293"/>
      <c r="O215" s="293"/>
      <c r="P215" s="293"/>
      <c r="Q215" s="293"/>
      <c r="R215" s="293"/>
      <c r="S215" s="293"/>
      <c r="T215" s="293"/>
      <c r="U215" s="293"/>
      <c r="V215" s="293"/>
      <c r="W215" s="293"/>
      <c r="X215" s="293"/>
      <c r="Y215" s="29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row>
    <row r="216" spans="1:48" s="442" customFormat="1" hidden="1">
      <c r="A216" s="293"/>
      <c r="B216" s="451" t="s">
        <v>39</v>
      </c>
      <c r="D216" s="449">
        <v>0.1</v>
      </c>
      <c r="E216" s="449">
        <v>0.11</v>
      </c>
      <c r="F216" s="449">
        <v>0.12</v>
      </c>
      <c r="G216" s="449">
        <v>0.12</v>
      </c>
      <c r="H216" s="449">
        <v>0.12</v>
      </c>
      <c r="I216" s="449">
        <v>0.12</v>
      </c>
      <c r="J216" s="449">
        <v>0.12</v>
      </c>
      <c r="K216" s="449">
        <v>0.12</v>
      </c>
      <c r="L216" s="449"/>
      <c r="M216" s="293"/>
      <c r="N216" s="293"/>
      <c r="O216" s="293"/>
      <c r="P216" s="293"/>
      <c r="Q216" s="293"/>
      <c r="R216" s="293"/>
      <c r="S216" s="293"/>
      <c r="T216" s="293"/>
      <c r="U216" s="293"/>
      <c r="V216" s="293"/>
      <c r="W216" s="293"/>
      <c r="X216" s="293"/>
      <c r="Y216" s="29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row>
    <row r="217" spans="1:48" s="442" customFormat="1" hidden="1">
      <c r="A217" s="293"/>
      <c r="B217" s="451" t="s">
        <v>38</v>
      </c>
      <c r="D217" s="449">
        <v>0.1</v>
      </c>
      <c r="E217" s="449">
        <v>0.11</v>
      </c>
      <c r="F217" s="449">
        <v>0.11</v>
      </c>
      <c r="G217" s="449">
        <v>0.11</v>
      </c>
      <c r="H217" s="449">
        <v>0.11</v>
      </c>
      <c r="I217" s="449">
        <v>0.11</v>
      </c>
      <c r="J217" s="449">
        <v>0.11</v>
      </c>
      <c r="K217" s="449">
        <v>0.11</v>
      </c>
      <c r="L217" s="449"/>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row>
    <row r="218" spans="1:48" s="442" customFormat="1" hidden="1">
      <c r="A218" s="293"/>
      <c r="B218" s="451" t="s">
        <v>37</v>
      </c>
      <c r="D218" s="449">
        <v>7.0000000000000007E-2</v>
      </c>
      <c r="E218" s="449">
        <v>7.0000000000000007E-2</v>
      </c>
      <c r="F218" s="449">
        <v>7.0000000000000007E-2</v>
      </c>
      <c r="G218" s="449">
        <v>7.0000000000000007E-2</v>
      </c>
      <c r="H218" s="449">
        <v>7.0000000000000007E-2</v>
      </c>
      <c r="I218" s="449">
        <v>7.0000000000000007E-2</v>
      </c>
      <c r="J218" s="449">
        <v>7.0000000000000007E-2</v>
      </c>
      <c r="K218" s="449">
        <v>7.0000000000000007E-2</v>
      </c>
      <c r="L218" s="449"/>
      <c r="M218" s="293"/>
      <c r="N218" s="293"/>
      <c r="O218" s="293"/>
      <c r="P218" s="293"/>
      <c r="Q218" s="293"/>
      <c r="R218" s="293"/>
      <c r="S218" s="293"/>
      <c r="T218" s="293"/>
      <c r="U218" s="293"/>
      <c r="V218" s="293"/>
      <c r="W218" s="293"/>
      <c r="X218" s="293"/>
      <c r="Y218" s="29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row>
    <row r="219" spans="1:48" s="442" customFormat="1" hidden="1">
      <c r="A219" s="293"/>
      <c r="B219" s="451" t="s">
        <v>36</v>
      </c>
      <c r="D219" s="449">
        <v>7.0000000000000007E-2</v>
      </c>
      <c r="E219" s="449">
        <v>7.0000000000000007E-2</v>
      </c>
      <c r="F219" s="449">
        <v>7.0000000000000007E-2</v>
      </c>
      <c r="G219" s="449">
        <v>7.0000000000000007E-2</v>
      </c>
      <c r="H219" s="449">
        <v>7.0000000000000007E-2</v>
      </c>
      <c r="I219" s="449">
        <v>7.0000000000000007E-2</v>
      </c>
      <c r="J219" s="449">
        <v>7.0000000000000007E-2</v>
      </c>
      <c r="K219" s="449">
        <v>7.0000000000000007E-2</v>
      </c>
      <c r="L219" s="449"/>
      <c r="M219" s="293"/>
      <c r="N219" s="293"/>
      <c r="O219" s="293"/>
      <c r="P219" s="293"/>
      <c r="Q219" s="293"/>
      <c r="R219" s="293"/>
      <c r="S219" s="293"/>
      <c r="T219" s="293"/>
      <c r="U219" s="293"/>
      <c r="V219" s="293"/>
      <c r="W219" s="293"/>
      <c r="X219" s="293"/>
      <c r="Y219" s="29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row>
    <row r="220" spans="1:48" s="442" customFormat="1" hidden="1">
      <c r="A220" s="293"/>
      <c r="B220" s="451" t="s">
        <v>413</v>
      </c>
      <c r="D220" s="452">
        <f>SUM(D208:D219)</f>
        <v>1</v>
      </c>
      <c r="E220" s="452">
        <f t="shared" ref="E220:K220" si="33">SUM(E208:E219)</f>
        <v>1</v>
      </c>
      <c r="F220" s="452">
        <f t="shared" si="33"/>
        <v>1</v>
      </c>
      <c r="G220" s="452">
        <f t="shared" si="33"/>
        <v>1</v>
      </c>
      <c r="H220" s="452">
        <f t="shared" si="33"/>
        <v>1</v>
      </c>
      <c r="I220" s="452">
        <f t="shared" si="33"/>
        <v>1</v>
      </c>
      <c r="J220" s="452">
        <f t="shared" si="33"/>
        <v>1</v>
      </c>
      <c r="K220" s="452">
        <f t="shared" si="33"/>
        <v>1</v>
      </c>
      <c r="L220" s="452">
        <f>SUM(L208:L219)</f>
        <v>0</v>
      </c>
      <c r="M220" s="293"/>
      <c r="N220" s="293"/>
      <c r="O220" s="293"/>
      <c r="P220" s="293"/>
      <c r="Q220" s="293"/>
      <c r="R220" s="293"/>
      <c r="S220" s="293"/>
      <c r="T220" s="293"/>
      <c r="U220" s="293"/>
      <c r="V220" s="293"/>
      <c r="W220" s="293"/>
      <c r="X220" s="293"/>
      <c r="Y220" s="29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row>
    <row r="221" spans="1:48" s="442" customFormat="1" hidden="1">
      <c r="A221" s="293"/>
      <c r="B221" s="451"/>
      <c r="D221" s="453" t="s">
        <v>414</v>
      </c>
      <c r="E221" s="453"/>
      <c r="F221" s="453"/>
      <c r="G221" s="453"/>
      <c r="H221" s="453"/>
      <c r="I221" s="453"/>
      <c r="J221" s="453"/>
      <c r="K221" s="453"/>
      <c r="L221" s="453"/>
      <c r="M221" s="293"/>
      <c r="N221" s="293"/>
      <c r="O221" s="293"/>
      <c r="P221" s="293"/>
      <c r="Q221" s="293"/>
      <c r="R221" s="293"/>
      <c r="S221" s="293"/>
      <c r="T221" s="293"/>
      <c r="U221" s="293"/>
      <c r="V221" s="293"/>
      <c r="W221" s="293"/>
      <c r="X221" s="293"/>
      <c r="Y221" s="29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row>
    <row r="222" spans="1:48" s="293" customFormat="1" hidden="1">
      <c r="A222" s="441"/>
      <c r="B222" s="448" t="s">
        <v>47</v>
      </c>
      <c r="D222" s="455">
        <f>D208*D234</f>
        <v>1797.5924463974407</v>
      </c>
      <c r="E222" s="455">
        <f>E208*E234</f>
        <v>1476.5937952550405</v>
      </c>
      <c r="F222" s="455">
        <f t="shared" ref="F222:K222" si="34">F208*F234</f>
        <v>748.99685266560039</v>
      </c>
      <c r="G222" s="455">
        <f t="shared" si="34"/>
        <v>695.49707747520029</v>
      </c>
      <c r="H222" s="455">
        <f t="shared" si="34"/>
        <v>695.49707747520029</v>
      </c>
      <c r="I222" s="455">
        <f t="shared" si="34"/>
        <v>695.49707747520029</v>
      </c>
      <c r="J222" s="455">
        <f t="shared" si="34"/>
        <v>4189.877130700801</v>
      </c>
      <c r="K222" s="455">
        <f t="shared" si="34"/>
        <v>4539.0335582592015</v>
      </c>
      <c r="L222" s="455">
        <f>L208*L234</f>
        <v>0</v>
      </c>
    </row>
    <row r="223" spans="1:48" s="293" customFormat="1" hidden="1">
      <c r="A223" s="441"/>
      <c r="B223" s="448" t="s">
        <v>46</v>
      </c>
      <c r="D223" s="455">
        <f>D209*D234</f>
        <v>1797.5924463974407</v>
      </c>
      <c r="E223" s="455">
        <f t="shared" ref="E223:K223" si="35">E209*E234</f>
        <v>1476.5937952550405</v>
      </c>
      <c r="F223" s="455">
        <f t="shared" si="35"/>
        <v>748.99685266560039</v>
      </c>
      <c r="G223" s="455">
        <f t="shared" si="35"/>
        <v>695.49707747520029</v>
      </c>
      <c r="H223" s="455">
        <f t="shared" si="35"/>
        <v>695.49707747520029</v>
      </c>
      <c r="I223" s="455">
        <f t="shared" si="35"/>
        <v>695.49707747520029</v>
      </c>
      <c r="J223" s="455">
        <f t="shared" si="35"/>
        <v>4189.877130700801</v>
      </c>
      <c r="K223" s="455">
        <f t="shared" si="35"/>
        <v>4539.0335582592015</v>
      </c>
      <c r="L223" s="455">
        <f>L209*L234</f>
        <v>0</v>
      </c>
    </row>
    <row r="224" spans="1:48" s="293" customFormat="1" hidden="1">
      <c r="A224" s="441"/>
      <c r="B224" s="451" t="s">
        <v>45</v>
      </c>
      <c r="D224" s="455">
        <f>D210*D234</f>
        <v>1797.5924463974407</v>
      </c>
      <c r="E224" s="455">
        <f t="shared" ref="E224:K224" si="36">E210*E234</f>
        <v>1476.5937952550405</v>
      </c>
      <c r="F224" s="455">
        <f t="shared" si="36"/>
        <v>898.79622319872044</v>
      </c>
      <c r="G224" s="455">
        <f t="shared" si="36"/>
        <v>834.59649297024021</v>
      </c>
      <c r="H224" s="455">
        <f t="shared" si="36"/>
        <v>834.59649297024021</v>
      </c>
      <c r="I224" s="455">
        <f t="shared" si="36"/>
        <v>834.59649297024021</v>
      </c>
      <c r="J224" s="455">
        <f t="shared" si="36"/>
        <v>5027.8525568409605</v>
      </c>
      <c r="K224" s="455">
        <f t="shared" si="36"/>
        <v>5446.840269911042</v>
      </c>
      <c r="L224" s="455">
        <f>L210*L234</f>
        <v>0</v>
      </c>
    </row>
    <row r="225" spans="1:21" s="293" customFormat="1" hidden="1">
      <c r="A225" s="441"/>
      <c r="B225" s="451" t="s">
        <v>44</v>
      </c>
      <c r="D225" s="455">
        <f>D211*D234</f>
        <v>1797.5924463974407</v>
      </c>
      <c r="E225" s="455">
        <f t="shared" ref="E225:K225" si="37">E211*E234</f>
        <v>1722.6927611308806</v>
      </c>
      <c r="F225" s="455">
        <f t="shared" si="37"/>
        <v>1048.5955937318406</v>
      </c>
      <c r="G225" s="455">
        <f t="shared" si="37"/>
        <v>973.69590846528047</v>
      </c>
      <c r="H225" s="455">
        <f t="shared" si="37"/>
        <v>973.69590846528047</v>
      </c>
      <c r="I225" s="455">
        <f t="shared" si="37"/>
        <v>973.69590846528047</v>
      </c>
      <c r="J225" s="455">
        <f t="shared" si="37"/>
        <v>5865.8279829811217</v>
      </c>
      <c r="K225" s="455">
        <f t="shared" si="37"/>
        <v>6354.6469815628825</v>
      </c>
      <c r="L225" s="455">
        <f>L211*L234</f>
        <v>0</v>
      </c>
    </row>
    <row r="226" spans="1:21" s="293" customFormat="1" hidden="1">
      <c r="A226" s="332"/>
      <c r="B226" s="451" t="s">
        <v>43</v>
      </c>
      <c r="D226" s="455">
        <f>D212*D234</f>
        <v>2054.3913673113607</v>
      </c>
      <c r="E226" s="455">
        <f t="shared" ref="E226:K226" si="38">E212*E234</f>
        <v>1968.7917270067207</v>
      </c>
      <c r="F226" s="455">
        <f t="shared" si="38"/>
        <v>1198.3949642649607</v>
      </c>
      <c r="G226" s="455">
        <f t="shared" si="38"/>
        <v>1112.7953239603205</v>
      </c>
      <c r="H226" s="455">
        <f t="shared" si="38"/>
        <v>1112.7953239603205</v>
      </c>
      <c r="I226" s="455">
        <f t="shared" si="38"/>
        <v>1112.7953239603205</v>
      </c>
      <c r="J226" s="455">
        <f t="shared" si="38"/>
        <v>6703.8034091212812</v>
      </c>
      <c r="K226" s="455">
        <f t="shared" si="38"/>
        <v>7262.453693214723</v>
      </c>
      <c r="L226" s="455">
        <f>L212*L234</f>
        <v>0</v>
      </c>
    </row>
    <row r="227" spans="1:21" s="293" customFormat="1" hidden="1">
      <c r="A227" s="443"/>
      <c r="B227" s="451" t="s">
        <v>42</v>
      </c>
      <c r="D227" s="455">
        <f>D213*D234</f>
        <v>2567.9892091392012</v>
      </c>
      <c r="E227" s="455">
        <f t="shared" ref="E227:K227" si="39">E213*E234</f>
        <v>2460.9896587584008</v>
      </c>
      <c r="F227" s="455">
        <f t="shared" si="39"/>
        <v>1497.9937053312008</v>
      </c>
      <c r="G227" s="455">
        <f t="shared" si="39"/>
        <v>1390.9941549504006</v>
      </c>
      <c r="H227" s="455">
        <f t="shared" si="39"/>
        <v>1390.9941549504006</v>
      </c>
      <c r="I227" s="455">
        <f t="shared" si="39"/>
        <v>1390.9941549504006</v>
      </c>
      <c r="J227" s="455">
        <f t="shared" si="39"/>
        <v>8379.754261401602</v>
      </c>
      <c r="K227" s="455">
        <f t="shared" si="39"/>
        <v>9078.0671165184031</v>
      </c>
      <c r="L227" s="455">
        <f>L213*L$232</f>
        <v>0</v>
      </c>
    </row>
    <row r="228" spans="1:21" s="293" customFormat="1" hidden="1">
      <c r="A228" s="443"/>
      <c r="B228" s="451" t="s">
        <v>41</v>
      </c>
      <c r="D228" s="455">
        <f>D214*D234</f>
        <v>2567.9892091392012</v>
      </c>
      <c r="E228" s="455">
        <f t="shared" ref="E228:K228" si="40">E214*E234</f>
        <v>2460.9896587584008</v>
      </c>
      <c r="F228" s="455">
        <f t="shared" si="40"/>
        <v>1497.9937053312008</v>
      </c>
      <c r="G228" s="455">
        <f t="shared" si="40"/>
        <v>1390.9941549504006</v>
      </c>
      <c r="H228" s="455">
        <f t="shared" si="40"/>
        <v>1390.9941549504006</v>
      </c>
      <c r="I228" s="455">
        <f t="shared" si="40"/>
        <v>1390.9941549504006</v>
      </c>
      <c r="J228" s="455">
        <f t="shared" si="40"/>
        <v>8379.754261401602</v>
      </c>
      <c r="K228" s="455">
        <f t="shared" si="40"/>
        <v>9078.0671165184031</v>
      </c>
      <c r="L228" s="455">
        <f>L214*L234</f>
        <v>0</v>
      </c>
    </row>
    <row r="229" spans="1:21" s="293" customFormat="1" hidden="1">
      <c r="A229" s="443"/>
      <c r="B229" s="451" t="s">
        <v>40</v>
      </c>
      <c r="D229" s="455">
        <f>D215*D234</f>
        <v>2567.9892091392012</v>
      </c>
      <c r="E229" s="455">
        <f t="shared" ref="E229:K229" si="41">E215*E234</f>
        <v>2707.0886246342407</v>
      </c>
      <c r="F229" s="455">
        <f t="shared" si="41"/>
        <v>1797.5924463974409</v>
      </c>
      <c r="G229" s="455">
        <f t="shared" si="41"/>
        <v>1669.1929859404804</v>
      </c>
      <c r="H229" s="455">
        <f t="shared" si="41"/>
        <v>1669.1929859404804</v>
      </c>
      <c r="I229" s="455">
        <f t="shared" si="41"/>
        <v>1669.1929859404804</v>
      </c>
      <c r="J229" s="455">
        <f t="shared" si="41"/>
        <v>10055.705113681921</v>
      </c>
      <c r="K229" s="455">
        <f t="shared" si="41"/>
        <v>10893.680539822084</v>
      </c>
      <c r="L229" s="455">
        <f>L215*L234</f>
        <v>0</v>
      </c>
    </row>
    <row r="230" spans="1:21" s="293" customFormat="1" hidden="1">
      <c r="A230" s="471"/>
      <c r="B230" s="451" t="s">
        <v>39</v>
      </c>
      <c r="D230" s="455">
        <f>D216*D234</f>
        <v>2567.9892091392012</v>
      </c>
      <c r="E230" s="455">
        <f t="shared" ref="E230:K230" si="42">E216*E234</f>
        <v>2707.0886246342407</v>
      </c>
      <c r="F230" s="455">
        <f t="shared" si="42"/>
        <v>1797.5924463974409</v>
      </c>
      <c r="G230" s="455">
        <f t="shared" si="42"/>
        <v>1669.1929859404804</v>
      </c>
      <c r="H230" s="455">
        <f t="shared" si="42"/>
        <v>1669.1929859404804</v>
      </c>
      <c r="I230" s="455">
        <f t="shared" si="42"/>
        <v>1669.1929859404804</v>
      </c>
      <c r="J230" s="455">
        <f t="shared" si="42"/>
        <v>10055.705113681921</v>
      </c>
      <c r="K230" s="455">
        <f t="shared" si="42"/>
        <v>10893.680539822084</v>
      </c>
      <c r="L230" s="455">
        <f>L216*L234</f>
        <v>0</v>
      </c>
    </row>
    <row r="231" spans="1:21" s="293" customFormat="1" hidden="1">
      <c r="A231" s="471"/>
      <c r="B231" s="451" t="s">
        <v>38</v>
      </c>
      <c r="D231" s="455">
        <f>D217*D234</f>
        <v>2567.9892091392012</v>
      </c>
      <c r="E231" s="455">
        <f t="shared" ref="E231:K231" si="43">E217*E234</f>
        <v>2707.0886246342407</v>
      </c>
      <c r="F231" s="455">
        <f t="shared" si="43"/>
        <v>1647.7930758643208</v>
      </c>
      <c r="G231" s="455">
        <f t="shared" si="43"/>
        <v>1530.0935704454405</v>
      </c>
      <c r="H231" s="455">
        <f t="shared" si="43"/>
        <v>1530.0935704454405</v>
      </c>
      <c r="I231" s="455">
        <f t="shared" si="43"/>
        <v>1530.0935704454405</v>
      </c>
      <c r="J231" s="455">
        <f t="shared" si="43"/>
        <v>9217.7296875417615</v>
      </c>
      <c r="K231" s="455">
        <f t="shared" si="43"/>
        <v>9985.8738281702426</v>
      </c>
      <c r="L231" s="455">
        <f>L217*L234</f>
        <v>0</v>
      </c>
    </row>
    <row r="232" spans="1:21" s="293" customFormat="1" hidden="1">
      <c r="A232" s="471"/>
      <c r="B232" s="451" t="s">
        <v>37</v>
      </c>
      <c r="D232" s="455">
        <f>D218*D234</f>
        <v>1797.5924463974407</v>
      </c>
      <c r="E232" s="455">
        <f t="shared" ref="E232:K232" si="44">E218*E234</f>
        <v>1722.6927611308806</v>
      </c>
      <c r="F232" s="455">
        <f t="shared" si="44"/>
        <v>1048.5955937318406</v>
      </c>
      <c r="G232" s="455">
        <f t="shared" si="44"/>
        <v>973.69590846528047</v>
      </c>
      <c r="H232" s="455">
        <f t="shared" si="44"/>
        <v>973.69590846528047</v>
      </c>
      <c r="I232" s="455">
        <f t="shared" si="44"/>
        <v>973.69590846528047</v>
      </c>
      <c r="J232" s="455">
        <f t="shared" si="44"/>
        <v>5865.8279829811217</v>
      </c>
      <c r="K232" s="455">
        <f t="shared" si="44"/>
        <v>6354.6469815628825</v>
      </c>
      <c r="L232" s="455">
        <f>L218*L234</f>
        <v>0</v>
      </c>
    </row>
    <row r="233" spans="1:21" s="442" customFormat="1" hidden="1">
      <c r="A233" s="471"/>
      <c r="B233" s="451" t="s">
        <v>36</v>
      </c>
      <c r="D233" s="455">
        <f>D219*D234</f>
        <v>1797.5924463974407</v>
      </c>
      <c r="E233" s="455">
        <f t="shared" ref="E233:K233" si="45">E219*E234</f>
        <v>1722.6927611308806</v>
      </c>
      <c r="F233" s="455">
        <f t="shared" si="45"/>
        <v>1048.5955937318406</v>
      </c>
      <c r="G233" s="455">
        <f t="shared" si="45"/>
        <v>973.69590846528047</v>
      </c>
      <c r="H233" s="455">
        <f t="shared" si="45"/>
        <v>973.69590846528047</v>
      </c>
      <c r="I233" s="455">
        <f t="shared" si="45"/>
        <v>973.69590846528047</v>
      </c>
      <c r="J233" s="455">
        <f t="shared" si="45"/>
        <v>5865.8279829811217</v>
      </c>
      <c r="K233" s="455">
        <f t="shared" si="45"/>
        <v>6354.6469815628825</v>
      </c>
      <c r="L233" s="455">
        <f>L219*L234</f>
        <v>0</v>
      </c>
      <c r="M233" s="293"/>
      <c r="N233" s="293"/>
      <c r="O233" s="293"/>
      <c r="P233" s="293"/>
      <c r="Q233" s="293"/>
      <c r="R233" s="293"/>
      <c r="S233" s="293"/>
      <c r="T233" s="293"/>
      <c r="U233" s="293"/>
    </row>
    <row r="234" spans="1:21" s="442" customFormat="1" hidden="1">
      <c r="A234" s="471"/>
      <c r="B234" s="451" t="s">
        <v>413</v>
      </c>
      <c r="D234" s="455">
        <f t="shared" ref="D234:L234" si="46">VLOOKUP(D160,TargetedMS,IF(D161="[retail]",8,10),FALSE)</f>
        <v>25679.892091392008</v>
      </c>
      <c r="E234" s="455">
        <f t="shared" si="46"/>
        <v>24609.896587584008</v>
      </c>
      <c r="F234" s="455">
        <f t="shared" si="46"/>
        <v>14979.937053312007</v>
      </c>
      <c r="G234" s="455">
        <f t="shared" si="46"/>
        <v>13909.941549504005</v>
      </c>
      <c r="H234" s="455">
        <f t="shared" si="46"/>
        <v>13909.941549504005</v>
      </c>
      <c r="I234" s="455">
        <f t="shared" si="46"/>
        <v>13909.941549504005</v>
      </c>
      <c r="J234" s="455">
        <f t="shared" si="46"/>
        <v>83797.542614016013</v>
      </c>
      <c r="K234" s="455">
        <f t="shared" si="46"/>
        <v>90780.671165184031</v>
      </c>
      <c r="L234" s="455">
        <f t="shared" si="46"/>
        <v>0</v>
      </c>
      <c r="M234" s="293"/>
      <c r="N234" s="293"/>
      <c r="O234" s="293"/>
      <c r="P234" s="293"/>
      <c r="Q234" s="293"/>
      <c r="R234" s="293"/>
      <c r="S234" s="293"/>
      <c r="T234" s="293"/>
      <c r="U234" s="293"/>
    </row>
    <row r="235" spans="1:21" s="442" customFormat="1" hidden="1">
      <c r="A235" s="441"/>
      <c r="B235" s="448" t="s">
        <v>415</v>
      </c>
      <c r="D235" s="457" t="str">
        <f t="shared" ref="D235:L235" si="47">IF(D161="[wholesale]",D234/capacity,"")</f>
        <v/>
      </c>
      <c r="E235" s="457" t="str">
        <f t="shared" si="47"/>
        <v/>
      </c>
      <c r="F235" s="457" t="str">
        <f t="shared" si="47"/>
        <v/>
      </c>
      <c r="G235" s="457" t="str">
        <f t="shared" si="47"/>
        <v/>
      </c>
      <c r="H235" s="457" t="str">
        <f t="shared" si="47"/>
        <v/>
      </c>
      <c r="I235" s="457" t="str">
        <f t="shared" si="47"/>
        <v/>
      </c>
      <c r="J235" s="457">
        <f t="shared" si="47"/>
        <v>67.57866339840001</v>
      </c>
      <c r="K235" s="457">
        <f t="shared" si="47"/>
        <v>73.210218681600026</v>
      </c>
      <c r="L235" s="457" t="str">
        <f t="shared" si="47"/>
        <v/>
      </c>
      <c r="M235" s="293"/>
      <c r="N235" s="293"/>
      <c r="O235" s="293"/>
      <c r="P235" s="293"/>
      <c r="Q235" s="293"/>
      <c r="R235" s="293"/>
      <c r="S235" s="293"/>
      <c r="T235" s="293"/>
      <c r="U235" s="293"/>
    </row>
    <row r="236" spans="1:21" s="293" customFormat="1" hidden="1">
      <c r="A236" s="441"/>
      <c r="B236" s="448"/>
      <c r="C236" s="472" t="s">
        <v>101</v>
      </c>
      <c r="D236" s="453" t="s">
        <v>416</v>
      </c>
      <c r="E236" s="453"/>
      <c r="F236" s="453"/>
      <c r="G236" s="453"/>
      <c r="H236" s="453"/>
      <c r="I236" s="453"/>
      <c r="J236" s="453"/>
      <c r="K236" s="453"/>
      <c r="L236" s="453"/>
      <c r="O236" s="465"/>
      <c r="P236" s="465"/>
      <c r="R236" s="465"/>
      <c r="S236" s="465"/>
    </row>
    <row r="237" spans="1:21" s="293" customFormat="1" hidden="1">
      <c r="A237" s="447"/>
      <c r="B237" s="448" t="s">
        <v>47</v>
      </c>
      <c r="C237" s="462">
        <f t="shared" ref="C237:C248" si="48">SUM(D237:Z237)</f>
        <v>10</v>
      </c>
      <c r="D237" s="473">
        <f>ProductionFY2(1,D160,VLOOKUP(D160,ProductsRange,3,FALSE),D222)</f>
        <v>1.5011286681715577</v>
      </c>
      <c r="E237" s="473">
        <f t="shared" ref="E237:K237" si="49">ProductionFY2(1,E160,VLOOKUP(E160,ProductsRange,3,FALSE),E222)</f>
        <v>1.2272982587530425</v>
      </c>
      <c r="F237" s="473">
        <f t="shared" si="49"/>
        <v>0</v>
      </c>
      <c r="G237" s="473">
        <f t="shared" si="49"/>
        <v>0</v>
      </c>
      <c r="H237" s="473">
        <f t="shared" si="49"/>
        <v>0</v>
      </c>
      <c r="I237" s="473">
        <f t="shared" si="49"/>
        <v>0</v>
      </c>
      <c r="J237" s="473">
        <f t="shared" si="49"/>
        <v>3.4988713318284419</v>
      </c>
      <c r="K237" s="473">
        <f t="shared" si="49"/>
        <v>3.7727017412469577</v>
      </c>
      <c r="L237" s="473">
        <f>ProductionFY2(1,L160,VLOOKUP(L160,ProductsRange,3,FALSE),L222)</f>
        <v>0</v>
      </c>
      <c r="M237" s="447"/>
      <c r="O237" s="465"/>
      <c r="P237" s="465"/>
      <c r="R237" s="465"/>
      <c r="S237" s="465"/>
    </row>
    <row r="238" spans="1:21" s="293" customFormat="1" hidden="1">
      <c r="A238" s="450"/>
      <c r="B238" s="448" t="s">
        <v>46</v>
      </c>
      <c r="C238" s="462">
        <f t="shared" si="48"/>
        <v>10</v>
      </c>
      <c r="D238" s="473">
        <f>ProductionFY2(2,D160,VLOOKUP(D160,ProductsRange,3,FALSE),D223)</f>
        <v>1.5011286681715577</v>
      </c>
      <c r="E238" s="473">
        <f>ProductionFY2(2,E160,VLOOKUP(E160,ProductsRange,3,FALSE),E223)</f>
        <v>1.2272982587530425</v>
      </c>
      <c r="F238" s="473">
        <f t="shared" ref="F238:L238" si="50">ProductionFY2(2,F160,VLOOKUP(F160,ProductsRange,3,FALSE),F223)</f>
        <v>0</v>
      </c>
      <c r="G238" s="473">
        <f t="shared" si="50"/>
        <v>0</v>
      </c>
      <c r="H238" s="473">
        <f t="shared" si="50"/>
        <v>0</v>
      </c>
      <c r="I238" s="473">
        <f t="shared" si="50"/>
        <v>0</v>
      </c>
      <c r="J238" s="473">
        <f t="shared" si="50"/>
        <v>3.4988713318284419</v>
      </c>
      <c r="K238" s="473">
        <f t="shared" si="50"/>
        <v>3.7727017412469577</v>
      </c>
      <c r="L238" s="473">
        <f t="shared" si="50"/>
        <v>0</v>
      </c>
      <c r="M238" s="447"/>
      <c r="O238" s="465"/>
      <c r="P238" s="465"/>
      <c r="R238" s="465"/>
      <c r="S238" s="465"/>
    </row>
    <row r="239" spans="1:21" s="293" customFormat="1" hidden="1">
      <c r="A239" s="442"/>
      <c r="B239" s="451" t="s">
        <v>45</v>
      </c>
      <c r="C239" s="462">
        <f t="shared" si="48"/>
        <v>10</v>
      </c>
      <c r="D239" s="473">
        <f>ProductionFY2(3,D160,VLOOKUP(D160,ProductsRange,3,FALSE),D224)</f>
        <v>1.3168316831683171</v>
      </c>
      <c r="E239" s="473">
        <f t="shared" ref="E239:L239" si="51">ProductionFY2(3,E160,VLOOKUP(E160,ProductsRange,3,FALSE),E224)</f>
        <v>1.066373840897999</v>
      </c>
      <c r="F239" s="473">
        <f t="shared" si="51"/>
        <v>0</v>
      </c>
      <c r="G239" s="473">
        <f t="shared" si="51"/>
        <v>0</v>
      </c>
      <c r="H239" s="473">
        <f t="shared" si="51"/>
        <v>0</v>
      </c>
      <c r="I239" s="473">
        <f t="shared" si="51"/>
        <v>0</v>
      </c>
      <c r="J239" s="473">
        <f t="shared" si="51"/>
        <v>3.6831683168316829</v>
      </c>
      <c r="K239" s="473">
        <f t="shared" si="51"/>
        <v>3.9336261591020012</v>
      </c>
      <c r="L239" s="473">
        <f t="shared" si="51"/>
        <v>0</v>
      </c>
      <c r="M239" s="447"/>
      <c r="O239" s="465"/>
      <c r="P239" s="465"/>
      <c r="R239" s="465"/>
      <c r="S239" s="465"/>
    </row>
    <row r="240" spans="1:21" s="293" customFormat="1" hidden="1">
      <c r="A240" s="442"/>
      <c r="B240" s="451" t="s">
        <v>44</v>
      </c>
      <c r="C240" s="462">
        <f t="shared" si="48"/>
        <v>13</v>
      </c>
      <c r="D240" s="473">
        <f>ProductionFY2(4,D160,VLOOKUP(D160,ProductsRange,3,FALSE),D225)</f>
        <v>1.4074074074074074</v>
      </c>
      <c r="E240" s="473">
        <f t="shared" ref="E240:L240" si="52">ProductionFY2(4,E160,VLOOKUP(E160,ProductsRange,3,FALSE),E225)</f>
        <v>1.2796486090775989</v>
      </c>
      <c r="F240" s="473">
        <f t="shared" si="52"/>
        <v>1</v>
      </c>
      <c r="G240" s="473">
        <f t="shared" si="52"/>
        <v>0</v>
      </c>
      <c r="H240" s="473">
        <f t="shared" si="52"/>
        <v>0</v>
      </c>
      <c r="I240" s="473">
        <f t="shared" si="52"/>
        <v>0</v>
      </c>
      <c r="J240" s="473">
        <f t="shared" si="52"/>
        <v>4.5925925925925926</v>
      </c>
      <c r="K240" s="473">
        <f t="shared" si="52"/>
        <v>4.720351390922402</v>
      </c>
      <c r="L240" s="473">
        <f t="shared" si="52"/>
        <v>0</v>
      </c>
      <c r="M240" s="447"/>
      <c r="O240" s="465"/>
      <c r="P240" s="465"/>
      <c r="R240" s="465"/>
      <c r="S240" s="465"/>
    </row>
    <row r="241" spans="1:48" s="293" customFormat="1" hidden="1">
      <c r="A241" s="442"/>
      <c r="B241" s="451" t="s">
        <v>43</v>
      </c>
      <c r="C241" s="462">
        <f t="shared" si="48"/>
        <v>18</v>
      </c>
      <c r="D241" s="473">
        <f>ProductionFY2(5,D160,VLOOKUP(D160,ProductsRange,3,FALSE),D226)</f>
        <v>1.6419753086419757</v>
      </c>
      <c r="E241" s="473">
        <f t="shared" ref="E241:L241" si="53">ProductionFY2(5,E160,VLOOKUP(E160,ProductsRange,3,FALSE),E226)</f>
        <v>1.4929233772571986</v>
      </c>
      <c r="F241" s="473">
        <f t="shared" si="53"/>
        <v>1</v>
      </c>
      <c r="G241" s="473">
        <f t="shared" si="53"/>
        <v>1</v>
      </c>
      <c r="H241" s="473">
        <f t="shared" si="53"/>
        <v>1</v>
      </c>
      <c r="I241" s="473">
        <f t="shared" si="53"/>
        <v>1</v>
      </c>
      <c r="J241" s="473">
        <f t="shared" si="53"/>
        <v>5.3580246913580245</v>
      </c>
      <c r="K241" s="473">
        <f t="shared" si="53"/>
        <v>5.5070766227428019</v>
      </c>
      <c r="L241" s="473">
        <f t="shared" si="53"/>
        <v>0</v>
      </c>
      <c r="M241" s="447"/>
      <c r="O241" s="465"/>
      <c r="P241" s="465"/>
      <c r="R241" s="465"/>
      <c r="S241" s="465"/>
    </row>
    <row r="242" spans="1:48" s="293" customFormat="1" hidden="1">
      <c r="B242" s="451" t="s">
        <v>42</v>
      </c>
      <c r="C242" s="462">
        <f t="shared" si="48"/>
        <v>22</v>
      </c>
      <c r="D242" s="473">
        <f>ProductionFY2(6,D160,VLOOKUP(D160,ProductsRange,3,FALSE),D227)</f>
        <v>2.1111111111111116</v>
      </c>
      <c r="E242" s="473">
        <f t="shared" ref="E242:L242" si="54">ProductionFY2(6,E160,VLOOKUP(E160,ProductsRange,3,FALSE),E227)</f>
        <v>1.9194729136163982</v>
      </c>
      <c r="F242" s="473">
        <f t="shared" si="54"/>
        <v>1</v>
      </c>
      <c r="G242" s="473">
        <f t="shared" si="54"/>
        <v>1</v>
      </c>
      <c r="H242" s="473">
        <f t="shared" si="54"/>
        <v>1</v>
      </c>
      <c r="I242" s="473">
        <f t="shared" si="54"/>
        <v>1</v>
      </c>
      <c r="J242" s="473">
        <f t="shared" si="54"/>
        <v>6.8888888888888884</v>
      </c>
      <c r="K242" s="473">
        <f t="shared" si="54"/>
        <v>7.0805270863836016</v>
      </c>
      <c r="L242" s="473">
        <f t="shared" si="54"/>
        <v>0</v>
      </c>
      <c r="M242" s="447"/>
      <c r="O242" s="465"/>
      <c r="P242" s="465"/>
      <c r="R242" s="465"/>
      <c r="S242" s="465"/>
    </row>
    <row r="243" spans="1:48" s="293" customFormat="1" hidden="1">
      <c r="B243" s="451" t="s">
        <v>41</v>
      </c>
      <c r="C243" s="462">
        <f t="shared" si="48"/>
        <v>22</v>
      </c>
      <c r="D243" s="473">
        <f>ProductionFY2(7,D160,VLOOKUP(D160,ProductsRange,3,FALSE),D228)</f>
        <v>2.1111111111111116</v>
      </c>
      <c r="E243" s="473">
        <f t="shared" ref="E243:L243" si="55">ProductionFY2(7,E160,VLOOKUP(E160,ProductsRange,3,FALSE),E228)</f>
        <v>1.9194729136163982</v>
      </c>
      <c r="F243" s="473">
        <f t="shared" si="55"/>
        <v>1</v>
      </c>
      <c r="G243" s="473">
        <f t="shared" si="55"/>
        <v>1</v>
      </c>
      <c r="H243" s="473">
        <f t="shared" si="55"/>
        <v>1</v>
      </c>
      <c r="I243" s="473">
        <f t="shared" si="55"/>
        <v>1</v>
      </c>
      <c r="J243" s="473">
        <f t="shared" si="55"/>
        <v>6.8888888888888884</v>
      </c>
      <c r="K243" s="473">
        <f t="shared" si="55"/>
        <v>7.0805270863836016</v>
      </c>
      <c r="L243" s="473">
        <f t="shared" si="55"/>
        <v>0</v>
      </c>
      <c r="M243" s="447"/>
      <c r="O243" s="465"/>
      <c r="P243" s="465"/>
      <c r="R243" s="465"/>
      <c r="S243" s="465"/>
    </row>
    <row r="244" spans="1:48" s="293" customFormat="1" hidden="1">
      <c r="B244" s="451" t="s">
        <v>40</v>
      </c>
      <c r="C244" s="462">
        <f t="shared" si="48"/>
        <v>25</v>
      </c>
      <c r="D244" s="473">
        <f>ProductionFY2(8,D160,VLOOKUP(D160,ProductsRange,3,FALSE),D229)</f>
        <v>2.0342612419700221</v>
      </c>
      <c r="E244" s="473">
        <f t="shared" ref="E244:L244" si="56">ProductionFY2(8,E160,VLOOKUP(E160,ProductsRange,3,FALSE),E229)</f>
        <v>2.1894331497660553</v>
      </c>
      <c r="F244" s="473">
        <f t="shared" si="56"/>
        <v>1</v>
      </c>
      <c r="G244" s="473">
        <f t="shared" si="56"/>
        <v>1</v>
      </c>
      <c r="H244" s="473">
        <f t="shared" si="56"/>
        <v>1</v>
      </c>
      <c r="I244" s="473">
        <f t="shared" si="56"/>
        <v>1</v>
      </c>
      <c r="J244" s="473">
        <f t="shared" si="56"/>
        <v>7.9657387580299783</v>
      </c>
      <c r="K244" s="473">
        <f t="shared" si="56"/>
        <v>8.8105668502339451</v>
      </c>
      <c r="L244" s="473">
        <f t="shared" si="56"/>
        <v>0</v>
      </c>
      <c r="M244" s="447"/>
      <c r="O244" s="465"/>
      <c r="P244" s="465"/>
      <c r="R244" s="465"/>
      <c r="S244" s="465"/>
    </row>
    <row r="245" spans="1:48" s="293" customFormat="1" hidden="1">
      <c r="B245" s="451" t="s">
        <v>39</v>
      </c>
      <c r="C245" s="462">
        <f t="shared" si="48"/>
        <v>25</v>
      </c>
      <c r="D245" s="473">
        <f>ProductionFY2(9,D160,VLOOKUP(D160,ProductsRange,3,FALSE),D230)</f>
        <v>2.0342612419700221</v>
      </c>
      <c r="E245" s="473">
        <f t="shared" ref="E245:L245" si="57">ProductionFY2(9,E160,VLOOKUP(E160,ProductsRange,3,FALSE),E230)</f>
        <v>2.1894331497660553</v>
      </c>
      <c r="F245" s="473">
        <f t="shared" si="57"/>
        <v>1</v>
      </c>
      <c r="G245" s="473">
        <f t="shared" si="57"/>
        <v>1</v>
      </c>
      <c r="H245" s="473">
        <f t="shared" si="57"/>
        <v>1</v>
      </c>
      <c r="I245" s="473">
        <f t="shared" si="57"/>
        <v>1</v>
      </c>
      <c r="J245" s="473">
        <f t="shared" si="57"/>
        <v>7.9657387580299783</v>
      </c>
      <c r="K245" s="473">
        <f t="shared" si="57"/>
        <v>8.8105668502339451</v>
      </c>
      <c r="L245" s="473">
        <f t="shared" si="57"/>
        <v>0</v>
      </c>
      <c r="M245" s="447"/>
      <c r="O245" s="465"/>
      <c r="P245" s="465"/>
      <c r="R245" s="465"/>
      <c r="S245" s="465"/>
    </row>
    <row r="246" spans="1:48" s="293" customFormat="1" hidden="1">
      <c r="B246" s="451" t="s">
        <v>38</v>
      </c>
      <c r="C246" s="462">
        <f t="shared" si="48"/>
        <v>23</v>
      </c>
      <c r="D246" s="473">
        <f>ProductionFY2(10,D160,VLOOKUP(D160,ProductsRange,3,FALSE),D231)</f>
        <v>1.9610091743119273</v>
      </c>
      <c r="E246" s="473">
        <f t="shared" ref="E246:L246" si="58">ProductionFY2(10,E160,VLOOKUP(E160,ProductsRange,3,FALSE),E231)</f>
        <v>2.1327476817959981</v>
      </c>
      <c r="F246" s="473">
        <f t="shared" si="58"/>
        <v>1</v>
      </c>
      <c r="G246" s="473">
        <f t="shared" si="58"/>
        <v>1</v>
      </c>
      <c r="H246" s="473">
        <f t="shared" si="58"/>
        <v>1</v>
      </c>
      <c r="I246" s="473">
        <f t="shared" si="58"/>
        <v>1</v>
      </c>
      <c r="J246" s="473">
        <f t="shared" si="58"/>
        <v>7.0389908256880735</v>
      </c>
      <c r="K246" s="473">
        <f t="shared" si="58"/>
        <v>7.8672523182040006</v>
      </c>
      <c r="L246" s="473">
        <f t="shared" si="58"/>
        <v>0</v>
      </c>
      <c r="M246" s="447"/>
      <c r="O246" s="465"/>
      <c r="P246" s="465"/>
      <c r="R246" s="465"/>
      <c r="S246" s="465"/>
    </row>
    <row r="247" spans="1:48" s="293" customFormat="1" hidden="1">
      <c r="B247" s="451" t="s">
        <v>37</v>
      </c>
      <c r="C247" s="462">
        <f t="shared" si="48"/>
        <v>13</v>
      </c>
      <c r="D247" s="473">
        <f>ProductionFY2(11,D160,VLOOKUP(D160,ProductsRange,3,FALSE),D232)</f>
        <v>1.4074074074074074</v>
      </c>
      <c r="E247" s="473">
        <f t="shared" ref="E247:L247" si="59">ProductionFY2(11,E160,VLOOKUP(E160,ProductsRange,3,FALSE),E232)</f>
        <v>1.2796486090775989</v>
      </c>
      <c r="F247" s="473">
        <f t="shared" si="59"/>
        <v>1</v>
      </c>
      <c r="G247" s="473">
        <f t="shared" si="59"/>
        <v>0</v>
      </c>
      <c r="H247" s="473">
        <f t="shared" si="59"/>
        <v>0</v>
      </c>
      <c r="I247" s="473">
        <f t="shared" si="59"/>
        <v>0</v>
      </c>
      <c r="J247" s="473">
        <f t="shared" si="59"/>
        <v>4.5925925925925926</v>
      </c>
      <c r="K247" s="473">
        <f t="shared" si="59"/>
        <v>4.720351390922402</v>
      </c>
      <c r="L247" s="473">
        <f t="shared" si="59"/>
        <v>0</v>
      </c>
      <c r="M247" s="447"/>
      <c r="O247" s="465"/>
      <c r="P247" s="465"/>
      <c r="R247" s="465"/>
      <c r="S247" s="465"/>
    </row>
    <row r="248" spans="1:48" s="293" customFormat="1" hidden="1">
      <c r="B248" s="451" t="s">
        <v>36</v>
      </c>
      <c r="C248" s="462">
        <f t="shared" si="48"/>
        <v>13</v>
      </c>
      <c r="D248" s="473">
        <f>ProductionFY2(12,D160,VLOOKUP(D160,ProductsRange,3,FALSE),D233)</f>
        <v>1.4074074074074074</v>
      </c>
      <c r="E248" s="473">
        <f t="shared" ref="E248:L248" si="60">ProductionFY2(12,E160,VLOOKUP(E160,ProductsRange,3,FALSE),E233)</f>
        <v>1.2796486090775989</v>
      </c>
      <c r="F248" s="473">
        <f t="shared" si="60"/>
        <v>1</v>
      </c>
      <c r="G248" s="473">
        <f t="shared" si="60"/>
        <v>0</v>
      </c>
      <c r="H248" s="473">
        <f t="shared" si="60"/>
        <v>0</v>
      </c>
      <c r="I248" s="473">
        <f t="shared" si="60"/>
        <v>0</v>
      </c>
      <c r="J248" s="473">
        <f t="shared" si="60"/>
        <v>4.5925925925925926</v>
      </c>
      <c r="K248" s="473">
        <f t="shared" si="60"/>
        <v>4.720351390922402</v>
      </c>
      <c r="L248" s="473">
        <f t="shared" si="60"/>
        <v>0</v>
      </c>
      <c r="M248" s="447"/>
      <c r="O248" s="465"/>
      <c r="P248" s="465"/>
      <c r="R248" s="465"/>
      <c r="S248" s="465"/>
    </row>
    <row r="249" spans="1:48" s="442" customFormat="1" hidden="1">
      <c r="A249" s="466" t="s">
        <v>417</v>
      </c>
      <c r="C249" s="448" t="s">
        <v>85</v>
      </c>
      <c r="D249" s="467">
        <f t="shared" ref="D249:I249" si="61">SUM(D222:D233)</f>
        <v>25679.892091392016</v>
      </c>
      <c r="E249" s="468">
        <f t="shared" si="61"/>
        <v>24609.896587584011</v>
      </c>
      <c r="F249" s="468">
        <f t="shared" si="61"/>
        <v>14979.937053312009</v>
      </c>
      <c r="G249" s="468">
        <f t="shared" si="61"/>
        <v>13909.941549504007</v>
      </c>
      <c r="H249" s="468">
        <f t="shared" si="61"/>
        <v>13909.941549504007</v>
      </c>
      <c r="I249" s="468">
        <f t="shared" si="61"/>
        <v>13909.941549504007</v>
      </c>
      <c r="J249" s="469">
        <f>J234</f>
        <v>83797.542614016013</v>
      </c>
      <c r="K249" s="469">
        <f>K234</f>
        <v>90780.671165184031</v>
      </c>
      <c r="L249" s="469">
        <f>L234</f>
        <v>0</v>
      </c>
      <c r="M249" s="293"/>
      <c r="N249" s="293"/>
      <c r="O249" s="465"/>
      <c r="P249" s="465"/>
      <c r="Q249" s="293"/>
      <c r="R249" s="465"/>
      <c r="S249" s="465"/>
    </row>
    <row r="250" spans="1:48" s="442" customFormat="1" hidden="1">
      <c r="A250" s="466" t="s">
        <v>418</v>
      </c>
      <c r="C250" s="448" t="s">
        <v>85</v>
      </c>
      <c r="D250" s="467">
        <f t="shared" ref="D250:K250" si="62">SUM(D237:D248)*capacity</f>
        <v>25339.450134253781</v>
      </c>
      <c r="E250" s="467">
        <f t="shared" si="62"/>
        <v>23812.215220604172</v>
      </c>
      <c r="F250" s="467">
        <f t="shared" si="62"/>
        <v>11160</v>
      </c>
      <c r="G250" s="467">
        <f t="shared" si="62"/>
        <v>7440</v>
      </c>
      <c r="H250" s="467">
        <f t="shared" si="62"/>
        <v>7440</v>
      </c>
      <c r="I250" s="467">
        <f t="shared" si="62"/>
        <v>7440</v>
      </c>
      <c r="J250" s="467">
        <f t="shared" si="62"/>
        <v>82540.549865746216</v>
      </c>
      <c r="K250" s="467">
        <f t="shared" si="62"/>
        <v>87787.784779395821</v>
      </c>
      <c r="L250" s="467">
        <f>SUM(L237:L248)*capacity</f>
        <v>0</v>
      </c>
      <c r="M250" s="293"/>
      <c r="N250" s="293"/>
      <c r="O250" s="465"/>
      <c r="P250" s="465"/>
      <c r="Q250" s="293"/>
      <c r="R250" s="465"/>
      <c r="S250" s="465"/>
    </row>
    <row r="251" spans="1:48" s="442" customFormat="1" hidden="1">
      <c r="A251" s="466" t="s">
        <v>419</v>
      </c>
      <c r="C251" s="448" t="s">
        <v>85</v>
      </c>
      <c r="D251" s="467">
        <f t="shared" ref="D251:K251" si="63">D249-D250</f>
        <v>340.44195713823501</v>
      </c>
      <c r="E251" s="468">
        <f t="shared" si="63"/>
        <v>797.68136697983937</v>
      </c>
      <c r="F251" s="468">
        <f t="shared" si="63"/>
        <v>3819.9370533120091</v>
      </c>
      <c r="G251" s="468">
        <f t="shared" si="63"/>
        <v>6469.9415495040066</v>
      </c>
      <c r="H251" s="468">
        <f t="shared" si="63"/>
        <v>6469.9415495040066</v>
      </c>
      <c r="I251" s="468">
        <f t="shared" si="63"/>
        <v>6469.9415495040066</v>
      </c>
      <c r="J251" s="468">
        <f t="shared" si="63"/>
        <v>1256.9927482697967</v>
      </c>
      <c r="K251" s="468">
        <f t="shared" si="63"/>
        <v>2992.8863857882097</v>
      </c>
      <c r="L251" s="468">
        <f>L249-L250</f>
        <v>0</v>
      </c>
      <c r="M251" s="293"/>
      <c r="N251" s="293"/>
      <c r="O251" s="465"/>
      <c r="P251" s="465"/>
      <c r="Q251" s="293"/>
      <c r="R251" s="465"/>
      <c r="S251" s="465"/>
    </row>
    <row r="252" spans="1:48" s="444" customFormat="1" hidden="1">
      <c r="A252" s="441"/>
      <c r="B252" s="445" t="s">
        <v>33</v>
      </c>
      <c r="C252" s="445"/>
      <c r="D252" s="446" t="s">
        <v>412</v>
      </c>
      <c r="E252" s="446"/>
      <c r="F252" s="446"/>
      <c r="G252" s="446"/>
      <c r="H252" s="446"/>
      <c r="I252" s="446"/>
      <c r="J252" s="446"/>
      <c r="K252" s="446"/>
      <c r="L252" s="446"/>
      <c r="M252" s="293"/>
      <c r="N252" s="293"/>
      <c r="O252" s="293"/>
      <c r="P252" s="293"/>
      <c r="Q252" s="293"/>
      <c r="R252" s="293"/>
      <c r="S252" s="293"/>
      <c r="T252" s="293"/>
      <c r="U252" s="293"/>
      <c r="V252" s="293"/>
      <c r="W252" s="293"/>
      <c r="X252" s="293"/>
      <c r="Y252" s="29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row>
    <row r="253" spans="1:48" s="444" customFormat="1" hidden="1">
      <c r="A253" s="447"/>
      <c r="B253" s="448" t="s">
        <v>47</v>
      </c>
      <c r="D253" s="449">
        <v>7.0000000000000007E-2</v>
      </c>
      <c r="E253" s="449">
        <v>0.06</v>
      </c>
      <c r="F253" s="449">
        <v>0.05</v>
      </c>
      <c r="G253" s="449">
        <v>0.05</v>
      </c>
      <c r="H253" s="449">
        <v>0.05</v>
      </c>
      <c r="I253" s="449">
        <v>0.05</v>
      </c>
      <c r="J253" s="449">
        <v>0.05</v>
      </c>
      <c r="K253" s="449">
        <v>0.05</v>
      </c>
      <c r="L253" s="449"/>
      <c r="M253" s="293"/>
      <c r="N253" s="293"/>
      <c r="O253" s="293"/>
      <c r="P253" s="293"/>
      <c r="Q253" s="293"/>
      <c r="R253" s="293"/>
      <c r="S253" s="293"/>
      <c r="T253" s="293"/>
      <c r="U253" s="293"/>
      <c r="V253" s="293"/>
      <c r="W253" s="293"/>
      <c r="X253" s="293"/>
      <c r="Y253" s="29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row>
    <row r="254" spans="1:48" s="444" customFormat="1" hidden="1">
      <c r="A254" s="450"/>
      <c r="B254" s="448" t="s">
        <v>46</v>
      </c>
      <c r="D254" s="449">
        <v>7.0000000000000007E-2</v>
      </c>
      <c r="E254" s="449">
        <v>0.06</v>
      </c>
      <c r="F254" s="449">
        <v>0.05</v>
      </c>
      <c r="G254" s="449">
        <v>0.05</v>
      </c>
      <c r="H254" s="449">
        <v>0.05</v>
      </c>
      <c r="I254" s="449">
        <v>0.05</v>
      </c>
      <c r="J254" s="449">
        <v>0.05</v>
      </c>
      <c r="K254" s="449">
        <v>0.05</v>
      </c>
      <c r="L254" s="449"/>
      <c r="M254" s="293"/>
      <c r="N254" s="293"/>
      <c r="O254" s="293"/>
      <c r="P254" s="293"/>
      <c r="Q254" s="293"/>
      <c r="R254" s="293"/>
      <c r="S254" s="293"/>
      <c r="T254" s="293"/>
      <c r="U254" s="293"/>
      <c r="V254" s="293"/>
      <c r="W254" s="293"/>
      <c r="X254" s="293"/>
      <c r="Y254" s="29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row>
    <row r="255" spans="1:48" s="444" customFormat="1" hidden="1">
      <c r="A255" s="442"/>
      <c r="B255" s="451" t="s">
        <v>45</v>
      </c>
      <c r="D255" s="449">
        <v>7.0000000000000007E-2</v>
      </c>
      <c r="E255" s="449">
        <v>0.06</v>
      </c>
      <c r="F255" s="449">
        <v>0.06</v>
      </c>
      <c r="G255" s="449">
        <v>0.06</v>
      </c>
      <c r="H255" s="449">
        <v>0.06</v>
      </c>
      <c r="I255" s="449">
        <v>0.06</v>
      </c>
      <c r="J255" s="449">
        <v>0.06</v>
      </c>
      <c r="K255" s="449">
        <v>0.06</v>
      </c>
      <c r="L255" s="449"/>
      <c r="M255" s="293"/>
      <c r="N255" s="293"/>
      <c r="O255" s="293"/>
      <c r="P255" s="293"/>
      <c r="Q255" s="293"/>
      <c r="R255" s="293"/>
      <c r="S255" s="293"/>
      <c r="T255" s="293"/>
      <c r="U255" s="293"/>
      <c r="V255" s="293"/>
      <c r="W255" s="293"/>
      <c r="X255" s="293"/>
      <c r="Y255" s="29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row>
    <row r="256" spans="1:48" s="442" customFormat="1" hidden="1">
      <c r="B256" s="451" t="s">
        <v>44</v>
      </c>
      <c r="D256" s="449">
        <v>7.0000000000000007E-2</v>
      </c>
      <c r="E256" s="449">
        <v>7.0000000000000007E-2</v>
      </c>
      <c r="F256" s="449">
        <v>7.0000000000000007E-2</v>
      </c>
      <c r="G256" s="449">
        <v>7.0000000000000007E-2</v>
      </c>
      <c r="H256" s="449">
        <v>7.0000000000000007E-2</v>
      </c>
      <c r="I256" s="449">
        <v>7.0000000000000007E-2</v>
      </c>
      <c r="J256" s="449">
        <v>7.0000000000000007E-2</v>
      </c>
      <c r="K256" s="449">
        <v>7.0000000000000007E-2</v>
      </c>
      <c r="L256" s="449"/>
      <c r="M256" s="293"/>
      <c r="N256" s="293"/>
      <c r="O256" s="293"/>
      <c r="P256" s="293"/>
      <c r="Q256" s="293"/>
      <c r="R256" s="293"/>
      <c r="S256" s="293"/>
      <c r="T256" s="293"/>
      <c r="U256" s="293"/>
      <c r="V256" s="293"/>
      <c r="W256" s="293"/>
      <c r="X256" s="293"/>
      <c r="Y256" s="29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row>
    <row r="257" spans="1:48" s="442" customFormat="1" hidden="1">
      <c r="B257" s="451" t="s">
        <v>43</v>
      </c>
      <c r="D257" s="449">
        <v>0.08</v>
      </c>
      <c r="E257" s="449">
        <v>0.08</v>
      </c>
      <c r="F257" s="449">
        <v>0.08</v>
      </c>
      <c r="G257" s="449">
        <v>0.08</v>
      </c>
      <c r="H257" s="449">
        <v>0.08</v>
      </c>
      <c r="I257" s="449">
        <v>0.08</v>
      </c>
      <c r="J257" s="449">
        <v>0.08</v>
      </c>
      <c r="K257" s="449">
        <v>0.08</v>
      </c>
      <c r="L257" s="449"/>
      <c r="M257" s="293"/>
      <c r="N257" s="293"/>
      <c r="O257" s="293"/>
      <c r="P257" s="293"/>
      <c r="Q257" s="293"/>
      <c r="R257" s="293"/>
      <c r="S257" s="293"/>
      <c r="T257" s="293"/>
      <c r="U257" s="293"/>
      <c r="V257" s="293"/>
      <c r="W257" s="293"/>
      <c r="X257" s="293"/>
      <c r="Y257" s="29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row>
    <row r="258" spans="1:48" s="442" customFormat="1" hidden="1">
      <c r="A258" s="293"/>
      <c r="B258" s="451" t="s">
        <v>42</v>
      </c>
      <c r="D258" s="449">
        <v>0.1</v>
      </c>
      <c r="E258" s="449">
        <v>0.1</v>
      </c>
      <c r="F258" s="449">
        <v>0.1</v>
      </c>
      <c r="G258" s="449">
        <v>0.1</v>
      </c>
      <c r="H258" s="449">
        <v>0.1</v>
      </c>
      <c r="I258" s="449">
        <v>0.1</v>
      </c>
      <c r="J258" s="449">
        <v>0.1</v>
      </c>
      <c r="K258" s="449">
        <v>0.1</v>
      </c>
      <c r="L258" s="449"/>
      <c r="M258" s="293"/>
      <c r="N258" s="293"/>
      <c r="O258" s="293"/>
      <c r="P258" s="293"/>
      <c r="Q258" s="293"/>
      <c r="R258" s="293"/>
      <c r="S258" s="293"/>
      <c r="T258" s="293"/>
      <c r="U258" s="293"/>
      <c r="V258" s="293"/>
      <c r="W258" s="293"/>
      <c r="X258" s="293"/>
      <c r="Y258" s="29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row>
    <row r="259" spans="1:48" s="442" customFormat="1" hidden="1">
      <c r="A259" s="293"/>
      <c r="B259" s="451" t="s">
        <v>41</v>
      </c>
      <c r="D259" s="449">
        <v>0.1</v>
      </c>
      <c r="E259" s="449">
        <v>0.1</v>
      </c>
      <c r="F259" s="449">
        <v>0.1</v>
      </c>
      <c r="G259" s="449">
        <v>0.1</v>
      </c>
      <c r="H259" s="449">
        <v>0.1</v>
      </c>
      <c r="I259" s="449">
        <v>0.1</v>
      </c>
      <c r="J259" s="449">
        <v>0.1</v>
      </c>
      <c r="K259" s="449">
        <v>0.1</v>
      </c>
      <c r="L259" s="449"/>
      <c r="M259" s="293"/>
      <c r="N259" s="293"/>
      <c r="O259" s="293"/>
      <c r="P259" s="293"/>
      <c r="Q259" s="293"/>
      <c r="R259" s="293"/>
      <c r="S259" s="293"/>
      <c r="T259" s="293"/>
      <c r="U259" s="293"/>
      <c r="V259" s="293"/>
      <c r="W259" s="293"/>
      <c r="X259" s="293"/>
      <c r="Y259" s="29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row>
    <row r="260" spans="1:48" s="442" customFormat="1" hidden="1">
      <c r="A260" s="293"/>
      <c r="B260" s="451" t="s">
        <v>40</v>
      </c>
      <c r="D260" s="449">
        <v>0.1</v>
      </c>
      <c r="E260" s="449">
        <v>0.11</v>
      </c>
      <c r="F260" s="449">
        <v>0.12</v>
      </c>
      <c r="G260" s="449">
        <v>0.12</v>
      </c>
      <c r="H260" s="449">
        <v>0.12</v>
      </c>
      <c r="I260" s="449">
        <v>0.12</v>
      </c>
      <c r="J260" s="449">
        <v>0.12</v>
      </c>
      <c r="K260" s="449">
        <v>0.12</v>
      </c>
      <c r="L260" s="449"/>
      <c r="M260" s="293"/>
      <c r="N260" s="293"/>
      <c r="O260" s="293"/>
      <c r="P260" s="293"/>
      <c r="Q260" s="293"/>
      <c r="R260" s="293"/>
      <c r="S260" s="293"/>
      <c r="T260" s="293"/>
      <c r="U260" s="293"/>
      <c r="V260" s="293"/>
      <c r="W260" s="293"/>
      <c r="X260" s="293"/>
      <c r="Y260" s="29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row>
    <row r="261" spans="1:48" s="442" customFormat="1" hidden="1">
      <c r="A261" s="293"/>
      <c r="B261" s="451" t="s">
        <v>39</v>
      </c>
      <c r="D261" s="449">
        <v>0.1</v>
      </c>
      <c r="E261" s="449">
        <v>0.11</v>
      </c>
      <c r="F261" s="449">
        <v>0.12</v>
      </c>
      <c r="G261" s="449">
        <v>0.12</v>
      </c>
      <c r="H261" s="449">
        <v>0.12</v>
      </c>
      <c r="I261" s="449">
        <v>0.12</v>
      </c>
      <c r="J261" s="449">
        <v>0.12</v>
      </c>
      <c r="K261" s="449">
        <v>0.12</v>
      </c>
      <c r="L261" s="449"/>
      <c r="M261" s="293"/>
      <c r="N261" s="293"/>
      <c r="O261" s="293"/>
      <c r="P261" s="293"/>
      <c r="Q261" s="293"/>
      <c r="R261" s="293"/>
      <c r="S261" s="293"/>
      <c r="T261" s="293"/>
      <c r="U261" s="293"/>
      <c r="V261" s="293"/>
      <c r="W261" s="293"/>
      <c r="X261" s="293"/>
      <c r="Y261" s="29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row>
    <row r="262" spans="1:48" s="442" customFormat="1" hidden="1">
      <c r="A262" s="293"/>
      <c r="B262" s="451" t="s">
        <v>38</v>
      </c>
      <c r="D262" s="449">
        <v>0.1</v>
      </c>
      <c r="E262" s="449">
        <v>0.11</v>
      </c>
      <c r="F262" s="449">
        <v>0.11</v>
      </c>
      <c r="G262" s="449">
        <v>0.11</v>
      </c>
      <c r="H262" s="449">
        <v>0.11</v>
      </c>
      <c r="I262" s="449">
        <v>0.11</v>
      </c>
      <c r="J262" s="449">
        <v>0.11</v>
      </c>
      <c r="K262" s="449">
        <v>0.11</v>
      </c>
      <c r="L262" s="449"/>
      <c r="M262" s="293"/>
      <c r="N262" s="293"/>
      <c r="O262" s="293"/>
      <c r="P262" s="293"/>
      <c r="Q262" s="293"/>
      <c r="R262" s="293"/>
      <c r="S262" s="293"/>
      <c r="T262" s="293"/>
      <c r="U262" s="293"/>
      <c r="V262" s="293"/>
      <c r="W262" s="293"/>
      <c r="X262" s="293"/>
      <c r="Y262" s="29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row>
    <row r="263" spans="1:48" s="442" customFormat="1" hidden="1">
      <c r="A263" s="293"/>
      <c r="B263" s="451" t="s">
        <v>37</v>
      </c>
      <c r="D263" s="449">
        <v>7.0000000000000007E-2</v>
      </c>
      <c r="E263" s="449">
        <v>7.0000000000000007E-2</v>
      </c>
      <c r="F263" s="449">
        <v>7.0000000000000007E-2</v>
      </c>
      <c r="G263" s="449">
        <v>7.0000000000000007E-2</v>
      </c>
      <c r="H263" s="449">
        <v>7.0000000000000007E-2</v>
      </c>
      <c r="I263" s="449">
        <v>7.0000000000000007E-2</v>
      </c>
      <c r="J263" s="449">
        <v>7.0000000000000007E-2</v>
      </c>
      <c r="K263" s="449">
        <v>7.0000000000000007E-2</v>
      </c>
      <c r="L263" s="449"/>
      <c r="M263" s="293"/>
      <c r="N263" s="293"/>
      <c r="O263" s="293"/>
      <c r="P263" s="293"/>
      <c r="Q263" s="293"/>
      <c r="R263" s="293"/>
      <c r="S263" s="293"/>
      <c r="T263" s="293"/>
      <c r="U263" s="293"/>
      <c r="V263" s="293"/>
      <c r="W263" s="293"/>
      <c r="X263" s="293"/>
      <c r="Y263" s="29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row>
    <row r="264" spans="1:48" s="442" customFormat="1" hidden="1">
      <c r="A264" s="293"/>
      <c r="B264" s="451" t="s">
        <v>36</v>
      </c>
      <c r="D264" s="449">
        <v>7.0000000000000007E-2</v>
      </c>
      <c r="E264" s="449">
        <v>7.0000000000000007E-2</v>
      </c>
      <c r="F264" s="449">
        <v>7.0000000000000007E-2</v>
      </c>
      <c r="G264" s="449">
        <v>7.0000000000000007E-2</v>
      </c>
      <c r="H264" s="449">
        <v>7.0000000000000007E-2</v>
      </c>
      <c r="I264" s="449">
        <v>7.0000000000000007E-2</v>
      </c>
      <c r="J264" s="449">
        <v>7.0000000000000007E-2</v>
      </c>
      <c r="K264" s="449">
        <v>7.0000000000000007E-2</v>
      </c>
      <c r="L264" s="449"/>
      <c r="M264" s="293"/>
      <c r="N264" s="293"/>
      <c r="O264" s="293"/>
      <c r="P264" s="293"/>
      <c r="Q264" s="293"/>
      <c r="R264" s="293"/>
      <c r="S264" s="293"/>
      <c r="T264" s="293"/>
      <c r="U264" s="293"/>
      <c r="V264" s="293"/>
      <c r="W264" s="293"/>
      <c r="X264" s="293"/>
      <c r="Y264" s="29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row>
    <row r="265" spans="1:48" s="442" customFormat="1" hidden="1">
      <c r="A265" s="293"/>
      <c r="B265" s="451" t="s">
        <v>413</v>
      </c>
      <c r="D265" s="452">
        <f>SUM(D253:D264)</f>
        <v>1</v>
      </c>
      <c r="E265" s="452">
        <f t="shared" ref="E265:K265" si="64">SUM(E253:E264)</f>
        <v>1</v>
      </c>
      <c r="F265" s="452">
        <f t="shared" si="64"/>
        <v>1</v>
      </c>
      <c r="G265" s="452">
        <f t="shared" si="64"/>
        <v>1</v>
      </c>
      <c r="H265" s="452">
        <f t="shared" si="64"/>
        <v>1</v>
      </c>
      <c r="I265" s="452">
        <f t="shared" si="64"/>
        <v>1</v>
      </c>
      <c r="J265" s="452">
        <f t="shared" si="64"/>
        <v>1</v>
      </c>
      <c r="K265" s="452">
        <f t="shared" si="64"/>
        <v>1</v>
      </c>
      <c r="L265" s="452">
        <f>SUM(L253:L264)</f>
        <v>0</v>
      </c>
      <c r="M265" s="293"/>
      <c r="N265" s="293"/>
      <c r="O265" s="293"/>
      <c r="P265" s="293"/>
      <c r="Q265" s="293"/>
      <c r="R265" s="293"/>
      <c r="S265" s="293"/>
      <c r="T265" s="293"/>
      <c r="U265" s="293"/>
      <c r="V265" s="293"/>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row>
    <row r="266" spans="1:48" s="442" customFormat="1" hidden="1">
      <c r="A266" s="293"/>
      <c r="B266" s="451"/>
      <c r="D266" s="453" t="s">
        <v>414</v>
      </c>
      <c r="E266" s="453"/>
      <c r="F266" s="453"/>
      <c r="G266" s="453"/>
      <c r="H266" s="453"/>
      <c r="I266" s="453"/>
      <c r="J266" s="453"/>
      <c r="K266" s="453"/>
      <c r="L266" s="453"/>
      <c r="M266" s="293"/>
      <c r="N266" s="293"/>
      <c r="O266" s="293"/>
      <c r="P266" s="293"/>
      <c r="Q266" s="293"/>
      <c r="R266" s="293"/>
      <c r="S266" s="293"/>
      <c r="T266" s="293"/>
      <c r="U266" s="293"/>
      <c r="V266" s="293"/>
      <c r="W266" s="293"/>
      <c r="X266" s="293"/>
      <c r="Y266" s="29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row>
    <row r="267" spans="1:48" s="442" customFormat="1" hidden="1">
      <c r="A267" s="471"/>
      <c r="B267" s="448" t="s">
        <v>47</v>
      </c>
      <c r="D267" s="455">
        <f>D279*D253</f>
        <v>1780.3906048051203</v>
      </c>
      <c r="E267" s="455">
        <f t="shared" ref="E267:K267" si="65">E279*E253</f>
        <v>1459.6991294054401</v>
      </c>
      <c r="F267" s="455">
        <f t="shared" si="65"/>
        <v>829.37450534400023</v>
      </c>
      <c r="G267" s="455">
        <f t="shared" si="65"/>
        <v>718.79123796480008</v>
      </c>
      <c r="H267" s="455">
        <f t="shared" si="65"/>
        <v>718.79123796480008</v>
      </c>
      <c r="I267" s="455">
        <f t="shared" si="65"/>
        <v>774.08287165440015</v>
      </c>
      <c r="J267" s="455">
        <f t="shared" si="65"/>
        <v>4914.8118835200012</v>
      </c>
      <c r="K267" s="455">
        <f t="shared" si="65"/>
        <v>4914.8118835200012</v>
      </c>
      <c r="L267" s="455">
        <f>L279*L253</f>
        <v>0</v>
      </c>
      <c r="M267" s="293"/>
      <c r="N267" s="293"/>
      <c r="O267" s="293"/>
      <c r="P267" s="293"/>
      <c r="Q267" s="293"/>
      <c r="R267" s="293"/>
      <c r="S267" s="293"/>
      <c r="T267" s="293"/>
      <c r="U267" s="293"/>
    </row>
    <row r="268" spans="1:48" s="442" customFormat="1" hidden="1">
      <c r="A268" s="471"/>
      <c r="B268" s="448" t="s">
        <v>46</v>
      </c>
      <c r="D268" s="455">
        <f>D279*D254</f>
        <v>1780.3906048051203</v>
      </c>
      <c r="E268" s="455">
        <f t="shared" ref="E268:K268" si="66">E279*E254</f>
        <v>1459.6991294054401</v>
      </c>
      <c r="F268" s="455">
        <f t="shared" si="66"/>
        <v>829.37450534400023</v>
      </c>
      <c r="G268" s="455">
        <f t="shared" si="66"/>
        <v>718.79123796480008</v>
      </c>
      <c r="H268" s="455">
        <f t="shared" si="66"/>
        <v>718.79123796480008</v>
      </c>
      <c r="I268" s="455">
        <f t="shared" si="66"/>
        <v>774.08287165440015</v>
      </c>
      <c r="J268" s="455">
        <f t="shared" si="66"/>
        <v>4914.8118835200012</v>
      </c>
      <c r="K268" s="455">
        <f t="shared" si="66"/>
        <v>4914.8118835200012</v>
      </c>
      <c r="L268" s="455">
        <f>L279*L254</f>
        <v>0</v>
      </c>
      <c r="M268" s="293"/>
      <c r="N268" s="293"/>
      <c r="O268" s="293"/>
      <c r="P268" s="293"/>
      <c r="Q268" s="293"/>
      <c r="R268" s="293"/>
      <c r="S268" s="293"/>
      <c r="T268" s="293"/>
      <c r="U268" s="293"/>
    </row>
    <row r="269" spans="1:48" s="442" customFormat="1" hidden="1">
      <c r="A269" s="471"/>
      <c r="B269" s="451" t="s">
        <v>45</v>
      </c>
      <c r="D269" s="455">
        <f>D279*D255</f>
        <v>1780.3906048051203</v>
      </c>
      <c r="E269" s="455">
        <f t="shared" ref="E269:K269" si="67">E279*E255</f>
        <v>1459.6991294054401</v>
      </c>
      <c r="F269" s="455">
        <f t="shared" si="67"/>
        <v>995.24940641280011</v>
      </c>
      <c r="G269" s="455">
        <f t="shared" si="67"/>
        <v>862.54948555776002</v>
      </c>
      <c r="H269" s="455">
        <f t="shared" si="67"/>
        <v>862.54948555776002</v>
      </c>
      <c r="I269" s="455">
        <f t="shared" si="67"/>
        <v>928.89944598528018</v>
      </c>
      <c r="J269" s="455">
        <f t="shared" si="67"/>
        <v>5897.7742602240014</v>
      </c>
      <c r="K269" s="455">
        <f t="shared" si="67"/>
        <v>5897.7742602240014</v>
      </c>
      <c r="L269" s="455">
        <f>L$277*L255</f>
        <v>0</v>
      </c>
      <c r="M269" s="293"/>
      <c r="N269" s="293"/>
      <c r="O269" s="293"/>
      <c r="P269" s="293"/>
      <c r="Q269" s="293"/>
      <c r="R269" s="293"/>
      <c r="S269" s="293"/>
      <c r="T269" s="293"/>
      <c r="U269" s="293"/>
    </row>
    <row r="270" spans="1:48" s="442" customFormat="1" hidden="1">
      <c r="A270" s="471"/>
      <c r="B270" s="451" t="s">
        <v>44</v>
      </c>
      <c r="D270" s="455">
        <f>D279*D256</f>
        <v>1780.3906048051203</v>
      </c>
      <c r="E270" s="455">
        <f t="shared" ref="E270:K270" si="68">E279*E256</f>
        <v>1702.9823176396806</v>
      </c>
      <c r="F270" s="455">
        <f t="shared" si="68"/>
        <v>1161.1243074816002</v>
      </c>
      <c r="G270" s="455">
        <f t="shared" si="68"/>
        <v>1006.3077331507202</v>
      </c>
      <c r="H270" s="455">
        <f t="shared" si="68"/>
        <v>1006.3077331507202</v>
      </c>
      <c r="I270" s="455">
        <f t="shared" si="68"/>
        <v>1083.7160203161602</v>
      </c>
      <c r="J270" s="455">
        <f t="shared" si="68"/>
        <v>6880.7366369280016</v>
      </c>
      <c r="K270" s="455">
        <f t="shared" si="68"/>
        <v>6880.7366369280016</v>
      </c>
      <c r="L270" s="455">
        <f>L279*L256</f>
        <v>0</v>
      </c>
      <c r="M270" s="293"/>
      <c r="N270" s="293"/>
      <c r="O270" s="293"/>
      <c r="P270" s="293"/>
      <c r="Q270" s="293"/>
      <c r="R270" s="293"/>
      <c r="S270" s="293"/>
      <c r="T270" s="293"/>
      <c r="U270" s="293"/>
    </row>
    <row r="271" spans="1:48" s="442" customFormat="1" hidden="1">
      <c r="A271" s="471"/>
      <c r="B271" s="451" t="s">
        <v>43</v>
      </c>
      <c r="D271" s="455">
        <f>D279*D257</f>
        <v>2034.7321197772803</v>
      </c>
      <c r="E271" s="455">
        <f t="shared" ref="E271:K271" si="69">E279*E257</f>
        <v>1946.2655058739203</v>
      </c>
      <c r="F271" s="455">
        <f t="shared" si="69"/>
        <v>1326.9992085504002</v>
      </c>
      <c r="G271" s="455">
        <f t="shared" si="69"/>
        <v>1150.0659807436803</v>
      </c>
      <c r="H271" s="455">
        <f t="shared" si="69"/>
        <v>1150.0659807436803</v>
      </c>
      <c r="I271" s="455">
        <f t="shared" si="69"/>
        <v>1238.5325946470402</v>
      </c>
      <c r="J271" s="455">
        <f t="shared" si="69"/>
        <v>7863.6990136320019</v>
      </c>
      <c r="K271" s="455">
        <f t="shared" si="69"/>
        <v>7863.6990136320019</v>
      </c>
      <c r="L271" s="455">
        <f>L279*L257</f>
        <v>0</v>
      </c>
      <c r="M271" s="293"/>
      <c r="N271" s="293"/>
      <c r="O271" s="293"/>
      <c r="P271" s="293"/>
      <c r="Q271" s="293"/>
      <c r="R271" s="293"/>
      <c r="S271" s="293"/>
      <c r="T271" s="293"/>
      <c r="U271" s="293"/>
    </row>
    <row r="272" spans="1:48" s="442" customFormat="1" hidden="1">
      <c r="A272" s="471"/>
      <c r="B272" s="451" t="s">
        <v>42</v>
      </c>
      <c r="D272" s="455">
        <f>D279*D258</f>
        <v>2543.4151497216008</v>
      </c>
      <c r="E272" s="455">
        <f t="shared" ref="E272:K272" si="70">E279*E258</f>
        <v>2432.8318823424006</v>
      </c>
      <c r="F272" s="455">
        <f t="shared" si="70"/>
        <v>1658.7490106880005</v>
      </c>
      <c r="G272" s="455">
        <f t="shared" si="70"/>
        <v>1437.5824759296002</v>
      </c>
      <c r="H272" s="455">
        <f t="shared" si="70"/>
        <v>1437.5824759296002</v>
      </c>
      <c r="I272" s="455">
        <f t="shared" si="70"/>
        <v>1548.1657433088003</v>
      </c>
      <c r="J272" s="455">
        <f t="shared" si="70"/>
        <v>9829.6237670400023</v>
      </c>
      <c r="K272" s="455">
        <f t="shared" si="70"/>
        <v>9829.6237670400023</v>
      </c>
      <c r="L272" s="455">
        <f>L279*L258</f>
        <v>0</v>
      </c>
      <c r="M272" s="293"/>
      <c r="N272" s="293"/>
      <c r="O272" s="293"/>
      <c r="P272" s="293"/>
      <c r="Q272" s="293"/>
      <c r="R272" s="293"/>
      <c r="S272" s="293"/>
      <c r="T272" s="293"/>
      <c r="U272" s="293"/>
    </row>
    <row r="273" spans="1:21" s="442" customFormat="1" hidden="1">
      <c r="A273" s="471"/>
      <c r="B273" s="451" t="s">
        <v>41</v>
      </c>
      <c r="D273" s="455">
        <f>D279*D259</f>
        <v>2543.4151497216008</v>
      </c>
      <c r="E273" s="455">
        <f t="shared" ref="E273:K273" si="71">E279*E259</f>
        <v>2432.8318823424006</v>
      </c>
      <c r="F273" s="455">
        <f t="shared" si="71"/>
        <v>1658.7490106880005</v>
      </c>
      <c r="G273" s="455">
        <f t="shared" si="71"/>
        <v>1437.5824759296002</v>
      </c>
      <c r="H273" s="455">
        <f t="shared" si="71"/>
        <v>1437.5824759296002</v>
      </c>
      <c r="I273" s="455">
        <f t="shared" si="71"/>
        <v>1548.1657433088003</v>
      </c>
      <c r="J273" s="455">
        <f t="shared" si="71"/>
        <v>9829.6237670400023</v>
      </c>
      <c r="K273" s="455">
        <f t="shared" si="71"/>
        <v>9829.6237670400023</v>
      </c>
      <c r="L273" s="455">
        <f>L279*L259</f>
        <v>0</v>
      </c>
      <c r="M273" s="293"/>
      <c r="N273" s="293"/>
      <c r="O273" s="293"/>
      <c r="P273" s="293"/>
      <c r="Q273" s="293"/>
      <c r="R273" s="293"/>
      <c r="S273" s="293"/>
      <c r="T273" s="293"/>
      <c r="U273" s="293"/>
    </row>
    <row r="274" spans="1:21" s="442" customFormat="1" hidden="1">
      <c r="A274" s="471"/>
      <c r="B274" s="451" t="s">
        <v>40</v>
      </c>
      <c r="D274" s="455">
        <f>D279*D260</f>
        <v>2543.4151497216008</v>
      </c>
      <c r="E274" s="455">
        <f t="shared" ref="E274:K274" si="72">E279*E260</f>
        <v>2676.1150705766404</v>
      </c>
      <c r="F274" s="455">
        <f t="shared" si="72"/>
        <v>1990.4988128256002</v>
      </c>
      <c r="G274" s="455">
        <f t="shared" si="72"/>
        <v>1725.09897111552</v>
      </c>
      <c r="H274" s="455">
        <f t="shared" si="72"/>
        <v>1725.09897111552</v>
      </c>
      <c r="I274" s="455">
        <f t="shared" si="72"/>
        <v>1857.7988919705604</v>
      </c>
      <c r="J274" s="455">
        <f t="shared" si="72"/>
        <v>11795.548520448003</v>
      </c>
      <c r="K274" s="455">
        <f t="shared" si="72"/>
        <v>11795.548520448003</v>
      </c>
      <c r="L274" s="455">
        <f>L279*L260</f>
        <v>0</v>
      </c>
      <c r="M274" s="293"/>
      <c r="N274" s="457"/>
      <c r="O274" s="457"/>
      <c r="P274" s="457"/>
      <c r="Q274" s="457"/>
      <c r="R274" s="457"/>
      <c r="S274" s="457"/>
      <c r="T274" s="457"/>
      <c r="U274" s="457"/>
    </row>
    <row r="275" spans="1:21" s="442" customFormat="1" hidden="1">
      <c r="A275" s="471"/>
      <c r="B275" s="451" t="s">
        <v>39</v>
      </c>
      <c r="D275" s="455">
        <f>D279*D261</f>
        <v>2543.4151497216008</v>
      </c>
      <c r="E275" s="455">
        <f t="shared" ref="E275:K275" si="73">E279*E261</f>
        <v>2676.1150705766404</v>
      </c>
      <c r="F275" s="455">
        <f t="shared" si="73"/>
        <v>1990.4988128256002</v>
      </c>
      <c r="G275" s="455">
        <f t="shared" si="73"/>
        <v>1725.09897111552</v>
      </c>
      <c r="H275" s="455">
        <f t="shared" si="73"/>
        <v>1725.09897111552</v>
      </c>
      <c r="I275" s="455">
        <f t="shared" si="73"/>
        <v>1857.7988919705604</v>
      </c>
      <c r="J275" s="455">
        <f t="shared" si="73"/>
        <v>11795.548520448003</v>
      </c>
      <c r="K275" s="455">
        <f t="shared" si="73"/>
        <v>11795.548520448003</v>
      </c>
      <c r="L275" s="455">
        <f>L279*L261</f>
        <v>0</v>
      </c>
      <c r="M275" s="293"/>
      <c r="N275" s="457"/>
      <c r="O275" s="457"/>
      <c r="P275" s="457"/>
      <c r="Q275" s="457"/>
      <c r="R275" s="457"/>
      <c r="S275" s="457"/>
      <c r="T275" s="457"/>
      <c r="U275" s="457"/>
    </row>
    <row r="276" spans="1:21" s="442" customFormat="1" hidden="1">
      <c r="A276" s="471"/>
      <c r="B276" s="451" t="s">
        <v>38</v>
      </c>
      <c r="D276" s="455">
        <f>D279*D262</f>
        <v>2543.4151497216008</v>
      </c>
      <c r="E276" s="455">
        <f t="shared" ref="E276:K276" si="74">E279*E262</f>
        <v>2676.1150705766404</v>
      </c>
      <c r="F276" s="455">
        <f t="shared" si="74"/>
        <v>1824.6239117568002</v>
      </c>
      <c r="G276" s="455">
        <f t="shared" si="74"/>
        <v>1581.3407235225602</v>
      </c>
      <c r="H276" s="455">
        <f t="shared" si="74"/>
        <v>1581.3407235225602</v>
      </c>
      <c r="I276" s="455">
        <f t="shared" si="74"/>
        <v>1702.9823176396803</v>
      </c>
      <c r="J276" s="455">
        <f t="shared" si="74"/>
        <v>10812.586143744002</v>
      </c>
      <c r="K276" s="455">
        <f t="shared" si="74"/>
        <v>10812.586143744002</v>
      </c>
      <c r="L276" s="455">
        <f>L279*L262</f>
        <v>0</v>
      </c>
      <c r="N276" s="457"/>
      <c r="O276" s="457"/>
      <c r="P276" s="457"/>
      <c r="Q276" s="457"/>
      <c r="R276" s="457"/>
      <c r="S276" s="457"/>
      <c r="T276" s="457"/>
      <c r="U276" s="457"/>
    </row>
    <row r="277" spans="1:21" s="474" customFormat="1" hidden="1">
      <c r="A277" s="471"/>
      <c r="B277" s="451" t="s">
        <v>37</v>
      </c>
      <c r="D277" s="455">
        <f>D279*D263</f>
        <v>1780.3906048051203</v>
      </c>
      <c r="E277" s="455">
        <f t="shared" ref="E277:K277" si="75">E279*E263</f>
        <v>1702.9823176396806</v>
      </c>
      <c r="F277" s="455">
        <f t="shared" si="75"/>
        <v>1161.1243074816002</v>
      </c>
      <c r="G277" s="455">
        <f t="shared" si="75"/>
        <v>1006.3077331507202</v>
      </c>
      <c r="H277" s="455">
        <f t="shared" si="75"/>
        <v>1006.3077331507202</v>
      </c>
      <c r="I277" s="455">
        <f t="shared" si="75"/>
        <v>1083.7160203161602</v>
      </c>
      <c r="J277" s="455">
        <f t="shared" si="75"/>
        <v>6880.7366369280016</v>
      </c>
      <c r="K277" s="455">
        <f t="shared" si="75"/>
        <v>6880.7366369280016</v>
      </c>
      <c r="L277" s="455">
        <f>L279*L263</f>
        <v>0</v>
      </c>
      <c r="M277" s="442"/>
      <c r="N277" s="457"/>
      <c r="O277" s="457"/>
      <c r="P277" s="457"/>
      <c r="Q277" s="457"/>
      <c r="R277" s="457"/>
      <c r="S277" s="457"/>
      <c r="T277" s="457"/>
      <c r="U277" s="457"/>
    </row>
    <row r="278" spans="1:21" s="474" customFormat="1" hidden="1">
      <c r="A278" s="471"/>
      <c r="B278" s="451" t="s">
        <v>36</v>
      </c>
      <c r="D278" s="455">
        <f>D279*D264</f>
        <v>1780.3906048051203</v>
      </c>
      <c r="E278" s="455">
        <f t="shared" ref="E278:K278" si="76">E279*E264</f>
        <v>1702.9823176396806</v>
      </c>
      <c r="F278" s="455">
        <f t="shared" si="76"/>
        <v>1161.1243074816002</v>
      </c>
      <c r="G278" s="455">
        <f t="shared" si="76"/>
        <v>1006.3077331507202</v>
      </c>
      <c r="H278" s="455">
        <f t="shared" si="76"/>
        <v>1006.3077331507202</v>
      </c>
      <c r="I278" s="455">
        <f t="shared" si="76"/>
        <v>1083.7160203161602</v>
      </c>
      <c r="J278" s="455">
        <f t="shared" si="76"/>
        <v>6880.7366369280016</v>
      </c>
      <c r="K278" s="455">
        <f t="shared" si="76"/>
        <v>6880.7366369280016</v>
      </c>
      <c r="L278" s="455">
        <f>L279*L264</f>
        <v>0</v>
      </c>
      <c r="M278" s="293"/>
      <c r="N278" s="457"/>
      <c r="O278" s="457"/>
      <c r="P278" s="457"/>
      <c r="Q278" s="457"/>
      <c r="R278" s="457"/>
      <c r="S278" s="457"/>
      <c r="T278" s="457"/>
      <c r="U278" s="457"/>
    </row>
    <row r="279" spans="1:21" s="442" customFormat="1" hidden="1">
      <c r="A279" s="471"/>
      <c r="B279" s="451" t="s">
        <v>413</v>
      </c>
      <c r="D279" s="455">
        <f t="shared" ref="D279:L279" si="77">VLOOKUP(D160,TargetedMS,IF(D161="[retail]",12,14),FALSE)</f>
        <v>25434.151497216004</v>
      </c>
      <c r="E279" s="455">
        <f t="shared" si="77"/>
        <v>24328.318823424004</v>
      </c>
      <c r="F279" s="455">
        <f t="shared" si="77"/>
        <v>16587.490106880003</v>
      </c>
      <c r="G279" s="455">
        <f t="shared" si="77"/>
        <v>14375.824759296002</v>
      </c>
      <c r="H279" s="455">
        <f t="shared" si="77"/>
        <v>14375.824759296002</v>
      </c>
      <c r="I279" s="455">
        <f t="shared" si="77"/>
        <v>15481.657433088003</v>
      </c>
      <c r="J279" s="455">
        <f t="shared" si="77"/>
        <v>98296.23767040002</v>
      </c>
      <c r="K279" s="455">
        <f t="shared" si="77"/>
        <v>98296.23767040002</v>
      </c>
      <c r="L279" s="455">
        <f t="shared" si="77"/>
        <v>0</v>
      </c>
      <c r="N279" s="457"/>
      <c r="O279" s="457"/>
      <c r="P279" s="457"/>
      <c r="Q279" s="457"/>
      <c r="R279" s="457"/>
      <c r="S279" s="457"/>
      <c r="T279" s="457"/>
      <c r="U279" s="457"/>
    </row>
    <row r="280" spans="1:21" s="474" customFormat="1" hidden="1">
      <c r="A280" s="441"/>
      <c r="B280" s="448" t="s">
        <v>415</v>
      </c>
      <c r="D280" s="457" t="str">
        <f t="shared" ref="D280:L280" si="78">IF(D161="[wholesale]",D279/capacity,"")</f>
        <v/>
      </c>
      <c r="E280" s="457" t="str">
        <f t="shared" si="78"/>
        <v/>
      </c>
      <c r="F280" s="457" t="str">
        <f t="shared" si="78"/>
        <v/>
      </c>
      <c r="G280" s="457" t="str">
        <f t="shared" si="78"/>
        <v/>
      </c>
      <c r="H280" s="457" t="str">
        <f t="shared" si="78"/>
        <v/>
      </c>
      <c r="I280" s="457" t="str">
        <f t="shared" si="78"/>
        <v/>
      </c>
      <c r="J280" s="457">
        <f t="shared" si="78"/>
        <v>79.271159411612913</v>
      </c>
      <c r="K280" s="457">
        <f t="shared" si="78"/>
        <v>79.271159411612913</v>
      </c>
      <c r="L280" s="457" t="str">
        <f t="shared" si="78"/>
        <v/>
      </c>
      <c r="M280" s="293"/>
      <c r="N280" s="293"/>
      <c r="O280" s="465"/>
      <c r="P280" s="465"/>
      <c r="Q280" s="293"/>
      <c r="R280" s="465"/>
      <c r="S280" s="465"/>
      <c r="T280" s="442"/>
      <c r="U280" s="442"/>
    </row>
    <row r="281" spans="1:21" s="293" customFormat="1" hidden="1">
      <c r="A281" s="441"/>
      <c r="B281" s="448"/>
      <c r="C281" s="472" t="s">
        <v>101</v>
      </c>
      <c r="D281" s="453" t="s">
        <v>416</v>
      </c>
      <c r="E281" s="453"/>
      <c r="F281" s="453"/>
      <c r="G281" s="453"/>
      <c r="H281" s="453"/>
      <c r="I281" s="453"/>
      <c r="J281" s="453"/>
      <c r="K281" s="453"/>
      <c r="L281" s="453"/>
      <c r="O281" s="465"/>
      <c r="P281" s="465"/>
      <c r="R281" s="465"/>
      <c r="S281" s="465"/>
    </row>
    <row r="282" spans="1:21" s="293" customFormat="1" hidden="1">
      <c r="A282" s="447"/>
      <c r="B282" s="448" t="s">
        <v>47</v>
      </c>
      <c r="C282" s="462">
        <f t="shared" ref="C282:C293" si="79">SUM(D282:Z282)</f>
        <v>10</v>
      </c>
      <c r="D282" s="463">
        <f>ProductionFY3(1,D160,VLOOKUP(D160,ProductsRange,3,FALSE),D267)</f>
        <v>1.3296017617911544</v>
      </c>
      <c r="E282" s="463">
        <f>ProductionFY3(1,E160,VLOOKUP(E160,ProductsRange,3,FALSE),E267)</f>
        <v>1.1449498843484964</v>
      </c>
      <c r="F282" s="463">
        <f t="shared" ref="F282:L282" si="80">ProductionFY3(1,F160,VLOOKUP(F160,ProductsRange,3,FALSE),F267)</f>
        <v>0</v>
      </c>
      <c r="G282" s="463">
        <f t="shared" si="80"/>
        <v>0</v>
      </c>
      <c r="H282" s="463">
        <f t="shared" si="80"/>
        <v>0</v>
      </c>
      <c r="I282" s="463">
        <f t="shared" si="80"/>
        <v>0</v>
      </c>
      <c r="J282" s="463">
        <f t="shared" si="80"/>
        <v>3.6703982382088456</v>
      </c>
      <c r="K282" s="463">
        <f t="shared" si="80"/>
        <v>3.8550501156515038</v>
      </c>
      <c r="L282" s="463">
        <f t="shared" si="80"/>
        <v>0</v>
      </c>
      <c r="M282" s="447"/>
      <c r="O282" s="465"/>
      <c r="P282" s="465"/>
      <c r="R282" s="465"/>
      <c r="S282" s="465"/>
    </row>
    <row r="283" spans="1:21" s="293" customFormat="1" hidden="1">
      <c r="A283" s="450"/>
      <c r="B283" s="448" t="s">
        <v>46</v>
      </c>
      <c r="C283" s="462">
        <f t="shared" si="79"/>
        <v>10</v>
      </c>
      <c r="D283" s="463">
        <f>ProductionFY3(2,D160,VLOOKUP(D160,ProductsRange,3,FALSE),D268)</f>
        <v>1.3296017617911544</v>
      </c>
      <c r="E283" s="463">
        <f t="shared" ref="E283:L283" si="81">ProductionFY3(2,E160,VLOOKUP(E160,ProductsRange,3,FALSE),E268)</f>
        <v>1.1449498843484964</v>
      </c>
      <c r="F283" s="463">
        <f t="shared" si="81"/>
        <v>0</v>
      </c>
      <c r="G283" s="463">
        <f t="shared" si="81"/>
        <v>0</v>
      </c>
      <c r="H283" s="463">
        <f t="shared" si="81"/>
        <v>0</v>
      </c>
      <c r="I283" s="463">
        <f t="shared" si="81"/>
        <v>0</v>
      </c>
      <c r="J283" s="463">
        <f t="shared" si="81"/>
        <v>3.6703982382088456</v>
      </c>
      <c r="K283" s="463">
        <f t="shared" si="81"/>
        <v>3.8550501156515038</v>
      </c>
      <c r="L283" s="463">
        <f t="shared" si="81"/>
        <v>0</v>
      </c>
      <c r="M283" s="447"/>
      <c r="O283" s="465"/>
      <c r="P283" s="465"/>
      <c r="R283" s="465"/>
      <c r="S283" s="465"/>
    </row>
    <row r="284" spans="1:21" s="293" customFormat="1" hidden="1">
      <c r="A284" s="442"/>
      <c r="B284" s="451" t="s">
        <v>45</v>
      </c>
      <c r="C284" s="462">
        <f t="shared" si="79"/>
        <v>12.999999999999998</v>
      </c>
      <c r="D284" s="463">
        <f>ProductionFY3(3,D160,VLOOKUP(D160,ProductsRange,3,FALSE),D269)</f>
        <v>1.3912626020163226</v>
      </c>
      <c r="E284" s="463">
        <f t="shared" ref="E284:L284" si="82">ProductionFY3(3,E160,VLOOKUP(E160,ProductsRange,3,FALSE),E269)</f>
        <v>1.1903807615230457</v>
      </c>
      <c r="F284" s="463">
        <f t="shared" si="82"/>
        <v>1</v>
      </c>
      <c r="G284" s="463">
        <f t="shared" si="82"/>
        <v>0</v>
      </c>
      <c r="H284" s="463">
        <f t="shared" si="82"/>
        <v>0</v>
      </c>
      <c r="I284" s="463">
        <f t="shared" si="82"/>
        <v>0</v>
      </c>
      <c r="J284" s="463">
        <f t="shared" si="82"/>
        <v>4.6087373979836768</v>
      </c>
      <c r="K284" s="463">
        <f t="shared" si="82"/>
        <v>4.8096192384769534</v>
      </c>
      <c r="L284" s="463">
        <f t="shared" si="82"/>
        <v>0</v>
      </c>
      <c r="M284" s="447"/>
      <c r="O284" s="465"/>
      <c r="P284" s="465"/>
      <c r="R284" s="465"/>
      <c r="S284" s="465"/>
    </row>
    <row r="285" spans="1:21" s="293" customFormat="1" hidden="1">
      <c r="A285" s="442"/>
      <c r="B285" s="451" t="s">
        <v>44</v>
      </c>
      <c r="C285" s="462">
        <f t="shared" si="79"/>
        <v>18</v>
      </c>
      <c r="D285" s="463">
        <f>ProductionFY3(4,D160,VLOOKUP(D160,ProductsRange,3,FALSE),D270)</f>
        <v>1.4389275074478647</v>
      </c>
      <c r="E285" s="463">
        <f t="shared" ref="E285:L285" si="83">ProductionFY3(4,E160,VLOOKUP(E160,ProductsRange,3,FALSE),E270)</f>
        <v>1.3887775551102204</v>
      </c>
      <c r="F285" s="463">
        <f t="shared" si="83"/>
        <v>1</v>
      </c>
      <c r="G285" s="463">
        <f t="shared" si="83"/>
        <v>1</v>
      </c>
      <c r="H285" s="463">
        <f t="shared" si="83"/>
        <v>1</v>
      </c>
      <c r="I285" s="463">
        <f t="shared" si="83"/>
        <v>1</v>
      </c>
      <c r="J285" s="463">
        <f t="shared" si="83"/>
        <v>5.5610724925521353</v>
      </c>
      <c r="K285" s="463">
        <f t="shared" si="83"/>
        <v>5.6112224448897789</v>
      </c>
      <c r="L285" s="463">
        <f t="shared" si="83"/>
        <v>0</v>
      </c>
      <c r="M285" s="447"/>
      <c r="O285" s="465"/>
      <c r="P285" s="465"/>
      <c r="R285" s="465"/>
      <c r="S285" s="465"/>
    </row>
    <row r="286" spans="1:21" s="293" customFormat="1" hidden="1">
      <c r="A286" s="442"/>
      <c r="B286" s="451" t="s">
        <v>43</v>
      </c>
      <c r="C286" s="462">
        <f t="shared" si="79"/>
        <v>20</v>
      </c>
      <c r="D286" s="463">
        <f>ProductionFY3(5,D160,VLOOKUP(D160,ProductsRange,3,FALSE),D271)</f>
        <v>1.644488579940417</v>
      </c>
      <c r="E286" s="463">
        <f t="shared" ref="E286:L286" si="84">ProductionFY3(5,E160,VLOOKUP(E160,ProductsRange,3,FALSE),E271)</f>
        <v>1.5871743486973948</v>
      </c>
      <c r="F286" s="463">
        <f t="shared" si="84"/>
        <v>1</v>
      </c>
      <c r="G286" s="463">
        <f t="shared" si="84"/>
        <v>1</v>
      </c>
      <c r="H286" s="463">
        <f t="shared" si="84"/>
        <v>1</v>
      </c>
      <c r="I286" s="463">
        <f t="shared" si="84"/>
        <v>1</v>
      </c>
      <c r="J286" s="463">
        <f t="shared" si="84"/>
        <v>6.3555114200595835</v>
      </c>
      <c r="K286" s="463">
        <f t="shared" si="84"/>
        <v>6.4128256513026054</v>
      </c>
      <c r="L286" s="463">
        <f t="shared" si="84"/>
        <v>0</v>
      </c>
      <c r="M286" s="447"/>
      <c r="O286" s="465"/>
      <c r="P286" s="465"/>
      <c r="R286" s="465"/>
      <c r="S286" s="465"/>
    </row>
    <row r="287" spans="1:21" s="293" customFormat="1" hidden="1">
      <c r="B287" s="451" t="s">
        <v>42</v>
      </c>
      <c r="C287" s="462">
        <f t="shared" si="79"/>
        <v>24</v>
      </c>
      <c r="D287" s="463">
        <f>ProductionFY3(6,D160,VLOOKUP(D160,ProductsRange,3,FALSE),D272)</f>
        <v>2.0556107249255215</v>
      </c>
      <c r="E287" s="463">
        <f t="shared" ref="E287:L287" si="85">ProductionFY3(6,E160,VLOOKUP(E160,ProductsRange,3,FALSE),E272)</f>
        <v>1.9839679358717437</v>
      </c>
      <c r="F287" s="463">
        <f t="shared" si="85"/>
        <v>1</v>
      </c>
      <c r="G287" s="463">
        <f t="shared" si="85"/>
        <v>1</v>
      </c>
      <c r="H287" s="463">
        <f t="shared" si="85"/>
        <v>1</v>
      </c>
      <c r="I287" s="463">
        <f t="shared" si="85"/>
        <v>1</v>
      </c>
      <c r="J287" s="463">
        <f t="shared" si="85"/>
        <v>7.944389275074478</v>
      </c>
      <c r="K287" s="463">
        <f t="shared" si="85"/>
        <v>8.0160320641282574</v>
      </c>
      <c r="L287" s="463">
        <f t="shared" si="85"/>
        <v>0</v>
      </c>
      <c r="M287" s="447"/>
      <c r="O287" s="465"/>
      <c r="P287" s="465"/>
      <c r="R287" s="465"/>
      <c r="S287" s="465"/>
    </row>
    <row r="288" spans="1:21" s="293" customFormat="1" hidden="1">
      <c r="B288" s="451" t="s">
        <v>41</v>
      </c>
      <c r="C288" s="462">
        <f t="shared" si="79"/>
        <v>24</v>
      </c>
      <c r="D288" s="463">
        <f>ProductionFY3(7,D160,VLOOKUP(D160,ProductsRange,3,FALSE),D273)</f>
        <v>2.0556107249255215</v>
      </c>
      <c r="E288" s="463">
        <f t="shared" ref="E288:L288" si="86">ProductionFY3(7,E160,VLOOKUP(E160,ProductsRange,3,FALSE),E273)</f>
        <v>1.9839679358717437</v>
      </c>
      <c r="F288" s="463">
        <f t="shared" si="86"/>
        <v>1</v>
      </c>
      <c r="G288" s="463">
        <f t="shared" si="86"/>
        <v>1</v>
      </c>
      <c r="H288" s="463">
        <f t="shared" si="86"/>
        <v>1</v>
      </c>
      <c r="I288" s="463">
        <f t="shared" si="86"/>
        <v>1</v>
      </c>
      <c r="J288" s="463">
        <f t="shared" si="86"/>
        <v>7.944389275074478</v>
      </c>
      <c r="K288" s="463">
        <f t="shared" si="86"/>
        <v>8.0160320641282574</v>
      </c>
      <c r="L288" s="463">
        <f t="shared" si="86"/>
        <v>0</v>
      </c>
      <c r="M288" s="447"/>
      <c r="O288" s="465"/>
      <c r="P288" s="465"/>
      <c r="R288" s="465"/>
      <c r="S288" s="465"/>
    </row>
    <row r="289" spans="1:21" s="293" customFormat="1" hidden="1">
      <c r="B289" s="451" t="s">
        <v>40</v>
      </c>
      <c r="C289" s="462">
        <f t="shared" si="79"/>
        <v>25.999999999999996</v>
      </c>
      <c r="D289" s="463">
        <f>ProductionFY3(8,D160,VLOOKUP(D160,ProductsRange,3,FALSE),D274)</f>
        <v>1.9511568123393317</v>
      </c>
      <c r="E289" s="463">
        <f t="shared" ref="E289:L289" si="87">ProductionFY3(8,E160,VLOOKUP(E160,ProductsRange,3,FALSE),E274)</f>
        <v>2.0341314314824244</v>
      </c>
      <c r="F289" s="463">
        <f t="shared" si="87"/>
        <v>1</v>
      </c>
      <c r="G289" s="463">
        <f t="shared" si="87"/>
        <v>1</v>
      </c>
      <c r="H289" s="463">
        <f t="shared" si="87"/>
        <v>1</v>
      </c>
      <c r="I289" s="463">
        <f t="shared" si="87"/>
        <v>1</v>
      </c>
      <c r="J289" s="463">
        <f t="shared" si="87"/>
        <v>9.0488431876606672</v>
      </c>
      <c r="K289" s="463">
        <f t="shared" si="87"/>
        <v>8.9658685685175747</v>
      </c>
      <c r="L289" s="463">
        <f t="shared" si="87"/>
        <v>0</v>
      </c>
      <c r="M289" s="447"/>
      <c r="O289" s="465"/>
      <c r="P289" s="465"/>
      <c r="R289" s="465"/>
      <c r="S289" s="465"/>
    </row>
    <row r="290" spans="1:21" s="293" customFormat="1" hidden="1">
      <c r="B290" s="451" t="s">
        <v>39</v>
      </c>
      <c r="C290" s="462">
        <f t="shared" si="79"/>
        <v>25.999999999999996</v>
      </c>
      <c r="D290" s="463">
        <f>ProductionFY3(9,D160,VLOOKUP(D160,ProductsRange,3,FALSE),D275)</f>
        <v>1.9511568123393317</v>
      </c>
      <c r="E290" s="463">
        <f t="shared" ref="E290:L290" si="88">ProductionFY3(9,E160,VLOOKUP(E160,ProductsRange,3,FALSE),E275)</f>
        <v>2.0341314314824244</v>
      </c>
      <c r="F290" s="463">
        <f t="shared" si="88"/>
        <v>1</v>
      </c>
      <c r="G290" s="463">
        <f t="shared" si="88"/>
        <v>1</v>
      </c>
      <c r="H290" s="463">
        <f t="shared" si="88"/>
        <v>1</v>
      </c>
      <c r="I290" s="463">
        <f t="shared" si="88"/>
        <v>1</v>
      </c>
      <c r="J290" s="463">
        <f t="shared" si="88"/>
        <v>9.0488431876606672</v>
      </c>
      <c r="K290" s="463">
        <f t="shared" si="88"/>
        <v>8.9658685685175747</v>
      </c>
      <c r="L290" s="463">
        <f t="shared" si="88"/>
        <v>0</v>
      </c>
      <c r="M290" s="447"/>
      <c r="O290" s="465"/>
      <c r="P290" s="465"/>
      <c r="R290" s="465"/>
      <c r="S290" s="465"/>
    </row>
    <row r="291" spans="1:21" s="293" customFormat="1" hidden="1">
      <c r="B291" s="451" t="s">
        <v>38</v>
      </c>
      <c r="C291" s="462">
        <f t="shared" si="79"/>
        <v>25</v>
      </c>
      <c r="D291" s="463">
        <f>ProductionFY3(10,D160,VLOOKUP(D160,ProductsRange,3,FALSE),D276)</f>
        <v>1.9043238270469183</v>
      </c>
      <c r="E291" s="463">
        <f t="shared" ref="E291:L291" si="89">ProductionFY3(10,E160,VLOOKUP(E160,ProductsRange,3,FALSE),E276)</f>
        <v>2.1823647294589179</v>
      </c>
      <c r="F291" s="463">
        <f t="shared" si="89"/>
        <v>1</v>
      </c>
      <c r="G291" s="463">
        <f t="shared" si="89"/>
        <v>1</v>
      </c>
      <c r="H291" s="463">
        <f t="shared" si="89"/>
        <v>1</v>
      </c>
      <c r="I291" s="463">
        <f t="shared" si="89"/>
        <v>1</v>
      </c>
      <c r="J291" s="463">
        <f t="shared" si="89"/>
        <v>8.0956761729530822</v>
      </c>
      <c r="K291" s="463">
        <f t="shared" si="89"/>
        <v>8.8176352705410839</v>
      </c>
      <c r="L291" s="463">
        <f t="shared" si="89"/>
        <v>0</v>
      </c>
      <c r="M291" s="447"/>
      <c r="O291" s="465"/>
      <c r="P291" s="465"/>
      <c r="R291" s="465"/>
      <c r="S291" s="465"/>
    </row>
    <row r="292" spans="1:21" s="293" customFormat="1" hidden="1">
      <c r="B292" s="451" t="s">
        <v>37</v>
      </c>
      <c r="C292" s="462">
        <f t="shared" si="79"/>
        <v>18</v>
      </c>
      <c r="D292" s="463">
        <f>ProductionFY3(11,D160,VLOOKUP(D160,ProductsRange,3,FALSE),D277)</f>
        <v>1.4389275074478647</v>
      </c>
      <c r="E292" s="463">
        <f t="shared" ref="E292:L292" si="90">ProductionFY3(11,E160,VLOOKUP(E160,ProductsRange,3,FALSE),E277)</f>
        <v>1.3887775551102204</v>
      </c>
      <c r="F292" s="463">
        <f t="shared" si="90"/>
        <v>1</v>
      </c>
      <c r="G292" s="463">
        <f t="shared" si="90"/>
        <v>1</v>
      </c>
      <c r="H292" s="463">
        <f t="shared" si="90"/>
        <v>1</v>
      </c>
      <c r="I292" s="463">
        <f t="shared" si="90"/>
        <v>1</v>
      </c>
      <c r="J292" s="463">
        <f t="shared" si="90"/>
        <v>5.5610724925521353</v>
      </c>
      <c r="K292" s="463">
        <f t="shared" si="90"/>
        <v>5.6112224448897789</v>
      </c>
      <c r="L292" s="463">
        <f t="shared" si="90"/>
        <v>0</v>
      </c>
      <c r="M292" s="447"/>
      <c r="O292" s="465"/>
      <c r="P292" s="465"/>
      <c r="R292" s="465"/>
      <c r="S292" s="465"/>
    </row>
    <row r="293" spans="1:21" s="293" customFormat="1" hidden="1">
      <c r="B293" s="451" t="s">
        <v>36</v>
      </c>
      <c r="C293" s="462">
        <f t="shared" si="79"/>
        <v>18</v>
      </c>
      <c r="D293" s="463">
        <f>ProductionFY3(12,D160,VLOOKUP(D160,ProductsRange,3,FALSE),D278)</f>
        <v>1.4389275074478647</v>
      </c>
      <c r="E293" s="463">
        <f t="shared" ref="E293:L293" si="91">ProductionFY3(12,E160,VLOOKUP(E160,ProductsRange,3,FALSE),E278)</f>
        <v>1.3887775551102204</v>
      </c>
      <c r="F293" s="463">
        <f t="shared" si="91"/>
        <v>1</v>
      </c>
      <c r="G293" s="463">
        <f t="shared" si="91"/>
        <v>1</v>
      </c>
      <c r="H293" s="463">
        <f t="shared" si="91"/>
        <v>1</v>
      </c>
      <c r="I293" s="463">
        <f t="shared" si="91"/>
        <v>1</v>
      </c>
      <c r="J293" s="463">
        <f t="shared" si="91"/>
        <v>5.5610724925521353</v>
      </c>
      <c r="K293" s="463">
        <f t="shared" si="91"/>
        <v>5.6112224448897789</v>
      </c>
      <c r="L293" s="463">
        <f t="shared" si="91"/>
        <v>0</v>
      </c>
      <c r="M293" s="447"/>
      <c r="O293" s="465"/>
      <c r="P293" s="465"/>
      <c r="R293" s="465"/>
      <c r="S293" s="465"/>
    </row>
    <row r="294" spans="1:21" s="474" customFormat="1" hidden="1">
      <c r="A294" s="466" t="s">
        <v>417</v>
      </c>
      <c r="B294" s="442"/>
      <c r="C294" s="448" t="s">
        <v>85</v>
      </c>
      <c r="D294" s="467">
        <f t="shared" ref="D294:I294" si="92">SUM(D267:D278)</f>
        <v>25434.151497216008</v>
      </c>
      <c r="E294" s="468">
        <f t="shared" si="92"/>
        <v>24328.318823424011</v>
      </c>
      <c r="F294" s="468">
        <f t="shared" si="92"/>
        <v>16587.490106880006</v>
      </c>
      <c r="G294" s="468">
        <f t="shared" si="92"/>
        <v>14375.824759296</v>
      </c>
      <c r="H294" s="468">
        <f t="shared" si="92"/>
        <v>14375.824759296</v>
      </c>
      <c r="I294" s="468">
        <f t="shared" si="92"/>
        <v>15481.657433088003</v>
      </c>
      <c r="J294" s="469">
        <f>J279</f>
        <v>98296.23767040002</v>
      </c>
      <c r="K294" s="469">
        <f>K279</f>
        <v>98296.23767040002</v>
      </c>
      <c r="L294" s="469">
        <f>L279</f>
        <v>0</v>
      </c>
      <c r="M294" s="293"/>
      <c r="N294" s="293"/>
      <c r="O294" s="465"/>
      <c r="P294" s="465"/>
      <c r="Q294" s="293"/>
      <c r="R294" s="465"/>
      <c r="S294" s="465"/>
      <c r="T294" s="442"/>
      <c r="U294" s="442"/>
    </row>
    <row r="295" spans="1:21" s="293" customFormat="1" hidden="1">
      <c r="A295" s="466" t="s">
        <v>418</v>
      </c>
      <c r="B295" s="442"/>
      <c r="C295" s="448" t="s">
        <v>85</v>
      </c>
      <c r="D295" s="467">
        <f t="shared" ref="D295:K295" si="93">SUM(D282:D293)*capacity</f>
        <v>24712.699200529489</v>
      </c>
      <c r="E295" s="467">
        <f t="shared" si="93"/>
        <v>24120.915250435031</v>
      </c>
      <c r="F295" s="467">
        <f t="shared" si="93"/>
        <v>12400</v>
      </c>
      <c r="G295" s="467">
        <f t="shared" si="93"/>
        <v>11160</v>
      </c>
      <c r="H295" s="467">
        <f t="shared" si="93"/>
        <v>11160</v>
      </c>
      <c r="I295" s="467">
        <f t="shared" si="93"/>
        <v>11160</v>
      </c>
      <c r="J295" s="467">
        <f t="shared" si="93"/>
        <v>95567.300799470511</v>
      </c>
      <c r="K295" s="467">
        <f t="shared" si="93"/>
        <v>97399.084749564965</v>
      </c>
      <c r="L295" s="467">
        <f>SUM(L282:L293)*capacity</f>
        <v>0</v>
      </c>
      <c r="M295" s="442"/>
      <c r="N295" s="442"/>
      <c r="O295" s="475"/>
      <c r="P295" s="475"/>
      <c r="Q295" s="442"/>
      <c r="R295" s="475"/>
      <c r="S295" s="475"/>
      <c r="T295" s="442"/>
      <c r="U295" s="442"/>
    </row>
    <row r="296" spans="1:21" s="293" customFormat="1" hidden="1">
      <c r="A296" s="466" t="s">
        <v>419</v>
      </c>
      <c r="B296" s="442"/>
      <c r="C296" s="448" t="s">
        <v>85</v>
      </c>
      <c r="D296" s="467">
        <f t="shared" ref="D296:K296" si="94">D294-D295</f>
        <v>721.45229668651882</v>
      </c>
      <c r="E296" s="468">
        <f t="shared" si="94"/>
        <v>207.40357298898016</v>
      </c>
      <c r="F296" s="468">
        <f t="shared" si="94"/>
        <v>4187.4901068800064</v>
      </c>
      <c r="G296" s="468">
        <f t="shared" si="94"/>
        <v>3215.8247592959997</v>
      </c>
      <c r="H296" s="468">
        <f t="shared" si="94"/>
        <v>3215.8247592959997</v>
      </c>
      <c r="I296" s="468">
        <f t="shared" si="94"/>
        <v>4321.657433088003</v>
      </c>
      <c r="J296" s="468">
        <f t="shared" si="94"/>
        <v>2728.9368709295086</v>
      </c>
      <c r="K296" s="468">
        <f t="shared" si="94"/>
        <v>897.15292083505483</v>
      </c>
      <c r="L296" s="468">
        <f>L294-L295</f>
        <v>0</v>
      </c>
      <c r="M296" s="442"/>
      <c r="N296" s="442"/>
      <c r="O296" s="475"/>
      <c r="P296" s="475"/>
      <c r="Q296" s="442"/>
      <c r="R296" s="475"/>
      <c r="S296" s="475"/>
      <c r="T296" s="442"/>
      <c r="U296" s="442"/>
    </row>
    <row r="297" spans="1:21" s="293" customFormat="1" hidden="1">
      <c r="A297" s="471"/>
      <c r="D297" s="471"/>
      <c r="O297" s="465"/>
      <c r="P297" s="465"/>
      <c r="R297" s="465"/>
      <c r="S297" s="465"/>
      <c r="T297" s="442"/>
      <c r="U297" s="442"/>
    </row>
    <row r="298" spans="1:21" s="293" customFormat="1" hidden="1">
      <c r="A298" s="471"/>
      <c r="D298" s="393" t="str">
        <f>B128</f>
        <v>BR01-01</v>
      </c>
      <c r="E298" s="395" t="str">
        <f>IF(B129="","",B129)</f>
        <v>BR01-02</v>
      </c>
      <c r="F298" s="395" t="str">
        <f>IF(B130="","",B130)</f>
        <v>BR01-03</v>
      </c>
      <c r="G298" s="395" t="str">
        <f>IF(B131="","",B131)</f>
        <v>BR01-04</v>
      </c>
      <c r="H298" s="357" t="str">
        <f>IF(B132="","",B132)</f>
        <v>BR01-05</v>
      </c>
      <c r="I298" s="357" t="str">
        <f>IF(B133="","",B133)</f>
        <v>BR01-06</v>
      </c>
      <c r="J298" s="357" t="str">
        <f>IF(B134="","",B134)</f>
        <v>BR01-07</v>
      </c>
      <c r="K298" s="357" t="str">
        <f>IF(B135="","",B135)</f>
        <v>BR01-08</v>
      </c>
      <c r="L298" s="357" t="str">
        <f>IF(B136="","",B136)</f>
        <v>BR01-09</v>
      </c>
      <c r="M298" s="457"/>
      <c r="N298" s="464"/>
      <c r="O298" s="476"/>
      <c r="P298" s="476"/>
      <c r="R298" s="477"/>
      <c r="S298" s="477"/>
    </row>
    <row r="299" spans="1:21" s="293" customFormat="1" hidden="1">
      <c r="A299" s="471"/>
      <c r="D299" s="393" t="str">
        <f>C128</f>
        <v>[retail]</v>
      </c>
      <c r="E299" s="393" t="str">
        <f>C129</f>
        <v>[retail]</v>
      </c>
      <c r="F299" s="393" t="str">
        <f>C130</f>
        <v>[retail]</v>
      </c>
      <c r="G299" s="393" t="str">
        <f>C131</f>
        <v>[retail]</v>
      </c>
      <c r="H299" s="393" t="str">
        <f>C132</f>
        <v>[retail]</v>
      </c>
      <c r="I299" s="393" t="str">
        <f>C133</f>
        <v>[retail]</v>
      </c>
      <c r="J299" s="393" t="str">
        <f>C134</f>
        <v>[wholesale]</v>
      </c>
      <c r="K299" s="393" t="str">
        <f>C135</f>
        <v>[wholesale]</v>
      </c>
      <c r="L299" s="393" t="str">
        <f>C136</f>
        <v>[retail]</v>
      </c>
      <c r="M299" s="457"/>
      <c r="N299" s="464"/>
      <c r="O299" s="476"/>
      <c r="P299" s="476"/>
      <c r="R299" s="477"/>
      <c r="S299" s="477"/>
    </row>
    <row r="300" spans="1:21" s="293" customFormat="1" hidden="1">
      <c r="A300" s="471"/>
      <c r="B300" s="707" t="s">
        <v>35</v>
      </c>
      <c r="C300" s="448" t="s">
        <v>47</v>
      </c>
      <c r="D300" s="455">
        <f>IF(VLOOKUP(D298,ProductsRange,3,FALSE)="Special Offer",SpecialOffer(D298,1,"FY-1"),MIN(D177,D192*capacity))</f>
        <v>1512.1227825393662</v>
      </c>
      <c r="E300" s="455">
        <f>IF(VLOOKUP(E298,ProductsRange,3,FALSE)="Special Offer",SpecialOffer(E298,1,"FY-1"),MIN(E177,E192*capacity))</f>
        <v>1507.7209371840004</v>
      </c>
      <c r="F300" s="455">
        <f>IF(VLOOKUP(F298,ProductsRange,3,FALSE)="Special Offer",SpecialOffer(F298,1,"FY-1"),MIN(F177,F192*capacity))</f>
        <v>0</v>
      </c>
      <c r="G300" s="455">
        <f>IF(VLOOKUP(G298,ProductsRange,3,FALSE)="Special Offer",SpecialOffer(G298,1,"FY-1"),MIN(G177,G192*capacity))</f>
        <v>0</v>
      </c>
      <c r="H300" s="455">
        <f>IF(VLOOKUP(H298,ProductsRange,3,FALSE)="Special Offer",SpecialOffer(H298,1,"FY-1"),MIN(H177,H192*capacity))</f>
        <v>0</v>
      </c>
      <c r="I300" s="455">
        <f>IF(VLOOKUP(I298,ProductsRange,3,FALSE)="Special Offer",SpecialOffer(I298,1,"FY-1"),MIN(I177,I192*capacity))</f>
        <v>0</v>
      </c>
      <c r="J300" s="455">
        <f>IF(VLOOKUP(J298,ProductsRange,3,FALSE)="Special Offer",SpecialOffer(J298,1,"FY-1"),MIN(J177,J192*capacity))</f>
        <v>3447.8772174606338</v>
      </c>
      <c r="K300" s="455">
        <f>IF(VLOOKUP(K298,ProductsRange,3,FALSE)="Special Offer",SpecialOffer(K298,1,"FY-1"),MIN(K177,K192*capacity))</f>
        <v>4509.9371892960007</v>
      </c>
      <c r="L300" s="455">
        <f>IF(VLOOKUP(L298,ProductsRange,3,FALSE)="Special Offer",SpecialOffer(L298,1,"FY-1"),MIN(L177,L192*capacity))</f>
        <v>182.34187351999935</v>
      </c>
      <c r="M300" s="457"/>
      <c r="N300" s="464"/>
      <c r="O300" s="476"/>
      <c r="P300" s="476"/>
      <c r="R300" s="477"/>
      <c r="S300" s="477"/>
    </row>
    <row r="301" spans="1:21" s="293" customFormat="1" hidden="1">
      <c r="A301" s="471"/>
      <c r="B301" s="707" t="s">
        <v>35</v>
      </c>
      <c r="C301" s="448" t="s">
        <v>46</v>
      </c>
      <c r="D301" s="455">
        <f>IF(VLOOKUP(D298,ProductsRange,3,FALSE)="Special Offer",SpecialOffer(D298,7,"FY-1"),MIN(D178,D193*capacity))</f>
        <v>1512.1227825393662</v>
      </c>
      <c r="E301" s="455">
        <f>IF(VLOOKUP(E298,ProductsRange,3,FALSE)="Special Offer",SpecialOffer(E298,7,"FY-1"),MIN(E178,E193*capacity))</f>
        <v>1507.7209371840004</v>
      </c>
      <c r="F301" s="455">
        <f>IF(VLOOKUP(F298,ProductsRange,3,FALSE)="Special Offer",SpecialOffer(F298,7,"FY-1"),MIN(F178,F193*capacity))</f>
        <v>0</v>
      </c>
      <c r="G301" s="455">
        <f>IF(VLOOKUP(G298,ProductsRange,3,FALSE)="Special Offer",SpecialOffer(G298,7,"FY-1"),MIN(G178,G193*capacity))</f>
        <v>0</v>
      </c>
      <c r="H301" s="455">
        <f>IF(VLOOKUP(H298,ProductsRange,3,FALSE)="Special Offer",SpecialOffer(H298,7,"FY-1"),MIN(H178,H193*capacity))</f>
        <v>0</v>
      </c>
      <c r="I301" s="455">
        <f>IF(VLOOKUP(I298,ProductsRange,3,FALSE)="Special Offer",SpecialOffer(I298,7,"FY-1"),MIN(I178,I193*capacity))</f>
        <v>0</v>
      </c>
      <c r="J301" s="455">
        <f>IF(VLOOKUP(J298,ProductsRange,3,FALSE)="Special Offer",SpecialOffer(J298,7,"FY-1"),MIN(J178,J193*capacity))</f>
        <v>3447.8772174606338</v>
      </c>
      <c r="K301" s="455">
        <f>IF(VLOOKUP(K298,ProductsRange,3,FALSE)="Special Offer",SpecialOffer(K298,7,"FY-1"),MIN(K178,K193*capacity))</f>
        <v>4509.9371892960007</v>
      </c>
      <c r="L301" s="455">
        <f>IF(VLOOKUP(L298,ProductsRange,3,FALSE)="Special Offer",SpecialOffer(L298,7,"FY-1"),MIN(L178,L193*capacity))</f>
        <v>295.91051130879714</v>
      </c>
      <c r="M301" s="457"/>
      <c r="N301" s="464"/>
      <c r="O301" s="476"/>
      <c r="P301" s="476"/>
      <c r="R301" s="477"/>
      <c r="S301" s="477"/>
    </row>
    <row r="302" spans="1:21" s="293" customFormat="1" hidden="1">
      <c r="A302" s="471"/>
      <c r="B302" s="707" t="s">
        <v>35</v>
      </c>
      <c r="C302" s="451" t="s">
        <v>45</v>
      </c>
      <c r="D302" s="455">
        <f>IF(VLOOKUP(D298,ProductsRange,3,FALSE)="Special Offer",SpecialOffer(D298,3,"FY-1"),MIN(D179,D194*capacity))</f>
        <v>1618.2871392441605</v>
      </c>
      <c r="E302" s="455">
        <f>IF(VLOOKUP(E298,ProductsRange,3,FALSE)="Special Offer",SpecialOffer(E298,3,"FY-1"),MIN(E179,E194*capacity))</f>
        <v>1350.9174311926606</v>
      </c>
      <c r="F302" s="455">
        <f>IF(VLOOKUP(F298,ProductsRange,3,FALSE)="Special Offer",SpecialOffer(F298,3,"FY-1"),MIN(F179,F194*capacity))</f>
        <v>0</v>
      </c>
      <c r="G302" s="455">
        <f>IF(VLOOKUP(G298,ProductsRange,3,FALSE)="Special Offer",SpecialOffer(G298,3,"FY-1"),MIN(G179,G194*capacity))</f>
        <v>0</v>
      </c>
      <c r="H302" s="455">
        <f>IF(VLOOKUP(H298,ProductsRange,3,FALSE)="Special Offer",SpecialOffer(H298,3,"FY-1"),MIN(H179,H194*capacity))</f>
        <v>0</v>
      </c>
      <c r="I302" s="455">
        <f>IF(VLOOKUP(I298,ProductsRange,3,FALSE)="Special Offer",SpecialOffer(I298,3,"FY-1"),MIN(I179,I194*capacity))</f>
        <v>0</v>
      </c>
      <c r="J302" s="455">
        <f>IF(VLOOKUP(J298,ProductsRange,3,FALSE)="Special Offer",SpecialOffer(J298,3,"FY-1"),MIN(J179,J194*capacity))</f>
        <v>4427.9383313088001</v>
      </c>
      <c r="K302" s="455">
        <f>IF(VLOOKUP(K298,ProductsRange,3,FALSE)="Special Offer",SpecialOffer(K298,3,"FY-1"),MIN(K179,K194*capacity))</f>
        <v>4849.0825688073392</v>
      </c>
      <c r="L302" s="455">
        <f>IF(VLOOKUP(L298,ProductsRange,3,FALSE)="Special Offer",SpecialOffer(L298,3,"FY-1"),MIN(L179,L194*capacity))</f>
        <v>153.77452944704055</v>
      </c>
      <c r="M302" s="457"/>
      <c r="N302" s="464"/>
      <c r="O302" s="476"/>
      <c r="P302" s="476"/>
      <c r="R302" s="477"/>
      <c r="S302" s="477"/>
    </row>
    <row r="303" spans="1:21" s="293" customFormat="1" hidden="1">
      <c r="A303" s="471"/>
      <c r="B303" s="707" t="s">
        <v>35</v>
      </c>
      <c r="C303" s="451" t="s">
        <v>44</v>
      </c>
      <c r="D303" s="455">
        <f>IF(VLOOKUP(D298,ProductsRange,3,FALSE)="Special Offer",SpecialOffer(D298,4,"FY-1"),MIN(D180,D195*capacity))</f>
        <v>1478.9301310043668</v>
      </c>
      <c r="E303" s="455">
        <f>IF(VLOOKUP(E298,ProductsRange,3,FALSE)="Special Offer",SpecialOffer(E298,4,"FY-1"),MIN(E180,E195*capacity))</f>
        <v>1621.1009174311928</v>
      </c>
      <c r="F303" s="455">
        <f>IF(VLOOKUP(F298,ProductsRange,3,FALSE)="Special Offer",SpecialOffer(F298,4,"FY-1"),MIN(F180,F195*capacity))</f>
        <v>0</v>
      </c>
      <c r="G303" s="455">
        <f>IF(VLOOKUP(G298,ProductsRange,3,FALSE)="Special Offer",SpecialOffer(G298,4,"FY-1"),MIN(G180,G195*capacity))</f>
        <v>0</v>
      </c>
      <c r="H303" s="455">
        <f>IF(VLOOKUP(H298,ProductsRange,3,FALSE)="Special Offer",SpecialOffer(H298,4,"FY-1"),MIN(H180,H195*capacity))</f>
        <v>0</v>
      </c>
      <c r="I303" s="455">
        <f>IF(VLOOKUP(I298,ProductsRange,3,FALSE)="Special Offer",SpecialOffer(I298,4,"FY-1"),MIN(I180,I195*capacity))</f>
        <v>0</v>
      </c>
      <c r="J303" s="455">
        <f>IF(VLOOKUP(J298,ProductsRange,3,FALSE)="Special Offer",SpecialOffer(J298,4,"FY-1"),MIN(J180,J195*capacity))</f>
        <v>4721.0698689956334</v>
      </c>
      <c r="K303" s="455">
        <f>IF(VLOOKUP(K298,ProductsRange,3,FALSE)="Special Offer",SpecialOffer(K298,4,"FY-1"),MIN(K180,K195*capacity))</f>
        <v>5818.899082568807</v>
      </c>
      <c r="L303" s="455">
        <f>IF(VLOOKUP(L298,ProductsRange,3,FALSE)="Special Offer",SpecialOffer(L298,4,"FY-1"),MIN(L180,L195*capacity))</f>
        <v>0</v>
      </c>
      <c r="M303" s="457"/>
      <c r="N303" s="464"/>
      <c r="O303" s="476"/>
      <c r="P303" s="476"/>
      <c r="R303" s="477"/>
      <c r="S303" s="477"/>
    </row>
    <row r="304" spans="1:21" s="293" customFormat="1" hidden="1">
      <c r="A304" s="471"/>
      <c r="B304" s="707" t="s">
        <v>35</v>
      </c>
      <c r="C304" s="451" t="s">
        <v>43</v>
      </c>
      <c r="D304" s="455">
        <f>IF(VLOOKUP(D298,ProductsRange,3,FALSE)="Special Offer",SpecialOffer(D298,5,"FY-1"),MIN(D181,D196*capacity))</f>
        <v>1774.7161572052403</v>
      </c>
      <c r="E304" s="455">
        <f>IF(VLOOKUP(E298,ProductsRange,3,FALSE)="Special Offer",SpecialOffer(E298,5,"FY-1"),MIN(E181,E196*capacity))</f>
        <v>1891.284403669725</v>
      </c>
      <c r="F304" s="455">
        <f>IF(VLOOKUP(F298,ProductsRange,3,FALSE)="Special Offer",SpecialOffer(F298,5,"FY-1"),MIN(F181,F196*capacity))</f>
        <v>1125.7649664307205</v>
      </c>
      <c r="G304" s="455">
        <f>IF(VLOOKUP(G298,ProductsRange,3,FALSE)="Special Offer",SpecialOffer(G298,5,"FY-1"),MIN(G181,G196*capacity))</f>
        <v>0</v>
      </c>
      <c r="H304" s="455">
        <f>IF(VLOOKUP(H298,ProductsRange,3,FALSE)="Special Offer",SpecialOffer(H298,5,"FY-1"),MIN(H181,H196*capacity))</f>
        <v>0</v>
      </c>
      <c r="I304" s="455">
        <f>IF(VLOOKUP(I298,ProductsRange,3,FALSE)="Special Offer",SpecialOffer(I298,5,"FY-1"),MIN(I181,I196*capacity))</f>
        <v>1125.7649664307205</v>
      </c>
      <c r="J304" s="455">
        <f>IF(VLOOKUP(J298,ProductsRange,3,FALSE)="Special Offer",SpecialOffer(J298,5,"FY-1"),MIN(J181,J196*capacity))</f>
        <v>5665.2838427947599</v>
      </c>
      <c r="K304" s="455">
        <f>IF(VLOOKUP(K298,ProductsRange,3,FALSE)="Special Offer",SpecialOffer(K298,5,"FY-1"),MIN(K181,K196*capacity))</f>
        <v>6788.7155963302748</v>
      </c>
      <c r="L304" s="455">
        <f>IF(VLOOKUP(L298,ProductsRange,3,FALSE)="Special Offer",SpecialOffer(L298,5,"FY-1"),MIN(L181,L196*capacity))</f>
        <v>228.47006713855808</v>
      </c>
      <c r="M304" s="457"/>
      <c r="N304" s="464"/>
      <c r="O304" s="476"/>
      <c r="P304" s="476"/>
      <c r="R304" s="477"/>
      <c r="S304" s="477"/>
    </row>
    <row r="305" spans="1:19" s="293" customFormat="1" hidden="1">
      <c r="A305" s="471"/>
      <c r="B305" s="707" t="s">
        <v>35</v>
      </c>
      <c r="C305" s="451" t="s">
        <v>42</v>
      </c>
      <c r="D305" s="455">
        <f>IF(VLOOKUP(D298,ProductsRange,3,FALSE)="Special Offer",SpecialOffer(D298,6,"FY-1"),MIN(D182,D197*capacity))</f>
        <v>2311.8387703488006</v>
      </c>
      <c r="E305" s="455">
        <f>IF(VLOOKUP(E298,ProductsRange,3,FALSE)="Special Offer",SpecialOffer(E298,6,"FY-1"),MIN(E182,E197*capacity))</f>
        <v>2431.6513761467895</v>
      </c>
      <c r="F305" s="455">
        <f>IF(VLOOKUP(F298,ProductsRange,3,FALSE)="Special Offer",SpecialOffer(F298,6,"FY-1"),MIN(F182,F197*capacity))</f>
        <v>1240</v>
      </c>
      <c r="G305" s="455">
        <f>IF(VLOOKUP(G298,ProductsRange,3,FALSE)="Special Offer",SpecialOffer(G298,6,"FY-1"),MIN(G182,G197*capacity))</f>
        <v>1206.1767497472003</v>
      </c>
      <c r="H305" s="455">
        <f>IF(VLOOKUP(H298,ProductsRange,3,FALSE)="Special Offer",SpecialOffer(H298,6,"FY-1"),MIN(H182,H197*capacity))</f>
        <v>1206.1767497472003</v>
      </c>
      <c r="I305" s="455">
        <f>IF(VLOOKUP(I298,ProductsRange,3,FALSE)="Special Offer",SpecialOffer(I298,6,"FY-1"),MIN(I182,I197*capacity))</f>
        <v>1240</v>
      </c>
      <c r="J305" s="455">
        <f>IF(VLOOKUP(J298,ProductsRange,3,FALSE)="Special Offer",SpecialOffer(J298,6,"FY-1"),MIN(J182,J197*capacity))</f>
        <v>7379.8972188480011</v>
      </c>
      <c r="K305" s="455">
        <f>IF(VLOOKUP(K298,ProductsRange,3,FALSE)="Special Offer",SpecialOffer(K298,6,"FY-1"),MIN(K182,K197*capacity))</f>
        <v>8728.3486238532132</v>
      </c>
      <c r="L305" s="455">
        <f>IF(VLOOKUP(L298,ProductsRange,3,FALSE)="Special Offer",SpecialOffer(L298,6,"FY-1"),MIN(L182,L197*capacity))</f>
        <v>295.91051130879714</v>
      </c>
      <c r="M305" s="457"/>
      <c r="N305" s="464"/>
      <c r="O305" s="476"/>
      <c r="P305" s="476"/>
      <c r="R305" s="477"/>
      <c r="S305" s="477"/>
    </row>
    <row r="306" spans="1:19" s="293" customFormat="1" hidden="1">
      <c r="A306" s="471"/>
      <c r="B306" s="707" t="s">
        <v>35</v>
      </c>
      <c r="C306" s="451" t="s">
        <v>41</v>
      </c>
      <c r="D306" s="455">
        <f>IF(VLOOKUP(D298,ProductsRange,3,FALSE)="Special Offer",SpecialOffer(D298,7,"FY-1"),MIN(D183,D198*capacity))</f>
        <v>2311.8387703488006</v>
      </c>
      <c r="E306" s="455">
        <f>IF(VLOOKUP(E298,ProductsRange,3,FALSE)="Special Offer",SpecialOffer(E298,7,"FY-1"),MIN(E183,E198*capacity))</f>
        <v>2431.6513761467895</v>
      </c>
      <c r="F306" s="455">
        <f>IF(VLOOKUP(F298,ProductsRange,3,FALSE)="Special Offer",SpecialOffer(F298,7,"FY-1"),MIN(F183,F198*capacity))</f>
        <v>1240</v>
      </c>
      <c r="G306" s="455">
        <f>IF(VLOOKUP(G298,ProductsRange,3,FALSE)="Special Offer",SpecialOffer(G298,7,"FY-1"),MIN(G183,G198*capacity))</f>
        <v>1206.1767497472003</v>
      </c>
      <c r="H306" s="455">
        <f>IF(VLOOKUP(H298,ProductsRange,3,FALSE)="Special Offer",SpecialOffer(H298,7,"FY-1"),MIN(H183,H198*capacity))</f>
        <v>1206.1767497472003</v>
      </c>
      <c r="I306" s="455">
        <f>IF(VLOOKUP(I298,ProductsRange,3,FALSE)="Special Offer",SpecialOffer(I298,7,"FY-1"),MIN(I183,I198*capacity))</f>
        <v>1240</v>
      </c>
      <c r="J306" s="455">
        <f>IF(VLOOKUP(J298,ProductsRange,3,FALSE)="Special Offer",SpecialOffer(J298,7,"FY-1"),MIN(J183,J198*capacity))</f>
        <v>7379.8972188480011</v>
      </c>
      <c r="K306" s="455">
        <f>IF(VLOOKUP(K298,ProductsRange,3,FALSE)="Special Offer",SpecialOffer(K298,7,"FY-1"),MIN(K183,K198*capacity))</f>
        <v>8728.3486238532132</v>
      </c>
      <c r="L306" s="455">
        <f>IF(VLOOKUP(L298,ProductsRange,3,FALSE)="Special Offer",SpecialOffer(L298,7,"FY-1"),MIN(L183,L198*capacity))</f>
        <v>295.91051130879714</v>
      </c>
      <c r="M306" s="457"/>
      <c r="N306" s="464"/>
      <c r="O306" s="476"/>
      <c r="P306" s="476"/>
      <c r="R306" s="477"/>
      <c r="S306" s="477"/>
    </row>
    <row r="307" spans="1:19" s="293" customFormat="1" hidden="1">
      <c r="A307" s="471"/>
      <c r="B307" s="707" t="s">
        <v>35</v>
      </c>
      <c r="C307" s="451" t="s">
        <v>40</v>
      </c>
      <c r="D307" s="455">
        <f>IF(VLOOKUP(D298,ProductsRange,3,FALSE)="Special Offer",SpecialOffer(D298,8,"FY-1"),MIN(D184,D199*capacity))</f>
        <v>2310.2415916627197</v>
      </c>
      <c r="E307" s="455">
        <f>IF(VLOOKUP(E298,ProductsRange,3,FALSE)="Special Offer",SpecialOffer(E298,8,"FY-1"),MIN(E184,E199*capacity))</f>
        <v>2764.1550515040008</v>
      </c>
      <c r="F307" s="455">
        <f>IF(VLOOKUP(F298,ProductsRange,3,FALSE)="Special Offer",SpecialOffer(F298,8,"FY-1"),MIN(F184,F199*capacity))</f>
        <v>1240</v>
      </c>
      <c r="G307" s="455">
        <f>IF(VLOOKUP(G298,ProductsRange,3,FALSE)="Special Offer",SpecialOffer(G298,8,"FY-1"),MIN(G184,G199*capacity))</f>
        <v>1240</v>
      </c>
      <c r="H307" s="455">
        <f>IF(VLOOKUP(H298,ProductsRange,3,FALSE)="Special Offer",SpecialOffer(H298,8,"FY-1"),MIN(H184,H199*capacity))</f>
        <v>1240</v>
      </c>
      <c r="I307" s="455">
        <f>IF(VLOOKUP(I298,ProductsRange,3,FALSE)="Special Offer",SpecialOffer(I298,8,"FY-1"),MIN(I184,I199*capacity))</f>
        <v>1240</v>
      </c>
      <c r="J307" s="455">
        <f>IF(VLOOKUP(J298,ProductsRange,3,FALSE)="Special Offer",SpecialOffer(J298,8,"FY-1"),MIN(J184,J199*capacity))</f>
        <v>8849.7584083372822</v>
      </c>
      <c r="K307" s="455">
        <f>IF(VLOOKUP(K298,ProductsRange,3,FALSE)="Special Offer",SpecialOffer(K298,8,"FY-1"),MIN(K184,K199*capacity))</f>
        <v>10823.849254310402</v>
      </c>
      <c r="L307" s="455">
        <f>IF(VLOOKUP(L298,ProductsRange,3,FALSE)="Special Offer",SpecialOffer(L298,8,"FY-1"),MIN(L184,L199*capacity))</f>
        <v>51.995694185592583</v>
      </c>
      <c r="M307" s="457"/>
      <c r="N307" s="464"/>
      <c r="O307" s="476"/>
      <c r="P307" s="476"/>
      <c r="R307" s="477"/>
      <c r="S307" s="477"/>
    </row>
    <row r="308" spans="1:19" s="293" customFormat="1" hidden="1">
      <c r="A308" s="443"/>
      <c r="B308" s="707" t="s">
        <v>35</v>
      </c>
      <c r="C308" s="451" t="s">
        <v>39</v>
      </c>
      <c r="D308" s="455">
        <f>IF(VLOOKUP(D298,ProductsRange,3,FALSE)="Special Offer",SpecialOffer(D298,9,"FY-1"),MIN(D185,D200*capacity))</f>
        <v>2310.2415916627197</v>
      </c>
      <c r="E308" s="455">
        <f>IF(VLOOKUP(E298,ProductsRange,3,FALSE)="Special Offer",SpecialOffer(E298,9,"FY-1"),MIN(E185,E200*capacity))</f>
        <v>2764.1550515040008</v>
      </c>
      <c r="F308" s="455">
        <f>IF(VLOOKUP(F298,ProductsRange,3,FALSE)="Special Offer",SpecialOffer(F298,9,"FY-1"),MIN(F185,F200*capacity))</f>
        <v>1240</v>
      </c>
      <c r="G308" s="455">
        <f>IF(VLOOKUP(G298,ProductsRange,3,FALSE)="Special Offer",SpecialOffer(G298,9,"FY-1"),MIN(G185,G200*capacity))</f>
        <v>1240</v>
      </c>
      <c r="H308" s="455">
        <f>IF(VLOOKUP(H298,ProductsRange,3,FALSE)="Special Offer",SpecialOffer(H298,9,"FY-1"),MIN(H185,H200*capacity))</f>
        <v>1240</v>
      </c>
      <c r="I308" s="455">
        <f>IF(VLOOKUP(I298,ProductsRange,3,FALSE)="Special Offer",SpecialOffer(I298,9,"FY-1"),MIN(I185,I200*capacity))</f>
        <v>1240</v>
      </c>
      <c r="J308" s="455">
        <f>IF(VLOOKUP(J298,ProductsRange,3,FALSE)="Special Offer",SpecialOffer(J298,9,"FY-1"),MIN(J185,J200*capacity))</f>
        <v>8849.7584083372822</v>
      </c>
      <c r="K308" s="455">
        <f>IF(VLOOKUP(K298,ProductsRange,3,FALSE)="Special Offer",SpecialOffer(K298,9,"FY-1"),MIN(K185,K200*capacity))</f>
        <v>10823.849254310402</v>
      </c>
      <c r="L308" s="455">
        <f>IF(VLOOKUP(L298,ProductsRange,3,FALSE)="Special Offer",SpecialOffer(L298,9,"FY-1"),MIN(L185,L200*capacity))</f>
        <v>51.995694185592583</v>
      </c>
      <c r="M308" s="457"/>
      <c r="N308" s="464"/>
      <c r="O308" s="476"/>
      <c r="P308" s="476"/>
      <c r="R308" s="477"/>
      <c r="S308" s="477"/>
    </row>
    <row r="309" spans="1:19" s="293" customFormat="1" hidden="1">
      <c r="A309" s="443"/>
      <c r="B309" s="707" t="s">
        <v>35</v>
      </c>
      <c r="C309" s="451" t="s">
        <v>38</v>
      </c>
      <c r="D309" s="455">
        <f>IF(VLOOKUP(D298,ProductsRange,3,FALSE)="Special Offer",SpecialOffer(D298,10,"FY-1"),MIN(D186,D201*capacity))</f>
        <v>2198.8536647222927</v>
      </c>
      <c r="E309" s="455">
        <f>IF(VLOOKUP(E298,ProductsRange,3,FALSE)="Special Offer",SpecialOffer(E298,10,"FY-1"),MIN(E186,E201*capacity))</f>
        <v>2701.8348623853217</v>
      </c>
      <c r="F309" s="455">
        <f>IF(VLOOKUP(F298,ProductsRange,3,FALSE)="Special Offer",SpecialOffer(F298,10,"FY-1"),MIN(F186,F201*capacity))</f>
        <v>1240</v>
      </c>
      <c r="G309" s="455">
        <f>IF(VLOOKUP(G298,ProductsRange,3,FALSE)="Special Offer",SpecialOffer(G298,10,"FY-1"),MIN(G186,G201*capacity))</f>
        <v>1240</v>
      </c>
      <c r="H309" s="455">
        <f>IF(VLOOKUP(H298,ProductsRange,3,FALSE)="Special Offer",SpecialOffer(H298,10,"FY-1"),MIN(H186,H201*capacity))</f>
        <v>1240</v>
      </c>
      <c r="I309" s="455">
        <f>IF(VLOOKUP(I298,ProductsRange,3,FALSE)="Special Offer",SpecialOffer(I298,10,"FY-1"),MIN(I186,I201*capacity))</f>
        <v>1240</v>
      </c>
      <c r="J309" s="455">
        <f>IF(VLOOKUP(J298,ProductsRange,3,FALSE)="Special Offer",SpecialOffer(J298,10,"FY-1"),MIN(J186,J201*capacity))</f>
        <v>7721.1463352777064</v>
      </c>
      <c r="K309" s="455">
        <f>IF(VLOOKUP(K298,ProductsRange,3,FALSE)="Special Offer",SpecialOffer(K298,10,"FY-1"),MIN(K186,K201*capacity))</f>
        <v>9698.1651376146783</v>
      </c>
      <c r="L309" s="455">
        <f>IF(VLOOKUP(L298,ProductsRange,3,FALSE)="Special Offer",SpecialOffer(L298,10,"FY-1"),MIN(L186,L201*capacity))</f>
        <v>0</v>
      </c>
      <c r="M309" s="457"/>
      <c r="O309" s="465"/>
      <c r="P309" s="465"/>
      <c r="R309" s="465"/>
      <c r="S309" s="465"/>
    </row>
    <row r="310" spans="1:19" s="293" customFormat="1" hidden="1">
      <c r="A310" s="466"/>
      <c r="B310" s="707" t="s">
        <v>35</v>
      </c>
      <c r="C310" s="451" t="s">
        <v>37</v>
      </c>
      <c r="D310" s="455">
        <f>IF(VLOOKUP(D298,ProductsRange,3,FALSE)="Special Offer",SpecialOffer(D298,11,"FY-1"),MIN(D187,D202*capacity))</f>
        <v>1478.9301310043668</v>
      </c>
      <c r="E310" s="455">
        <f>IF(VLOOKUP(E298,ProductsRange,3,FALSE)="Special Offer",SpecialOffer(E298,11,"FY-1"),MIN(E187,E202*capacity))</f>
        <v>1621.1009174311928</v>
      </c>
      <c r="F310" s="455">
        <f>IF(VLOOKUP(F298,ProductsRange,3,FALSE)="Special Offer",SpecialOffer(F298,11,"FY-1"),MIN(F187,F202*capacity))</f>
        <v>0</v>
      </c>
      <c r="G310" s="455">
        <f>IF(VLOOKUP(G298,ProductsRange,3,FALSE)="Special Offer",SpecialOffer(G298,11,"FY-1"),MIN(G187,G202*capacity))</f>
        <v>0</v>
      </c>
      <c r="H310" s="455">
        <f>IF(VLOOKUP(H298,ProductsRange,3,FALSE)="Special Offer",SpecialOffer(H298,11,"FY-1"),MIN(H187,H202*capacity))</f>
        <v>0</v>
      </c>
      <c r="I310" s="455">
        <f>IF(VLOOKUP(I298,ProductsRange,3,FALSE)="Special Offer",SpecialOffer(I298,11,"FY-1"),MIN(I187,I202*capacity))</f>
        <v>0</v>
      </c>
      <c r="J310" s="455">
        <f>IF(VLOOKUP(J298,ProductsRange,3,FALSE)="Special Offer",SpecialOffer(J298,11,"FY-1"),MIN(J187,J202*capacity))</f>
        <v>4721.0698689956334</v>
      </c>
      <c r="K310" s="455">
        <f>IF(VLOOKUP(K298,ProductsRange,3,FALSE)="Special Offer",SpecialOffer(K298,11,"FY-1"),MIN(K187,K202*capacity))</f>
        <v>5818.899082568807</v>
      </c>
      <c r="L310" s="455">
        <f>IF(VLOOKUP(L298,ProductsRange,3,FALSE)="Special Offer",SpecialOffer(L298,11,"FY-1"),MIN(L187,L202*capacity))</f>
        <v>0</v>
      </c>
      <c r="M310" s="457"/>
      <c r="O310" s="465"/>
      <c r="P310" s="465"/>
      <c r="R310" s="465"/>
      <c r="S310" s="465"/>
    </row>
    <row r="311" spans="1:19" s="293" customFormat="1" hidden="1">
      <c r="A311" s="466"/>
      <c r="B311" s="707" t="s">
        <v>35</v>
      </c>
      <c r="C311" s="451" t="s">
        <v>36</v>
      </c>
      <c r="D311" s="455">
        <f>IF(VLOOKUP(D298,ProductsRange,3,FALSE)="Special Offer",SpecialOffer(D298,12,"FY-1"),MIN(D188,D203*capacity))</f>
        <v>1478.9301310043668</v>
      </c>
      <c r="E311" s="455">
        <f>IF(VLOOKUP(E298,ProductsRange,3,FALSE)="Special Offer",SpecialOffer(E298,12,"FY-1"),MIN(E188,E203*capacity))</f>
        <v>1520.8410180745113</v>
      </c>
      <c r="F311" s="455">
        <f>IF(VLOOKUP(F298,ProductsRange,3,FALSE)="Special Offer",SpecialOffer(F298,12,"FY-1"),MIN(F188,F203*capacity))</f>
        <v>0</v>
      </c>
      <c r="G311" s="455">
        <f>IF(VLOOKUP(G298,ProductsRange,3,FALSE)="Special Offer",SpecialOffer(G298,12,"FY-1"),MIN(G188,G203*capacity))</f>
        <v>0</v>
      </c>
      <c r="H311" s="455">
        <f>IF(VLOOKUP(H298,ProductsRange,3,FALSE)="Special Offer",SpecialOffer(H298,12,"FY-1"),MIN(H188,H203*capacity))</f>
        <v>0</v>
      </c>
      <c r="I311" s="455">
        <f>IF(VLOOKUP(I298,ProductsRange,3,FALSE)="Special Offer",SpecialOffer(I298,12,"FY-1"),MIN(I188,I203*capacity))</f>
        <v>0</v>
      </c>
      <c r="J311" s="455">
        <f>IF(VLOOKUP(J298,ProductsRange,3,FALSE)="Special Offer",SpecialOffer(J298,12,"FY-1"),MIN(J188,J203*capacity))</f>
        <v>4721.0698689956334</v>
      </c>
      <c r="K311" s="455">
        <f>IF(VLOOKUP(K298,ProductsRange,3,FALSE)="Special Offer",SpecialOffer(K298,12,"FY-1"),MIN(K188,K203*capacity))</f>
        <v>4679.1589819254887</v>
      </c>
      <c r="L311" s="455">
        <f>IF(VLOOKUP(L298,ProductsRange,3,FALSE)="Special Offer",SpecialOffer(L298,12,"FY-1"),MIN(L188,L203*capacity))</f>
        <v>0</v>
      </c>
      <c r="M311" s="455"/>
      <c r="O311" s="465"/>
      <c r="P311" s="465"/>
      <c r="R311" s="465"/>
      <c r="S311" s="465"/>
    </row>
    <row r="312" spans="1:19" s="293" customFormat="1" hidden="1">
      <c r="A312" s="466"/>
      <c r="B312" s="707" t="s">
        <v>34</v>
      </c>
      <c r="C312" s="448" t="s">
        <v>47</v>
      </c>
      <c r="D312" s="455">
        <f>IF(VLOOKUP(D298,ProductsRange,3,FALSE)="Special Offer",SpecialOffer(D298,1,"FY-2"),MIN(D222,D237*capacity))</f>
        <v>1797.5924463974407</v>
      </c>
      <c r="E312" s="455">
        <f>IF(VLOOKUP(E298,ProductsRange,3,FALSE)="Special Offer",SpecialOffer(E298,1,"FY-2"),MIN(E222,E237*capacity))</f>
        <v>1476.5937952550405</v>
      </c>
      <c r="F312" s="455">
        <f>IF(VLOOKUP(F298,ProductsRange,3,FALSE)="Special Offer",SpecialOffer(F298,1,"FY-2"),MIN(F222,F237*capacity))</f>
        <v>0</v>
      </c>
      <c r="G312" s="455">
        <f>IF(VLOOKUP(G298,ProductsRange,3,FALSE)="Special Offer",SpecialOffer(G298,1,"FY-2"),MIN(G222,G237*capacity))</f>
        <v>0</v>
      </c>
      <c r="H312" s="455">
        <f>IF(VLOOKUP(H298,ProductsRange,3,FALSE)="Special Offer",SpecialOffer(H298,1,"FY-2"),MIN(H222,H237*capacity))</f>
        <v>0</v>
      </c>
      <c r="I312" s="455">
        <f>IF(VLOOKUP(I298,ProductsRange,3,FALSE)="Special Offer",SpecialOffer(I298,1,"FY-2"),MIN(I222,I237*capacity))</f>
        <v>0</v>
      </c>
      <c r="J312" s="455">
        <f>IF(VLOOKUP(J298,ProductsRange,3,FALSE)="Special Offer",SpecialOffer(J298,1,"FY-2"),MIN(J222,J237*capacity))</f>
        <v>4189.877130700801</v>
      </c>
      <c r="K312" s="455">
        <f>IF(VLOOKUP(K298,ProductsRange,3,FALSE)="Special Offer",SpecialOffer(K298,1,"FY-2"),MIN(K222,K237*capacity))</f>
        <v>4539.0335582592015</v>
      </c>
      <c r="L312" s="455">
        <f>IF(VLOOKUP(L298,ProductsRange,3,FALSE)="Special Offer",SpecialOffer(L298,1,"FY-2"),MIN(L222,L237*capacity))</f>
        <v>396.90306938751746</v>
      </c>
      <c r="M312" s="455"/>
      <c r="O312" s="465"/>
      <c r="P312" s="465"/>
      <c r="R312" s="465"/>
      <c r="S312" s="465"/>
    </row>
    <row r="313" spans="1:19" s="293" customFormat="1" hidden="1">
      <c r="A313" s="471"/>
      <c r="B313" s="707" t="s">
        <v>34</v>
      </c>
      <c r="C313" s="448" t="s">
        <v>46</v>
      </c>
      <c r="D313" s="455">
        <f>IF(VLOOKUP(D298,ProductsRange,3,FALSE)="Special Offer",SpecialOffer(D298,2,"FY-2"),MIN(D223,D238*capacity))</f>
        <v>1797.5924463974407</v>
      </c>
      <c r="E313" s="455">
        <f>IF(VLOOKUP(E298,ProductsRange,3,FALSE)="Special Offer",SpecialOffer(E298,2,"FY-2"),MIN(E223,E238*capacity))</f>
        <v>1476.5937952550405</v>
      </c>
      <c r="F313" s="455">
        <f>IF(VLOOKUP(F298,ProductsRange,3,FALSE)="Special Offer",SpecialOffer(F298,2,"FY-2"),MIN(F223,F238*capacity))</f>
        <v>0</v>
      </c>
      <c r="G313" s="455">
        <f>IF(VLOOKUP(G298,ProductsRange,3,FALSE)="Special Offer",SpecialOffer(G298,2,"FY-2"),MIN(G223,G238*capacity))</f>
        <v>0</v>
      </c>
      <c r="H313" s="455">
        <f>IF(VLOOKUP(H298,ProductsRange,3,FALSE)="Special Offer",SpecialOffer(H298,2,"FY-2"),MIN(H223,H238*capacity))</f>
        <v>0</v>
      </c>
      <c r="I313" s="455">
        <f>IF(VLOOKUP(I298,ProductsRange,3,FALSE)="Special Offer",SpecialOffer(I298,2,"FY-2"),MIN(I223,I238*capacity))</f>
        <v>0</v>
      </c>
      <c r="J313" s="455">
        <f>IF(VLOOKUP(J298,ProductsRange,3,FALSE)="Special Offer",SpecialOffer(J298,2,"FY-2"),MIN(J223,J238*capacity))</f>
        <v>4189.877130700801</v>
      </c>
      <c r="K313" s="455">
        <f>IF(VLOOKUP(K298,ProductsRange,3,FALSE)="Special Offer",SpecialOffer(K298,2,"FY-2"),MIN(K223,K238*capacity))</f>
        <v>4539.0335582592015</v>
      </c>
      <c r="L313" s="455">
        <f>IF(VLOOKUP(L298,ProductsRange,3,FALSE)="Special Offer",SpecialOffer(L298,2,"FY-2"),MIN(L223,L238*capacity))</f>
        <v>396.90306938751746</v>
      </c>
      <c r="M313" s="457"/>
      <c r="N313" s="464"/>
      <c r="O313" s="476"/>
      <c r="P313" s="476"/>
      <c r="R313" s="477"/>
      <c r="S313" s="477"/>
    </row>
    <row r="314" spans="1:19" s="293" customFormat="1" hidden="1">
      <c r="A314" s="471"/>
      <c r="B314" s="707" t="s">
        <v>34</v>
      </c>
      <c r="C314" s="451" t="s">
        <v>45</v>
      </c>
      <c r="D314" s="455">
        <f>IF(VLOOKUP(D298,ProductsRange,3,FALSE)="Special Offer",SpecialOffer(D298,3,"FY-2"),MIN(D224,D239*capacity))</f>
        <v>1632.8712871287132</v>
      </c>
      <c r="E314" s="455">
        <f>IF(VLOOKUP(E298,ProductsRange,3,FALSE)="Special Offer",SpecialOffer(E298,3,"FY-2"),MIN(E224,E239*capacity))</f>
        <v>1322.3035627135189</v>
      </c>
      <c r="F314" s="455">
        <f>IF(VLOOKUP(F298,ProductsRange,3,FALSE)="Special Offer",SpecialOffer(F298,3,"FY-2"),MIN(F224,F239*capacity))</f>
        <v>0</v>
      </c>
      <c r="G314" s="455">
        <f>IF(VLOOKUP(G298,ProductsRange,3,FALSE)="Special Offer",SpecialOffer(G298,3,"FY-2"),MIN(G224,G239*capacity))</f>
        <v>0</v>
      </c>
      <c r="H314" s="455">
        <f>IF(VLOOKUP(H298,ProductsRange,3,FALSE)="Special Offer",SpecialOffer(H298,3,"FY-2"),MIN(H224,H239*capacity))</f>
        <v>0</v>
      </c>
      <c r="I314" s="455">
        <f>IF(VLOOKUP(I298,ProductsRange,3,FALSE)="Special Offer",SpecialOffer(I298,3,"FY-2"),MIN(I224,I239*capacity))</f>
        <v>0</v>
      </c>
      <c r="J314" s="455">
        <f>IF(VLOOKUP(J298,ProductsRange,3,FALSE)="Special Offer",SpecialOffer(J298,3,"FY-2"),MIN(J224,J239*capacity))</f>
        <v>4567.1287128712866</v>
      </c>
      <c r="K314" s="455">
        <f>IF(VLOOKUP(K298,ProductsRange,3,FALSE)="Special Offer",SpecialOffer(K298,3,"FY-2"),MIN(K224,K239*capacity))</f>
        <v>4877.6964372864813</v>
      </c>
      <c r="L314" s="455">
        <f>IF(VLOOKUP(L298,ProductsRange,3,FALSE)="Special Offer",SpecialOffer(L298,3,"FY-2"),MIN(L224,L239*capacity))</f>
        <v>0</v>
      </c>
      <c r="M314" s="457"/>
      <c r="N314" s="464"/>
      <c r="O314" s="476"/>
      <c r="P314" s="476"/>
      <c r="R314" s="477"/>
      <c r="S314" s="477"/>
    </row>
    <row r="315" spans="1:19" s="293" customFormat="1" hidden="1">
      <c r="A315" s="471"/>
      <c r="B315" s="707" t="s">
        <v>34</v>
      </c>
      <c r="C315" s="451" t="s">
        <v>44</v>
      </c>
      <c r="D315" s="455">
        <f>IF(VLOOKUP(D298,ProductsRange,3,FALSE)="Special Offer",SpecialOffer(D298,4,"FY-2"),MIN(D225,D240*capacity))</f>
        <v>1745.1851851851852</v>
      </c>
      <c r="E315" s="455">
        <f>IF(VLOOKUP(E298,ProductsRange,3,FALSE)="Special Offer",SpecialOffer(E298,4,"FY-2"),MIN(E225,E240*capacity))</f>
        <v>1586.7642752562226</v>
      </c>
      <c r="F315" s="455">
        <f>IF(VLOOKUP(F298,ProductsRange,3,FALSE)="Special Offer",SpecialOffer(F298,4,"FY-2"),MIN(F225,F240*capacity))</f>
        <v>1048.5955937318406</v>
      </c>
      <c r="G315" s="455">
        <f>IF(VLOOKUP(G298,ProductsRange,3,FALSE)="Special Offer",SpecialOffer(G298,4,"FY-2"),MIN(G225,G240*capacity))</f>
        <v>0</v>
      </c>
      <c r="H315" s="455">
        <f>IF(VLOOKUP(H298,ProductsRange,3,FALSE)="Special Offer",SpecialOffer(H298,4,"FY-2"),MIN(H225,H240*capacity))</f>
        <v>0</v>
      </c>
      <c r="I315" s="455">
        <f>IF(VLOOKUP(I298,ProductsRange,3,FALSE)="Special Offer",SpecialOffer(I298,4,"FY-2"),MIN(I225,I240*capacity))</f>
        <v>0</v>
      </c>
      <c r="J315" s="455">
        <f>IF(VLOOKUP(J298,ProductsRange,3,FALSE)="Special Offer",SpecialOffer(J298,4,"FY-2"),MIN(J225,J240*capacity))</f>
        <v>5694.8148148148148</v>
      </c>
      <c r="K315" s="455">
        <f>IF(VLOOKUP(K298,ProductsRange,3,FALSE)="Special Offer",SpecialOffer(K298,4,"FY-2"),MIN(K225,K240*capacity))</f>
        <v>5853.2357247437785</v>
      </c>
      <c r="L315" s="455">
        <f>IF(VLOOKUP(L298,ProductsRange,3,FALSE)="Special Offer",SpecialOffer(L298,4,"FY-2"),MIN(L225,L240*capacity))</f>
        <v>191.40440626815689</v>
      </c>
      <c r="M315" s="457"/>
      <c r="N315" s="464"/>
      <c r="O315" s="476"/>
      <c r="P315" s="476"/>
      <c r="R315" s="477"/>
      <c r="S315" s="477"/>
    </row>
    <row r="316" spans="1:19" s="293" customFormat="1" hidden="1">
      <c r="A316" s="471"/>
      <c r="B316" s="707" t="s">
        <v>34</v>
      </c>
      <c r="C316" s="451" t="s">
        <v>43</v>
      </c>
      <c r="D316" s="455">
        <f>IF(VLOOKUP(D298,ProductsRange,3,FALSE)="Special Offer",SpecialOffer(D298,5,"FY-2"),MIN(D226,D241*capacity))</f>
        <v>2036.0493827160499</v>
      </c>
      <c r="E316" s="455">
        <f>IF(VLOOKUP(E298,ProductsRange,3,FALSE)="Special Offer",SpecialOffer(E298,5,"FY-2"),MIN(E226,E241*capacity))</f>
        <v>1851.2249877989263</v>
      </c>
      <c r="F316" s="455">
        <f>IF(VLOOKUP(F298,ProductsRange,3,FALSE)="Special Offer",SpecialOffer(F298,5,"FY-2"),MIN(F226,F241*capacity))</f>
        <v>1198.3949642649607</v>
      </c>
      <c r="G316" s="455">
        <f>IF(VLOOKUP(G298,ProductsRange,3,FALSE)="Special Offer",SpecialOffer(G298,5,"FY-2"),MIN(G226,G241*capacity))</f>
        <v>1112.7953239603205</v>
      </c>
      <c r="H316" s="455">
        <f>IF(VLOOKUP(H298,ProductsRange,3,FALSE)="Special Offer",SpecialOffer(H298,5,"FY-2"),MIN(H226,H241*capacity))</f>
        <v>1112.7953239603205</v>
      </c>
      <c r="I316" s="455">
        <f>IF(VLOOKUP(I298,ProductsRange,3,FALSE)="Special Offer",SpecialOffer(I298,5,"FY-2"),MIN(I226,I241*capacity))</f>
        <v>1112.7953239603205</v>
      </c>
      <c r="J316" s="455">
        <f>IF(VLOOKUP(J298,ProductsRange,3,FALSE)="Special Offer",SpecialOffer(J298,5,"FY-2"),MIN(J226,J241*capacity))</f>
        <v>6643.9506172839501</v>
      </c>
      <c r="K316" s="455">
        <f>IF(VLOOKUP(K298,ProductsRange,3,FALSE)="Special Offer",SpecialOffer(K298,5,"FY-2"),MIN(K226,K241*capacity))</f>
        <v>6828.7750122010739</v>
      </c>
      <c r="L316" s="455">
        <f>IF(VLOOKUP(L298,ProductsRange,3,FALSE)="Special Offer",SpecialOffer(L298,5,"FY-2"),MIN(L226,L241*capacity))</f>
        <v>423.21906385407783</v>
      </c>
      <c r="M316" s="457"/>
      <c r="N316" s="464"/>
      <c r="O316" s="476"/>
      <c r="P316" s="476"/>
      <c r="R316" s="477"/>
      <c r="S316" s="477"/>
    </row>
    <row r="317" spans="1:19" s="293" customFormat="1" hidden="1">
      <c r="A317" s="471"/>
      <c r="B317" s="707" t="s">
        <v>34</v>
      </c>
      <c r="C317" s="451" t="s">
        <v>42</v>
      </c>
      <c r="D317" s="455">
        <f>IF(VLOOKUP(D298,ProductsRange,3,FALSE)="Special Offer",SpecialOffer(D298,6,"FY-2"),MIN(D227,D242*capacity))</f>
        <v>2567.9892091392012</v>
      </c>
      <c r="E317" s="455">
        <f>IF(VLOOKUP(E298,ProductsRange,3,FALSE)="Special Offer",SpecialOffer(E298,6,"FY-2"),MIN(E227,E242*capacity))</f>
        <v>2380.1464128843336</v>
      </c>
      <c r="F317" s="455">
        <f>IF(VLOOKUP(F298,ProductsRange,3,FALSE)="Special Offer",SpecialOffer(F298,6,"FY-2"),MIN(F227,F242*capacity))</f>
        <v>1240</v>
      </c>
      <c r="G317" s="455">
        <f>IF(VLOOKUP(G298,ProductsRange,3,FALSE)="Special Offer",SpecialOffer(G298,6,"FY-2"),MIN(G227,G242*capacity))</f>
        <v>1240</v>
      </c>
      <c r="H317" s="455">
        <f>IF(VLOOKUP(H298,ProductsRange,3,FALSE)="Special Offer",SpecialOffer(H298,6,"FY-2"),MIN(H227,H242*capacity))</f>
        <v>1240</v>
      </c>
      <c r="I317" s="455">
        <f>IF(VLOOKUP(I298,ProductsRange,3,FALSE)="Special Offer",SpecialOffer(I298,6,"FY-2"),MIN(I227,I242*capacity))</f>
        <v>1240</v>
      </c>
      <c r="J317" s="455">
        <f>IF(VLOOKUP(J298,ProductsRange,3,FALSE)="Special Offer",SpecialOffer(J298,6,"FY-2"),MIN(J227,J242*capacity))</f>
        <v>8379.754261401602</v>
      </c>
      <c r="K317" s="455">
        <f>IF(VLOOKUP(K298,ProductsRange,3,FALSE)="Special Offer",SpecialOffer(K298,6,"FY-2"),MIN(K227,K242*capacity))</f>
        <v>8779.8535871156655</v>
      </c>
      <c r="L317" s="455">
        <f>IF(VLOOKUP(L298,ProductsRange,3,FALSE)="Special Offer",SpecialOffer(L298,6,"FY-2"),MIN(L227,L242*capacity))</f>
        <v>212.25652945919865</v>
      </c>
      <c r="M317" s="457"/>
      <c r="N317" s="464"/>
      <c r="O317" s="476"/>
      <c r="P317" s="476"/>
      <c r="R317" s="477"/>
      <c r="S317" s="477"/>
    </row>
    <row r="318" spans="1:19" s="293" customFormat="1" hidden="1">
      <c r="A318" s="471"/>
      <c r="B318" s="707" t="s">
        <v>34</v>
      </c>
      <c r="C318" s="451" t="s">
        <v>41</v>
      </c>
      <c r="D318" s="455">
        <f>IF(VLOOKUP(D298,ProductsRange,3,FALSE)="Special Offer",SpecialOffer(D298,7,"FY-2"),MIN(D228,D243*capacity))</f>
        <v>2567.9892091392012</v>
      </c>
      <c r="E318" s="455">
        <f>IF(VLOOKUP(E298,ProductsRange,3,FALSE)="Special Offer",SpecialOffer(E298,7,"FY-2"),MIN(E228,E243*capacity))</f>
        <v>2380.1464128843336</v>
      </c>
      <c r="F318" s="455">
        <f>IF(VLOOKUP(F298,ProductsRange,3,FALSE)="Special Offer",SpecialOffer(F298,7,"FY-2"),MIN(F228,F243*capacity))</f>
        <v>1240</v>
      </c>
      <c r="G318" s="455">
        <f>IF(VLOOKUP(G298,ProductsRange,3,FALSE)="Special Offer",SpecialOffer(G298,7,"FY-2"),MIN(G228,G243*capacity))</f>
        <v>1240</v>
      </c>
      <c r="H318" s="455">
        <f>IF(VLOOKUP(H298,ProductsRange,3,FALSE)="Special Offer",SpecialOffer(H298,7,"FY-2"),MIN(H228,H243*capacity))</f>
        <v>1240</v>
      </c>
      <c r="I318" s="455">
        <f>IF(VLOOKUP(I298,ProductsRange,3,FALSE)="Special Offer",SpecialOffer(I298,7,"FY-2"),MIN(I228,I243*capacity))</f>
        <v>1240</v>
      </c>
      <c r="J318" s="455">
        <f>IF(VLOOKUP(J298,ProductsRange,3,FALSE)="Special Offer",SpecialOffer(J298,7,"FY-2"),MIN(J228,J243*capacity))</f>
        <v>8379.754261401602</v>
      </c>
      <c r="K318" s="455">
        <f>IF(VLOOKUP(K298,ProductsRange,3,FALSE)="Special Offer",SpecialOffer(K298,7,"FY-2"),MIN(K228,K243*capacity))</f>
        <v>8779.8535871156655</v>
      </c>
      <c r="L318" s="455">
        <f>IF(VLOOKUP(L298,ProductsRange,3,FALSE)="Special Offer",SpecialOffer(L298,7,"FY-2"),MIN(L228,L243*capacity))</f>
        <v>212.25652945919865</v>
      </c>
      <c r="M318" s="457"/>
      <c r="N318" s="464"/>
      <c r="O318" s="476"/>
      <c r="P318" s="476"/>
      <c r="R318" s="477"/>
      <c r="S318" s="477"/>
    </row>
    <row r="319" spans="1:19" s="293" customFormat="1" hidden="1">
      <c r="A319" s="471"/>
      <c r="B319" s="707" t="s">
        <v>34</v>
      </c>
      <c r="C319" s="451" t="s">
        <v>40</v>
      </c>
      <c r="D319" s="455">
        <f>IF(VLOOKUP(D298,ProductsRange,3,FALSE)="Special Offer",SpecialOffer(D298,8,"FY-2"),MIN(D229,D244*capacity))</f>
        <v>2522.4839400428273</v>
      </c>
      <c r="E319" s="455">
        <f>IF(VLOOKUP(E298,ProductsRange,3,FALSE)="Special Offer",SpecialOffer(E298,8,"FY-2"),MIN(E229,E244*capacity))</f>
        <v>2707.0886246342407</v>
      </c>
      <c r="F319" s="455">
        <f>IF(VLOOKUP(F298,ProductsRange,3,FALSE)="Special Offer",SpecialOffer(F298,8,"FY-2"),MIN(F229,F244*capacity))</f>
        <v>1240</v>
      </c>
      <c r="G319" s="455">
        <f>IF(VLOOKUP(G298,ProductsRange,3,FALSE)="Special Offer",SpecialOffer(G298,8,"FY-2"),MIN(G229,G244*capacity))</f>
        <v>1240</v>
      </c>
      <c r="H319" s="455">
        <f>IF(VLOOKUP(H298,ProductsRange,3,FALSE)="Special Offer",SpecialOffer(H298,8,"FY-2"),MIN(H229,H244*capacity))</f>
        <v>1240</v>
      </c>
      <c r="I319" s="455">
        <f>IF(VLOOKUP(I298,ProductsRange,3,FALSE)="Special Offer",SpecialOffer(I298,8,"FY-2"),MIN(I229,I244*capacity))</f>
        <v>1240</v>
      </c>
      <c r="J319" s="455">
        <f>IF(VLOOKUP(J298,ProductsRange,3,FALSE)="Special Offer",SpecialOffer(J298,8,"FY-2"),MIN(J229,J244*capacity))</f>
        <v>9877.5160599571736</v>
      </c>
      <c r="K319" s="455">
        <f>IF(VLOOKUP(K298,ProductsRange,3,FALSE)="Special Offer",SpecialOffer(K298,8,"FY-2"),MIN(K229,K244*capacity))</f>
        <v>10893.680539822084</v>
      </c>
      <c r="L319" s="455">
        <f>IF(VLOOKUP(L298,ProductsRange,3,FALSE)="Special Offer",SpecialOffer(L298,8,"FY-2"),MIN(L229,L244*capacity))</f>
        <v>39.230835543679859</v>
      </c>
      <c r="M319" s="457"/>
      <c r="N319" s="464"/>
      <c r="O319" s="476"/>
      <c r="P319" s="476"/>
      <c r="R319" s="477"/>
      <c r="S319" s="477"/>
    </row>
    <row r="320" spans="1:19" s="293" customFormat="1" hidden="1">
      <c r="A320" s="471"/>
      <c r="B320" s="707" t="s">
        <v>34</v>
      </c>
      <c r="C320" s="451" t="s">
        <v>39</v>
      </c>
      <c r="D320" s="455">
        <f>IF(VLOOKUP(D298,ProductsRange,3,FALSE)="Special Offer",SpecialOffer(D298,9,"FY-2"),MIN(D230,D245*capacity))</f>
        <v>2522.4839400428273</v>
      </c>
      <c r="E320" s="455">
        <f>IF(VLOOKUP(E298,ProductsRange,3,FALSE)="Special Offer",SpecialOffer(E298,9,"FY-2"),MIN(E230,E245*capacity))</f>
        <v>2707.0886246342407</v>
      </c>
      <c r="F320" s="455">
        <f>IF(VLOOKUP(F298,ProductsRange,3,FALSE)="Special Offer",SpecialOffer(F298,9,"FY-2"),MIN(F230,F245*capacity))</f>
        <v>1240</v>
      </c>
      <c r="G320" s="455">
        <f>IF(VLOOKUP(G298,ProductsRange,3,FALSE)="Special Offer",SpecialOffer(G298,9,"FY-2"),MIN(G230,G245*capacity))</f>
        <v>1240</v>
      </c>
      <c r="H320" s="455">
        <f>IF(VLOOKUP(H298,ProductsRange,3,FALSE)="Special Offer",SpecialOffer(H298,9,"FY-2"),MIN(H230,H245*capacity))</f>
        <v>1240</v>
      </c>
      <c r="I320" s="455">
        <f>IF(VLOOKUP(I298,ProductsRange,3,FALSE)="Special Offer",SpecialOffer(I298,9,"FY-2"),MIN(I230,I245*capacity))</f>
        <v>1240</v>
      </c>
      <c r="J320" s="455">
        <f>IF(VLOOKUP(J298,ProductsRange,3,FALSE)="Special Offer",SpecialOffer(J298,9,"FY-2"),MIN(J230,J245*capacity))</f>
        <v>9877.5160599571736</v>
      </c>
      <c r="K320" s="455">
        <f>IF(VLOOKUP(K298,ProductsRange,3,FALSE)="Special Offer",SpecialOffer(K298,9,"FY-2"),MIN(K230,K245*capacity))</f>
        <v>10893.680539822084</v>
      </c>
      <c r="L320" s="455">
        <f>IF(VLOOKUP(L298,ProductsRange,3,FALSE)="Special Offer",SpecialOffer(L298,9,"FY-2"),MIN(L230,L245*capacity))</f>
        <v>39.230835543679859</v>
      </c>
      <c r="M320" s="457"/>
      <c r="N320" s="464"/>
      <c r="O320" s="476"/>
      <c r="P320" s="476"/>
      <c r="R320" s="477"/>
      <c r="S320" s="477"/>
    </row>
    <row r="321" spans="1:19" s="293" customFormat="1" hidden="1">
      <c r="A321" s="471"/>
      <c r="B321" s="707" t="s">
        <v>34</v>
      </c>
      <c r="C321" s="451" t="s">
        <v>38</v>
      </c>
      <c r="D321" s="455">
        <f>IF(VLOOKUP(D298,ProductsRange,3,FALSE)="Special Offer",SpecialOffer(D298,10,"FY-2"),MIN(D231,D246*capacity))</f>
        <v>2431.65137614679</v>
      </c>
      <c r="E321" s="455">
        <f>IF(VLOOKUP(E298,ProductsRange,3,FALSE)="Special Offer",SpecialOffer(E298,10,"FY-2"),MIN(E231,E246*capacity))</f>
        <v>2644.6071254270378</v>
      </c>
      <c r="F321" s="455">
        <f>IF(VLOOKUP(F298,ProductsRange,3,FALSE)="Special Offer",SpecialOffer(F298,10,"FY-2"),MIN(F231,F246*capacity))</f>
        <v>1240</v>
      </c>
      <c r="G321" s="455">
        <f>IF(VLOOKUP(G298,ProductsRange,3,FALSE)="Special Offer",SpecialOffer(G298,10,"FY-2"),MIN(G231,G246*capacity))</f>
        <v>1240</v>
      </c>
      <c r="H321" s="455">
        <f>IF(VLOOKUP(H298,ProductsRange,3,FALSE)="Special Offer",SpecialOffer(H298,10,"FY-2"),MIN(H231,H246*capacity))</f>
        <v>1240</v>
      </c>
      <c r="I321" s="455">
        <f>IF(VLOOKUP(I298,ProductsRange,3,FALSE)="Special Offer",SpecialOffer(I298,10,"FY-2"),MIN(I231,I246*capacity))</f>
        <v>1240</v>
      </c>
      <c r="J321" s="455">
        <f>IF(VLOOKUP(J298,ProductsRange,3,FALSE)="Special Offer",SpecialOffer(J298,10,"FY-2"),MIN(J231,J246*capacity))</f>
        <v>8728.3486238532114</v>
      </c>
      <c r="K321" s="455">
        <f>IF(VLOOKUP(K298,ProductsRange,3,FALSE)="Special Offer",SpecialOffer(K298,10,"FY-2"),MIN(K231,K246*capacity))</f>
        <v>9755.3928745729609</v>
      </c>
      <c r="L321" s="455">
        <f>IF(VLOOKUP(L298,ProductsRange,3,FALSE)="Special Offer",SpecialOffer(L298,10,"FY-2"),MIN(L231,L246*capacity))</f>
        <v>0</v>
      </c>
      <c r="M321" s="457"/>
      <c r="N321" s="464"/>
      <c r="O321" s="476"/>
      <c r="P321" s="476"/>
      <c r="R321" s="477"/>
      <c r="S321" s="477"/>
    </row>
    <row r="322" spans="1:19" s="293" customFormat="1" hidden="1">
      <c r="A322" s="471"/>
      <c r="B322" s="707" t="s">
        <v>34</v>
      </c>
      <c r="C322" s="451" t="s">
        <v>37</v>
      </c>
      <c r="D322" s="455">
        <f>IF(VLOOKUP(D298,ProductsRange,3,FALSE)="Special Offer",SpecialOffer(D298,11,"FY-2"),MIN(D232,D247*capacity))</f>
        <v>1745.1851851851852</v>
      </c>
      <c r="E322" s="455">
        <f>IF(VLOOKUP(E298,ProductsRange,3,FALSE)="Special Offer",SpecialOffer(E298,11,"FY-2"),MIN(E232,E247*capacity))</f>
        <v>1586.7642752562226</v>
      </c>
      <c r="F322" s="455">
        <f>IF(VLOOKUP(F298,ProductsRange,3,FALSE)="Special Offer",SpecialOffer(F298,11,"FY-2"),MIN(F232,F247*capacity))</f>
        <v>1048.5955937318406</v>
      </c>
      <c r="G322" s="455">
        <f>IF(VLOOKUP(G298,ProductsRange,3,FALSE)="Special Offer",SpecialOffer(G298,11,"FY-2"),MIN(G232,G247*capacity))</f>
        <v>0</v>
      </c>
      <c r="H322" s="455">
        <f>IF(VLOOKUP(H298,ProductsRange,3,FALSE)="Special Offer",SpecialOffer(H298,11,"FY-2"),MIN(H232,H247*capacity))</f>
        <v>0</v>
      </c>
      <c r="I322" s="455">
        <f>IF(VLOOKUP(I298,ProductsRange,3,FALSE)="Special Offer",SpecialOffer(I298,11,"FY-2"),MIN(I232,I247*capacity))</f>
        <v>0</v>
      </c>
      <c r="J322" s="455">
        <f>IF(VLOOKUP(J298,ProductsRange,3,FALSE)="Special Offer",SpecialOffer(J298,11,"FY-2"),MIN(J232,J247*capacity))</f>
        <v>5694.8148148148148</v>
      </c>
      <c r="K322" s="455">
        <f>IF(VLOOKUP(K298,ProductsRange,3,FALSE)="Special Offer",SpecialOffer(K298,11,"FY-2"),MIN(K232,K247*capacity))</f>
        <v>5853.2357247437785</v>
      </c>
      <c r="L322" s="455">
        <f>IF(VLOOKUP(L298,ProductsRange,3,FALSE)="Special Offer",SpecialOffer(L298,11,"FY-2"),MIN(L232,L247*capacity))</f>
        <v>191.40440626815689</v>
      </c>
      <c r="M322" s="457"/>
      <c r="N322" s="464"/>
      <c r="O322" s="476"/>
      <c r="P322" s="476"/>
      <c r="R322" s="477"/>
      <c r="S322" s="477"/>
    </row>
    <row r="323" spans="1:19" s="293" customFormat="1" hidden="1">
      <c r="A323" s="471"/>
      <c r="B323" s="707" t="s">
        <v>34</v>
      </c>
      <c r="C323" s="451" t="s">
        <v>36</v>
      </c>
      <c r="D323" s="455">
        <f>IF(VLOOKUP(D298,ProductsRange,3,FALSE)="Special Offer",SpecialOffer(D298,12,"FY-2"),MIN(D233,D248*capacity))</f>
        <v>1745.1851851851852</v>
      </c>
      <c r="E323" s="455">
        <f>IF(VLOOKUP(E298,ProductsRange,3,FALSE)="Special Offer",SpecialOffer(E298,12,"FY-2"),MIN(E233,E248*capacity))</f>
        <v>1586.7642752562226</v>
      </c>
      <c r="F323" s="455">
        <f>IF(VLOOKUP(F298,ProductsRange,3,FALSE)="Special Offer",SpecialOffer(F298,12,"FY-2"),MIN(F233,F248*capacity))</f>
        <v>1048.5955937318406</v>
      </c>
      <c r="G323" s="455">
        <f>IF(VLOOKUP(G298,ProductsRange,3,FALSE)="Special Offer",SpecialOffer(G298,12,"FY-2"),MIN(G233,G248*capacity))</f>
        <v>0</v>
      </c>
      <c r="H323" s="455">
        <f>IF(VLOOKUP(H298,ProductsRange,3,FALSE)="Special Offer",SpecialOffer(H298,12,"FY-2"),MIN(H233,H248*capacity))</f>
        <v>0</v>
      </c>
      <c r="I323" s="455">
        <f>IF(VLOOKUP(I298,ProductsRange,3,FALSE)="Special Offer",SpecialOffer(I298,12,"FY-2"),MIN(I233,I248*capacity))</f>
        <v>0</v>
      </c>
      <c r="J323" s="455">
        <f>IF(VLOOKUP(J298,ProductsRange,3,FALSE)="Special Offer",SpecialOffer(J298,12,"FY-2"),MIN(J233,J248*capacity))</f>
        <v>5694.8148148148148</v>
      </c>
      <c r="K323" s="455">
        <f>IF(VLOOKUP(K298,ProductsRange,3,FALSE)="Special Offer",SpecialOffer(K298,12,"FY-2"),MIN(K233,K248*capacity))</f>
        <v>5853.2357247437785</v>
      </c>
      <c r="L323" s="455">
        <f>IF(VLOOKUP(L298,ProductsRange,3,FALSE)="Special Offer",SpecialOffer(L298,12,"FY-2"),MIN(L233,L248*capacity))</f>
        <v>191.40440626815689</v>
      </c>
      <c r="M323" s="457"/>
      <c r="N323" s="464"/>
      <c r="O323" s="476"/>
      <c r="P323" s="476"/>
      <c r="R323" s="477"/>
      <c r="S323" s="477"/>
    </row>
    <row r="324" spans="1:19" s="293" customFormat="1" hidden="1">
      <c r="A324" s="471"/>
      <c r="B324" s="707" t="s">
        <v>33</v>
      </c>
      <c r="C324" s="448" t="s">
        <v>47</v>
      </c>
      <c r="D324" s="455">
        <f>IF(VLOOKUP(D298,ProductsRange,3,FALSE)="Special Offer",SpecialOffer(D298,1,"FY-3"),MIN(D267,D282*capacity))</f>
        <v>1648.7061846210315</v>
      </c>
      <c r="E324" s="455">
        <f>IF(VLOOKUP(E298,ProductsRange,3,FALSE)="Special Offer",SpecialOffer(E298,1,"FY-3"),MIN(E267,E282*capacity))</f>
        <v>1419.7378565921356</v>
      </c>
      <c r="F324" s="455">
        <f>IF(VLOOKUP(F298,ProductsRange,3,FALSE)="Special Offer",SpecialOffer(F298,1,"FY-3"),MIN(F267,F282*capacity))</f>
        <v>0</v>
      </c>
      <c r="G324" s="455">
        <f>IF(VLOOKUP(G298,ProductsRange,3,FALSE)="Special Offer",SpecialOffer(G298,1,"FY-3"),MIN(G267,G282*capacity))</f>
        <v>0</v>
      </c>
      <c r="H324" s="455">
        <f>IF(VLOOKUP(H298,ProductsRange,3,FALSE)="Special Offer",SpecialOffer(H298,1,"FY-3"),MIN(H267,H282*capacity))</f>
        <v>0</v>
      </c>
      <c r="I324" s="455">
        <f>IF(VLOOKUP(I298,ProductsRange,3,FALSE)="Special Offer",SpecialOffer(I298,1,"FY-3"),MIN(I267,I282*capacity))</f>
        <v>0</v>
      </c>
      <c r="J324" s="455">
        <f>IF(VLOOKUP(J298,ProductsRange,3,FALSE)="Special Offer",SpecialOffer(J298,1,"FY-3"),MIN(J267,J282*capacity))</f>
        <v>4551.2938153789682</v>
      </c>
      <c r="K324" s="455">
        <f>IF(VLOOKUP(K298,ProductsRange,3,FALSE)="Special Offer",SpecialOffer(K298,1,"FY-3"),MIN(K267,K282*capacity))</f>
        <v>4780.2621434078646</v>
      </c>
      <c r="L324" s="455">
        <f>IF(VLOOKUP(L298,ProductsRange,3,FALSE)="Special Offer",SpecialOffer(L298,1,"FY-3"),MIN(L267,L282*capacity))</f>
        <v>0</v>
      </c>
      <c r="M324" s="457"/>
      <c r="N324" s="464"/>
      <c r="O324" s="476"/>
      <c r="P324" s="476"/>
      <c r="R324" s="477"/>
      <c r="S324" s="477"/>
    </row>
    <row r="325" spans="1:19" s="293" customFormat="1" hidden="1">
      <c r="A325" s="443"/>
      <c r="B325" s="707" t="s">
        <v>33</v>
      </c>
      <c r="C325" s="448" t="s">
        <v>46</v>
      </c>
      <c r="D325" s="455">
        <f>IF(VLOOKUP(D298,ProductsRange,3,FALSE)="Special Offer",SpecialOffer(D298,2,"FY-3"),MIN(D268,D283*capacity))</f>
        <v>1648.7061846210315</v>
      </c>
      <c r="E325" s="455">
        <f>IF(VLOOKUP(E298,ProductsRange,3,FALSE)="Special Offer",SpecialOffer(E298,2,"FY-3"),MIN(E268,E283*capacity))</f>
        <v>1419.7378565921356</v>
      </c>
      <c r="F325" s="455">
        <f>IF(VLOOKUP(F298,ProductsRange,3,FALSE)="Special Offer",SpecialOffer(F298,2,"FY-3"),MIN(F268,F283*capacity))</f>
        <v>0</v>
      </c>
      <c r="G325" s="455">
        <f>IF(VLOOKUP(G298,ProductsRange,3,FALSE)="Special Offer",SpecialOffer(G298,2,"FY-3"),MIN(G268,G283*capacity))</f>
        <v>0</v>
      </c>
      <c r="H325" s="455">
        <f>IF(VLOOKUP(H298,ProductsRange,3,FALSE)="Special Offer",SpecialOffer(H298,2,"FY-3"),MIN(H268,H283*capacity))</f>
        <v>0</v>
      </c>
      <c r="I325" s="455">
        <f>IF(VLOOKUP(I298,ProductsRange,3,FALSE)="Special Offer",SpecialOffer(I298,2,"FY-3"),MIN(I268,I283*capacity))</f>
        <v>0</v>
      </c>
      <c r="J325" s="455">
        <f>IF(VLOOKUP(J298,ProductsRange,3,FALSE)="Special Offer",SpecialOffer(J298,2,"FY-3"),MIN(J268,J283*capacity))</f>
        <v>4551.2938153789682</v>
      </c>
      <c r="K325" s="455">
        <f>IF(VLOOKUP(K298,ProductsRange,3,FALSE)="Special Offer",SpecialOffer(K298,2,"FY-3"),MIN(K268,K283*capacity))</f>
        <v>4780.2621434078646</v>
      </c>
      <c r="L325" s="455">
        <f>IF(VLOOKUP(L298,ProductsRange,3,FALSE)="Special Offer",SpecialOffer(L298,2,"FY-3"),MIN(L268,L283*capacity))</f>
        <v>0</v>
      </c>
      <c r="M325" s="457"/>
      <c r="N325" s="464"/>
      <c r="O325" s="476"/>
      <c r="P325" s="476"/>
      <c r="R325" s="477"/>
      <c r="S325" s="477"/>
    </row>
    <row r="326" spans="1:19" s="293" customFormat="1" hidden="1">
      <c r="A326" s="443"/>
      <c r="B326" s="707" t="s">
        <v>33</v>
      </c>
      <c r="C326" s="451" t="s">
        <v>45</v>
      </c>
      <c r="D326" s="455">
        <f>IF(VLOOKUP(D298,ProductsRange,3,FALSE)="Special Offer",SpecialOffer(D298,3,"FY-3"),MIN(D269,D284*capacity))</f>
        <v>1725.16562650024</v>
      </c>
      <c r="E326" s="455">
        <f>IF(VLOOKUP(E298,ProductsRange,3,FALSE)="Special Offer",SpecialOffer(E298,3,"FY-3"),MIN(E269,E284*capacity))</f>
        <v>1459.6991294054401</v>
      </c>
      <c r="F326" s="455">
        <f>IF(VLOOKUP(F298,ProductsRange,3,FALSE)="Special Offer",SpecialOffer(F298,3,"FY-3"),MIN(F269,F284*capacity))</f>
        <v>995.24940641280011</v>
      </c>
      <c r="G326" s="455">
        <f>IF(VLOOKUP(G298,ProductsRange,3,FALSE)="Special Offer",SpecialOffer(G298,3,"FY-3"),MIN(G269,G284*capacity))</f>
        <v>0</v>
      </c>
      <c r="H326" s="455">
        <f>IF(VLOOKUP(H298,ProductsRange,3,FALSE)="Special Offer",SpecialOffer(H298,3,"FY-3"),MIN(H269,H284*capacity))</f>
        <v>0</v>
      </c>
      <c r="I326" s="455">
        <f>IF(VLOOKUP(I298,ProductsRange,3,FALSE)="Special Offer",SpecialOffer(I298,3,"FY-3"),MIN(I269,I284*capacity))</f>
        <v>0</v>
      </c>
      <c r="J326" s="455">
        <f>IF(VLOOKUP(J298,ProductsRange,3,FALSE)="Special Offer",SpecialOffer(J298,3,"FY-3"),MIN(J269,J284*capacity))</f>
        <v>5714.8343734997588</v>
      </c>
      <c r="K326" s="455">
        <f>IF(VLOOKUP(K298,ProductsRange,3,FALSE)="Special Offer",SpecialOffer(K298,3,"FY-3"),MIN(K269,K284*capacity))</f>
        <v>5897.7742602240014</v>
      </c>
      <c r="L326" s="455">
        <f>IF(VLOOKUP(L298,ProductsRange,3,FALSE)="Special Offer",SpecialOffer(L298,3,"FY-3"),MIN(L269,L284*capacity))</f>
        <v>327.27720395775941</v>
      </c>
      <c r="M326" s="457"/>
      <c r="O326" s="465"/>
      <c r="P326" s="465"/>
      <c r="R326" s="465"/>
      <c r="S326" s="465"/>
    </row>
    <row r="327" spans="1:19" s="293" customFormat="1" hidden="1">
      <c r="A327" s="466"/>
      <c r="B327" s="707" t="s">
        <v>33</v>
      </c>
      <c r="C327" s="451" t="s">
        <v>44</v>
      </c>
      <c r="D327" s="455">
        <f>IF(VLOOKUP(D298,ProductsRange,3,FALSE)="Special Offer",SpecialOffer(D298,4,"FY-3"),MIN(D270,D285*capacity))</f>
        <v>1780.3906048051203</v>
      </c>
      <c r="E327" s="455">
        <f>IF(VLOOKUP(E298,ProductsRange,3,FALSE)="Special Offer",SpecialOffer(E298,4,"FY-3"),MIN(E270,E285*capacity))</f>
        <v>1702.9823176396806</v>
      </c>
      <c r="F327" s="455">
        <f>IF(VLOOKUP(F298,ProductsRange,3,FALSE)="Special Offer",SpecialOffer(F298,4,"FY-3"),MIN(F270,F285*capacity))</f>
        <v>1161.1243074816002</v>
      </c>
      <c r="G327" s="455">
        <f>IF(VLOOKUP(G298,ProductsRange,3,FALSE)="Special Offer",SpecialOffer(G298,4,"FY-3"),MIN(G270,G285*capacity))</f>
        <v>1006.3077331507202</v>
      </c>
      <c r="H327" s="455">
        <f>IF(VLOOKUP(H298,ProductsRange,3,FALSE)="Special Offer",SpecialOffer(H298,4,"FY-3"),MIN(H270,H285*capacity))</f>
        <v>1006.3077331507202</v>
      </c>
      <c r="I327" s="455">
        <f>IF(VLOOKUP(I298,ProductsRange,3,FALSE)="Special Offer",SpecialOffer(I298,4,"FY-3"),MIN(I270,I285*capacity))</f>
        <v>1083.7160203161602</v>
      </c>
      <c r="J327" s="455">
        <f>IF(VLOOKUP(J298,ProductsRange,3,FALSE)="Special Offer",SpecialOffer(J298,4,"FY-3"),MIN(J270,J285*capacity))</f>
        <v>6880.7366369280016</v>
      </c>
      <c r="K327" s="455">
        <f>IF(VLOOKUP(K298,ProductsRange,3,FALSE)="Special Offer",SpecialOffer(K298,4,"FY-3"),MIN(K270,K285*capacity))</f>
        <v>6880.7366369280016</v>
      </c>
      <c r="L327" s="455">
        <f>IF(VLOOKUP(L298,ProductsRange,3,FALSE)="Special Offer",SpecialOffer(L298,4,"FY-3"),MIN(L270,L285*capacity))</f>
        <v>817.69800959999338</v>
      </c>
      <c r="M327" s="457"/>
      <c r="O327" s="465"/>
      <c r="P327" s="465"/>
      <c r="R327" s="465"/>
      <c r="S327" s="465"/>
    </row>
    <row r="328" spans="1:19" s="293" customFormat="1" hidden="1">
      <c r="A328" s="466"/>
      <c r="B328" s="707" t="s">
        <v>33</v>
      </c>
      <c r="C328" s="451" t="s">
        <v>43</v>
      </c>
      <c r="D328" s="455">
        <f>IF(VLOOKUP(D298,ProductsRange,3,FALSE)="Special Offer",SpecialOffer(D298,5,"FY-3"),MIN(D271,D286*capacity))</f>
        <v>2034.7321197772803</v>
      </c>
      <c r="E328" s="455">
        <f>IF(VLOOKUP(E298,ProductsRange,3,FALSE)="Special Offer",SpecialOffer(E298,5,"FY-3"),MIN(E271,E286*capacity))</f>
        <v>1946.2655058739203</v>
      </c>
      <c r="F328" s="455">
        <f>IF(VLOOKUP(F298,ProductsRange,3,FALSE)="Special Offer",SpecialOffer(F298,5,"FY-3"),MIN(F271,F286*capacity))</f>
        <v>1240</v>
      </c>
      <c r="G328" s="455">
        <f>IF(VLOOKUP(G298,ProductsRange,3,FALSE)="Special Offer",SpecialOffer(G298,5,"FY-3"),MIN(G271,G286*capacity))</f>
        <v>1150.0659807436803</v>
      </c>
      <c r="H328" s="455">
        <f>IF(VLOOKUP(H298,ProductsRange,3,FALSE)="Special Offer",SpecialOffer(H298,5,"FY-3"),MIN(H271,H286*capacity))</f>
        <v>1150.0659807436803</v>
      </c>
      <c r="I328" s="455">
        <f>IF(VLOOKUP(I298,ProductsRange,3,FALSE)="Special Offer",SpecialOffer(I298,5,"FY-3"),MIN(I271,I286*capacity))</f>
        <v>1238.5325946470402</v>
      </c>
      <c r="J328" s="455">
        <f>IF(VLOOKUP(J298,ProductsRange,3,FALSE)="Special Offer",SpecialOffer(J298,5,"FY-3"),MIN(J271,J286*capacity))</f>
        <v>7863.6990136320019</v>
      </c>
      <c r="K328" s="455">
        <f>IF(VLOOKUP(K298,ProductsRange,3,FALSE)="Special Offer",SpecialOffer(K298,5,"FY-3"),MIN(K271,K286*capacity))</f>
        <v>7863.6990136320019</v>
      </c>
      <c r="L328" s="455">
        <f>IF(VLOOKUP(L298,ProductsRange,3,FALSE)="Special Offer",SpecialOffer(L298,5,"FY-3"),MIN(L271,L286*capacity))</f>
        <v>312.93979095039685</v>
      </c>
      <c r="M328" s="455"/>
      <c r="O328" s="465"/>
      <c r="P328" s="465"/>
      <c r="R328" s="465"/>
      <c r="S328" s="465"/>
    </row>
    <row r="329" spans="1:19" s="293" customFormat="1" hidden="1">
      <c r="A329" s="466"/>
      <c r="B329" s="707" t="s">
        <v>33</v>
      </c>
      <c r="C329" s="451" t="s">
        <v>42</v>
      </c>
      <c r="D329" s="455">
        <f>IF(VLOOKUP(D298,ProductsRange,3,FALSE)="Special Offer",SpecialOffer(D298,6,"FY-3"),MIN(D272,D287*capacity))</f>
        <v>2543.4151497216008</v>
      </c>
      <c r="E329" s="455">
        <f>IF(VLOOKUP(E298,ProductsRange,3,FALSE)="Special Offer",SpecialOffer(E298,6,"FY-3"),MIN(E272,E287*capacity))</f>
        <v>2432.8318823424006</v>
      </c>
      <c r="F329" s="455">
        <f>IF(VLOOKUP(F298,ProductsRange,3,FALSE)="Special Offer",SpecialOffer(F298,6,"FY-3"),MIN(F272,F287*capacity))</f>
        <v>1240</v>
      </c>
      <c r="G329" s="455">
        <f>IF(VLOOKUP(G298,ProductsRange,3,FALSE)="Special Offer",SpecialOffer(G298,6,"FY-3"),MIN(G272,G287*capacity))</f>
        <v>1240</v>
      </c>
      <c r="H329" s="455">
        <f>IF(VLOOKUP(H298,ProductsRange,3,FALSE)="Special Offer",SpecialOffer(H298,6,"FY-3"),MIN(H272,H287*capacity))</f>
        <v>1240</v>
      </c>
      <c r="I329" s="455">
        <f>IF(VLOOKUP(I298,ProductsRange,3,FALSE)="Special Offer",SpecialOffer(I298,6,"FY-3"),MIN(I272,I287*capacity))</f>
        <v>1240</v>
      </c>
      <c r="J329" s="455">
        <f>IF(VLOOKUP(J298,ProductsRange,3,FALSE)="Special Offer",SpecialOffer(J298,6,"FY-3"),MIN(J272,J287*capacity))</f>
        <v>9829.6237670400023</v>
      </c>
      <c r="K329" s="455">
        <f>IF(VLOOKUP(K298,ProductsRange,3,FALSE)="Special Offer",SpecialOffer(K298,6,"FY-3"),MIN(K272,K287*capacity))</f>
        <v>9829.6237670400023</v>
      </c>
      <c r="L329" s="455">
        <f>IF(VLOOKUP(L298,ProductsRange,3,FALSE)="Special Offer",SpecialOffer(L298,6,"FY-3"),MIN(L272,L287*capacity))</f>
        <v>164.50543385599303</v>
      </c>
      <c r="M329" s="455"/>
      <c r="O329" s="465"/>
      <c r="P329" s="465"/>
      <c r="R329" s="465"/>
      <c r="S329" s="465"/>
    </row>
    <row r="330" spans="1:19" s="293" customFormat="1" hidden="1">
      <c r="A330" s="471"/>
      <c r="B330" s="707" t="s">
        <v>33</v>
      </c>
      <c r="C330" s="451" t="s">
        <v>41</v>
      </c>
      <c r="D330" s="455">
        <f>IF(VLOOKUP(D298,ProductsRange,3,FALSE)="Special Offer",SpecialOffer(D298,7,"FY-3"),MIN(D273,D288*capacity))</f>
        <v>2543.4151497216008</v>
      </c>
      <c r="E330" s="455">
        <f>IF(VLOOKUP(E298,ProductsRange,3,FALSE)="Special Offer",SpecialOffer(E298,7,"FY-3"),MIN(E273,E288*capacity))</f>
        <v>2432.8318823424006</v>
      </c>
      <c r="F330" s="455">
        <f>IF(VLOOKUP(F298,ProductsRange,3,FALSE)="Special Offer",SpecialOffer(F298,7,"FY-3"),MIN(F273,F288*capacity))</f>
        <v>1240</v>
      </c>
      <c r="G330" s="455">
        <f>IF(VLOOKUP(G298,ProductsRange,3,FALSE)="Special Offer",SpecialOffer(G298,7,"FY-3"),MIN(G273,G288*capacity))</f>
        <v>1240</v>
      </c>
      <c r="H330" s="455">
        <f>IF(VLOOKUP(H298,ProductsRange,3,FALSE)="Special Offer",SpecialOffer(H298,7,"FY-3"),MIN(H273,H288*capacity))</f>
        <v>1240</v>
      </c>
      <c r="I330" s="455">
        <f>IF(VLOOKUP(I298,ProductsRange,3,FALSE)="Special Offer",SpecialOffer(I298,7,"FY-3"),MIN(I273,I288*capacity))</f>
        <v>1240</v>
      </c>
      <c r="J330" s="455">
        <f>IF(VLOOKUP(J298,ProductsRange,3,FALSE)="Special Offer",SpecialOffer(J298,7,"FY-3"),MIN(J273,J288*capacity))</f>
        <v>9829.6237670400023</v>
      </c>
      <c r="K330" s="455">
        <f>IF(VLOOKUP(K298,ProductsRange,3,FALSE)="Special Offer",SpecialOffer(K298,7,"FY-3"),MIN(K273,K288*capacity))</f>
        <v>9829.6237670400023</v>
      </c>
      <c r="L330" s="455">
        <f>IF(VLOOKUP(L298,ProductsRange,3,FALSE)="Special Offer",SpecialOffer(L298,7,"FY-3"),MIN(L273,L288*capacity))</f>
        <v>164.50543385599303</v>
      </c>
      <c r="M330" s="457"/>
      <c r="N330" s="464"/>
      <c r="O330" s="476"/>
      <c r="P330" s="476"/>
      <c r="R330" s="477"/>
      <c r="S330" s="477"/>
    </row>
    <row r="331" spans="1:19" s="293" customFormat="1" hidden="1">
      <c r="A331" s="471"/>
      <c r="B331" s="707" t="s">
        <v>33</v>
      </c>
      <c r="C331" s="451" t="s">
        <v>40</v>
      </c>
      <c r="D331" s="455">
        <f>IF(VLOOKUP(D298,ProductsRange,3,FALSE)="Special Offer",SpecialOffer(D298,8,"FY-3"),MIN(D274,D289*capacity))</f>
        <v>2419.4344473007714</v>
      </c>
      <c r="E331" s="455">
        <f>IF(VLOOKUP(E298,ProductsRange,3,FALSE)="Special Offer",SpecialOffer(E298,8,"FY-3"),MIN(E274,E289*capacity))</f>
        <v>2522.3229750382061</v>
      </c>
      <c r="F331" s="455">
        <f>IF(VLOOKUP(F298,ProductsRange,3,FALSE)="Special Offer",SpecialOffer(F298,8,"FY-3"),MIN(F274,F289*capacity))</f>
        <v>1240</v>
      </c>
      <c r="G331" s="455">
        <f>IF(VLOOKUP(G298,ProductsRange,3,FALSE)="Special Offer",SpecialOffer(G298,8,"FY-3"),MIN(G274,G289*capacity))</f>
        <v>1240</v>
      </c>
      <c r="H331" s="455">
        <f>IF(VLOOKUP(H298,ProductsRange,3,FALSE)="Special Offer",SpecialOffer(H298,8,"FY-3"),MIN(H274,H289*capacity))</f>
        <v>1240</v>
      </c>
      <c r="I331" s="455">
        <f>IF(VLOOKUP(I298,ProductsRange,3,FALSE)="Special Offer",SpecialOffer(I298,8,"FY-3"),MIN(I274,I289*capacity))</f>
        <v>1240</v>
      </c>
      <c r="J331" s="455">
        <f>IF(VLOOKUP(J298,ProductsRange,3,FALSE)="Special Offer",SpecialOffer(J298,8,"FY-3"),MIN(J274,J289*capacity))</f>
        <v>11220.565552699227</v>
      </c>
      <c r="K331" s="455">
        <f>IF(VLOOKUP(K298,ProductsRange,3,FALSE)="Special Offer",SpecialOffer(K298,8,"FY-3"),MIN(K274,K289*capacity))</f>
        <v>11117.677024961793</v>
      </c>
      <c r="L331" s="455">
        <f>IF(VLOOKUP(L298,ProductsRange,3,FALSE)="Special Offer",SpecialOffer(L298,8,"FY-3"),MIN(L274,L289*capacity))</f>
        <v>0</v>
      </c>
      <c r="M331" s="457"/>
      <c r="N331" s="464"/>
      <c r="O331" s="476"/>
      <c r="P331" s="476"/>
      <c r="R331" s="477"/>
      <c r="S331" s="477"/>
    </row>
    <row r="332" spans="1:19" s="293" customFormat="1" hidden="1">
      <c r="A332" s="471"/>
      <c r="B332" s="707" t="s">
        <v>33</v>
      </c>
      <c r="C332" s="451" t="s">
        <v>39</v>
      </c>
      <c r="D332" s="455">
        <f>IF(VLOOKUP(D298,ProductsRange,3,FALSE)="Special Offer",SpecialOffer(D298,9,"FY-3"),MIN(D275,D290*capacity))</f>
        <v>2419.4344473007714</v>
      </c>
      <c r="E332" s="455">
        <f>IF(VLOOKUP(E298,ProductsRange,3,FALSE)="Special Offer",SpecialOffer(E298,9,"FY-3"),MIN(E275,E290*capacity))</f>
        <v>2522.3229750382061</v>
      </c>
      <c r="F332" s="455">
        <f>IF(VLOOKUP(F298,ProductsRange,3,FALSE)="Special Offer",SpecialOffer(F298,9,"FY-3"),MIN(F275,F290*capacity))</f>
        <v>1240</v>
      </c>
      <c r="G332" s="455">
        <f>IF(VLOOKUP(G298,ProductsRange,3,FALSE)="Special Offer",SpecialOffer(G298,9,"FY-3"),MIN(G275,G290*capacity))</f>
        <v>1240</v>
      </c>
      <c r="H332" s="455">
        <f>IF(VLOOKUP(H298,ProductsRange,3,FALSE)="Special Offer",SpecialOffer(H298,9,"FY-3"),MIN(H275,H290*capacity))</f>
        <v>1240</v>
      </c>
      <c r="I332" s="455">
        <f>IF(VLOOKUP(I298,ProductsRange,3,FALSE)="Special Offer",SpecialOffer(I298,9,"FY-3"),MIN(I275,I290*capacity))</f>
        <v>1240</v>
      </c>
      <c r="J332" s="455">
        <f>IF(VLOOKUP(J298,ProductsRange,3,FALSE)="Special Offer",SpecialOffer(J298,9,"FY-3"),MIN(J275,J290*capacity))</f>
        <v>11220.565552699227</v>
      </c>
      <c r="K332" s="455">
        <f>IF(VLOOKUP(K298,ProductsRange,3,FALSE)="Special Offer",SpecialOffer(K298,9,"FY-3"),MIN(K275,K290*capacity))</f>
        <v>11117.677024961793</v>
      </c>
      <c r="L332" s="455">
        <f>IF(VLOOKUP(L298,ProductsRange,3,FALSE)="Special Offer",SpecialOffer(L298,9,"FY-3"),MIN(L275,L290*capacity))</f>
        <v>0</v>
      </c>
      <c r="M332" s="457"/>
      <c r="N332" s="464"/>
      <c r="O332" s="476"/>
      <c r="P332" s="476"/>
      <c r="R332" s="477"/>
      <c r="S332" s="477"/>
    </row>
    <row r="333" spans="1:19" s="293" customFormat="1" hidden="1">
      <c r="A333" s="471"/>
      <c r="B333" s="707" t="s">
        <v>33</v>
      </c>
      <c r="C333" s="451" t="s">
        <v>38</v>
      </c>
      <c r="D333" s="455">
        <f>IF(VLOOKUP(D298,ProductsRange,3,FALSE)="Special Offer",SpecialOffer(D298,10,"FY-3"),MIN(D276,D291*capacity))</f>
        <v>2361.3615455381787</v>
      </c>
      <c r="E333" s="455">
        <f>IF(VLOOKUP(E298,ProductsRange,3,FALSE)="Special Offer",SpecialOffer(E298,10,"FY-3"),MIN(E276,E291*capacity))</f>
        <v>2676.1150705766404</v>
      </c>
      <c r="F333" s="455">
        <f>IF(VLOOKUP(F298,ProductsRange,3,FALSE)="Special Offer",SpecialOffer(F298,10,"FY-3"),MIN(F276,F291*capacity))</f>
        <v>1240</v>
      </c>
      <c r="G333" s="455">
        <f>IF(VLOOKUP(G298,ProductsRange,3,FALSE)="Special Offer",SpecialOffer(G298,10,"FY-3"),MIN(G276,G291*capacity))</f>
        <v>1240</v>
      </c>
      <c r="H333" s="455">
        <f>IF(VLOOKUP(H298,ProductsRange,3,FALSE)="Special Offer",SpecialOffer(H298,10,"FY-3"),MIN(H276,H291*capacity))</f>
        <v>1240</v>
      </c>
      <c r="I333" s="455">
        <f>IF(VLOOKUP(I298,ProductsRange,3,FALSE)="Special Offer",SpecialOffer(I298,10,"FY-3"),MIN(I276,I291*capacity))</f>
        <v>1240</v>
      </c>
      <c r="J333" s="455">
        <f>IF(VLOOKUP(J298,ProductsRange,3,FALSE)="Special Offer",SpecialOffer(J298,10,"FY-3"),MIN(J276,J291*capacity))</f>
        <v>10038.638454461821</v>
      </c>
      <c r="K333" s="455">
        <f>IF(VLOOKUP(K298,ProductsRange,3,FALSE)="Special Offer",SpecialOffer(K298,10,"FY-3"),MIN(K276,K291*capacity))</f>
        <v>10812.586143744002</v>
      </c>
      <c r="L333" s="455">
        <f>IF(VLOOKUP(L298,ProductsRange,3,FALSE)="Special Offer",SpecialOffer(L298,10,"FY-3"),MIN(L276,L291*capacity))</f>
        <v>151.29878567935521</v>
      </c>
      <c r="M333" s="457"/>
      <c r="N333" s="464"/>
      <c r="O333" s="476"/>
      <c r="P333" s="476"/>
      <c r="R333" s="477"/>
      <c r="S333" s="477"/>
    </row>
    <row r="334" spans="1:19" s="293" customFormat="1" hidden="1">
      <c r="A334" s="471"/>
      <c r="B334" s="707" t="s">
        <v>33</v>
      </c>
      <c r="C334" s="451" t="s">
        <v>37</v>
      </c>
      <c r="D334" s="455">
        <f>IF(VLOOKUP(D298,ProductsRange,3,FALSE)="Special Offer",SpecialOffer(D298,11,"FY-3"),MIN(D277,D292*capacity))</f>
        <v>1780.3906048051203</v>
      </c>
      <c r="E334" s="455">
        <f>IF(VLOOKUP(E298,ProductsRange,3,FALSE)="Special Offer",SpecialOffer(E298,11,"FY-3"),MIN(E277,E292*capacity))</f>
        <v>1702.9823176396806</v>
      </c>
      <c r="F334" s="455">
        <f>IF(VLOOKUP(F298,ProductsRange,3,FALSE)="Special Offer",SpecialOffer(F298,11,"FY-3"),MIN(F277,F292*capacity))</f>
        <v>1161.1243074816002</v>
      </c>
      <c r="G334" s="455">
        <f>IF(VLOOKUP(G298,ProductsRange,3,FALSE)="Special Offer",SpecialOffer(G298,11,"FY-3"),MIN(G277,G292*capacity))</f>
        <v>1006.3077331507202</v>
      </c>
      <c r="H334" s="455">
        <f>IF(VLOOKUP(H298,ProductsRange,3,FALSE)="Special Offer",SpecialOffer(H298,11,"FY-3"),MIN(H277,H292*capacity))</f>
        <v>1006.3077331507202</v>
      </c>
      <c r="I334" s="455">
        <f>IF(VLOOKUP(I298,ProductsRange,3,FALSE)="Special Offer",SpecialOffer(I298,11,"FY-3"),MIN(I277,I292*capacity))</f>
        <v>1083.7160203161602</v>
      </c>
      <c r="J334" s="455">
        <f>IF(VLOOKUP(J298,ProductsRange,3,FALSE)="Special Offer",SpecialOffer(J298,11,"FY-3"),MIN(J277,J292*capacity))</f>
        <v>6880.7366369280016</v>
      </c>
      <c r="K334" s="455">
        <f>IF(VLOOKUP(K298,ProductsRange,3,FALSE)="Special Offer",SpecialOffer(K298,11,"FY-3"),MIN(K277,K292*capacity))</f>
        <v>6880.7366369280016</v>
      </c>
      <c r="L334" s="455">
        <f>IF(VLOOKUP(L298,ProductsRange,3,FALSE)="Special Offer",SpecialOffer(L298,11,"FY-3"),MIN(L277,L292*capacity))</f>
        <v>817.69800959999338</v>
      </c>
      <c r="M334" s="457"/>
      <c r="N334" s="464"/>
      <c r="O334" s="476"/>
      <c r="P334" s="476"/>
      <c r="R334" s="477"/>
      <c r="S334" s="477"/>
    </row>
    <row r="335" spans="1:19" s="293" customFormat="1" hidden="1">
      <c r="A335" s="471"/>
      <c r="B335" s="707" t="s">
        <v>33</v>
      </c>
      <c r="C335" s="451" t="s">
        <v>36</v>
      </c>
      <c r="D335" s="455">
        <f>IF(VLOOKUP(D298,ProductsRange,3,FALSE)="Special Offer",SpecialOffer(D298,12,"FY-3"),MIN(D278,D293*capacity))</f>
        <v>1780.3906048051203</v>
      </c>
      <c r="E335" s="455">
        <f>IF(VLOOKUP(E298,ProductsRange,3,FALSE)="Special Offer",SpecialOffer(E298,12,"FY-3"),MIN(E278,E293*capacity))</f>
        <v>1702.9823176396806</v>
      </c>
      <c r="F335" s="455">
        <f>IF(VLOOKUP(F298,ProductsRange,3,FALSE)="Special Offer",SpecialOffer(F298,12,"FY-3"),MIN(F278,F293*capacity))</f>
        <v>1161.1243074816002</v>
      </c>
      <c r="G335" s="455">
        <f>IF(VLOOKUP(G298,ProductsRange,3,FALSE)="Special Offer",SpecialOffer(G298,12,"FY-3"),MIN(G278,G293*capacity))</f>
        <v>1006.3077331507202</v>
      </c>
      <c r="H335" s="455">
        <f>IF(VLOOKUP(H298,ProductsRange,3,FALSE)="Special Offer",SpecialOffer(H298,12,"FY-3"),MIN(H278,H293*capacity))</f>
        <v>1006.3077331507202</v>
      </c>
      <c r="I335" s="455">
        <f>IF(VLOOKUP(I298,ProductsRange,3,FALSE)="Special Offer",SpecialOffer(I298,12,"FY-3"),MIN(I278,I293*capacity))</f>
        <v>1083.7160203161602</v>
      </c>
      <c r="J335" s="455">
        <f>IF(VLOOKUP(J298,ProductsRange,3,FALSE)="Special Offer",SpecialOffer(J298,12,"FY-3"),MIN(J278,J293*capacity))</f>
        <v>6880.7366369280016</v>
      </c>
      <c r="K335" s="455">
        <f>IF(VLOOKUP(K298,ProductsRange,3,FALSE)="Special Offer",SpecialOffer(K298,12,"FY-3"),MIN(K278,K293*capacity))</f>
        <v>6880.7366369280016</v>
      </c>
      <c r="L335" s="455">
        <f>IF(VLOOKUP(L298,ProductsRange,3,FALSE)="Special Offer",SpecialOffer(L298,12,"FY-3"),MIN(L278,L293*capacity))</f>
        <v>817.69800959999338</v>
      </c>
      <c r="M335" s="457"/>
      <c r="N335" s="464"/>
      <c r="O335" s="476"/>
      <c r="P335" s="476"/>
      <c r="R335" s="477"/>
      <c r="S335" s="477"/>
    </row>
    <row r="336" spans="1:19" s="293" customFormat="1" hidden="1">
      <c r="A336" s="471"/>
      <c r="D336" s="455"/>
      <c r="E336" s="455"/>
      <c r="F336" s="455"/>
      <c r="G336" s="455"/>
      <c r="H336" s="455"/>
      <c r="I336" s="455"/>
      <c r="J336" s="457"/>
      <c r="K336" s="478"/>
      <c r="L336" s="457"/>
      <c r="M336" s="457"/>
      <c r="N336" s="464"/>
      <c r="O336" s="476"/>
      <c r="P336" s="476"/>
      <c r="R336" s="477"/>
      <c r="S336" s="477"/>
    </row>
    <row r="337" spans="1:21" s="293" customFormat="1" hidden="1">
      <c r="A337" s="471"/>
      <c r="D337" s="455"/>
      <c r="E337" s="455"/>
      <c r="F337" s="455"/>
      <c r="G337" s="455"/>
      <c r="H337" s="455"/>
      <c r="I337" s="455"/>
      <c r="J337" s="457"/>
      <c r="K337" s="478"/>
      <c r="L337" s="457"/>
      <c r="M337" s="457"/>
      <c r="N337" s="464"/>
      <c r="O337" s="476"/>
      <c r="P337" s="476"/>
      <c r="R337" s="477"/>
      <c r="S337" s="477"/>
    </row>
    <row r="338" spans="1:21" s="293" customFormat="1" hidden="1">
      <c r="A338" s="471"/>
      <c r="D338" s="455"/>
      <c r="E338" s="455"/>
      <c r="F338" s="455"/>
      <c r="G338" s="455"/>
      <c r="H338" s="455"/>
      <c r="I338" s="455"/>
      <c r="J338" s="457"/>
      <c r="K338" s="478"/>
      <c r="L338" s="457"/>
      <c r="M338" s="457"/>
      <c r="N338" s="464"/>
      <c r="O338" s="476"/>
      <c r="P338" s="476"/>
      <c r="R338" s="477"/>
      <c r="S338" s="477"/>
    </row>
    <row r="339" spans="1:21" s="293" customFormat="1" hidden="1">
      <c r="A339" s="471"/>
      <c r="D339" s="471"/>
      <c r="O339" s="465"/>
      <c r="P339" s="465"/>
      <c r="R339" s="465"/>
      <c r="S339" s="465"/>
      <c r="T339" s="442"/>
      <c r="U339" s="442"/>
    </row>
    <row r="340" spans="1:21" s="293" customFormat="1" ht="15.75" hidden="1">
      <c r="A340" s="699">
        <v>7</v>
      </c>
      <c r="B340" s="664" t="s">
        <v>420</v>
      </c>
      <c r="C340" s="664"/>
      <c r="D340" s="708"/>
      <c r="E340" s="699"/>
      <c r="F340" s="699"/>
      <c r="G340" s="699"/>
      <c r="H340" s="646"/>
      <c r="I340" s="646"/>
      <c r="O340" s="465"/>
      <c r="P340" s="465"/>
      <c r="R340" s="465"/>
      <c r="S340" s="465"/>
      <c r="T340" s="442"/>
      <c r="U340" s="442"/>
    </row>
    <row r="341" spans="1:21" s="293" customFormat="1" hidden="1">
      <c r="A341" s="704"/>
      <c r="B341" s="442"/>
      <c r="C341" s="442"/>
      <c r="D341" s="703"/>
      <c r="E341" s="704"/>
      <c r="F341" s="704"/>
      <c r="G341" s="704"/>
      <c r="H341" s="442"/>
      <c r="I341" s="442"/>
      <c r="J341" s="442"/>
      <c r="K341" s="442"/>
      <c r="O341" s="465"/>
      <c r="P341" s="465"/>
      <c r="R341" s="465"/>
      <c r="S341" s="465"/>
      <c r="T341" s="442"/>
      <c r="U341" s="442"/>
    </row>
    <row r="342" spans="1:21" s="293" customFormat="1" hidden="1">
      <c r="A342" s="445">
        <v>7.1</v>
      </c>
      <c r="B342" s="466" t="s">
        <v>421</v>
      </c>
      <c r="C342" s="466"/>
      <c r="D342" s="703"/>
      <c r="E342" s="704"/>
      <c r="F342" s="704"/>
      <c r="G342" s="704"/>
      <c r="H342" s="442"/>
      <c r="I342" s="442"/>
      <c r="J342" s="442"/>
      <c r="K342" s="442"/>
      <c r="O342" s="465"/>
      <c r="P342" s="465"/>
      <c r="R342" s="465"/>
      <c r="S342" s="465"/>
      <c r="T342" s="442"/>
      <c r="U342" s="442"/>
    </row>
    <row r="343" spans="1:21" s="293" customFormat="1" hidden="1">
      <c r="A343" s="704"/>
      <c r="B343" s="442"/>
      <c r="C343" s="442"/>
      <c r="D343" s="703"/>
      <c r="E343" s="704"/>
      <c r="F343" s="704"/>
      <c r="G343" s="704"/>
      <c r="O343" s="475"/>
      <c r="P343" s="475"/>
      <c r="Q343" s="442"/>
      <c r="R343" s="475"/>
      <c r="S343" s="475"/>
      <c r="T343" s="474"/>
      <c r="U343" s="474"/>
    </row>
    <row r="344" spans="1:21" s="293" customFormat="1" hidden="1">
      <c r="A344" s="709"/>
      <c r="B344" s="710" t="s">
        <v>422</v>
      </c>
      <c r="C344" s="711" t="s">
        <v>85</v>
      </c>
      <c r="D344" s="712">
        <v>1240</v>
      </c>
      <c r="E344" s="704"/>
      <c r="F344" s="442"/>
      <c r="G344" s="442"/>
      <c r="O344" s="475"/>
      <c r="P344" s="475"/>
      <c r="Q344" s="442"/>
      <c r="R344" s="475"/>
      <c r="S344" s="475"/>
      <c r="T344" s="474"/>
      <c r="U344" s="474"/>
    </row>
    <row r="345" spans="1:21" s="293" customFormat="1" hidden="1">
      <c r="A345" s="713"/>
      <c r="B345" s="710" t="s">
        <v>422</v>
      </c>
      <c r="C345" s="711" t="s">
        <v>415</v>
      </c>
      <c r="D345" s="714">
        <v>10</v>
      </c>
      <c r="E345" s="704"/>
      <c r="F345" s="442"/>
      <c r="G345" s="442"/>
      <c r="O345" s="475"/>
      <c r="P345" s="475"/>
      <c r="Q345" s="442"/>
      <c r="R345" s="475"/>
      <c r="S345" s="475"/>
      <c r="T345" s="474"/>
      <c r="U345" s="474"/>
    </row>
    <row r="346" spans="1:21" s="293" customFormat="1" hidden="1">
      <c r="A346" s="715"/>
      <c r="B346" s="716" t="s">
        <v>430</v>
      </c>
      <c r="C346" s="711" t="s">
        <v>85</v>
      </c>
      <c r="D346" s="712">
        <v>124</v>
      </c>
      <c r="E346" s="704"/>
      <c r="F346" s="442"/>
      <c r="G346" s="442"/>
      <c r="O346" s="475"/>
      <c r="P346" s="475"/>
      <c r="Q346" s="442"/>
      <c r="R346" s="475"/>
      <c r="S346" s="475"/>
      <c r="T346" s="474"/>
      <c r="U346" s="474"/>
    </row>
    <row r="347" spans="1:21" s="293" customFormat="1" hidden="1">
      <c r="A347" s="442"/>
      <c r="B347" s="703"/>
      <c r="C347" s="704"/>
      <c r="D347" s="717"/>
      <c r="E347" s="704"/>
      <c r="F347" s="442"/>
      <c r="G347" s="442"/>
      <c r="O347" s="475"/>
      <c r="P347" s="475"/>
      <c r="Q347" s="442"/>
      <c r="R347" s="475"/>
      <c r="S347" s="475"/>
    </row>
    <row r="348" spans="1:21" s="293" customFormat="1" hidden="1">
      <c r="A348" s="442"/>
      <c r="B348" s="703"/>
      <c r="C348" s="704"/>
      <c r="D348" s="718"/>
      <c r="E348" s="704"/>
      <c r="F348" s="442"/>
      <c r="G348" s="442"/>
      <c r="O348" s="475"/>
      <c r="P348" s="475"/>
      <c r="Q348" s="442"/>
      <c r="R348" s="475"/>
      <c r="S348" s="475"/>
    </row>
    <row r="349" spans="1:21" s="293" customFormat="1" hidden="1">
      <c r="A349" s="445">
        <v>7.2</v>
      </c>
      <c r="B349" s="703"/>
      <c r="C349" s="704"/>
      <c r="D349" s="705"/>
      <c r="E349" s="704"/>
      <c r="F349" s="442"/>
      <c r="G349" s="442"/>
      <c r="O349" s="475"/>
      <c r="P349" s="475"/>
      <c r="Q349" s="442"/>
      <c r="R349" s="475"/>
      <c r="S349" s="475"/>
    </row>
    <row r="350" spans="1:21" s="293" customFormat="1" ht="13.5" hidden="1" thickBot="1">
      <c r="A350" s="442"/>
      <c r="B350" s="442"/>
      <c r="C350" s="442"/>
      <c r="D350" s="442"/>
      <c r="E350" s="442"/>
      <c r="F350" s="442"/>
      <c r="G350" s="442"/>
      <c r="H350" s="442"/>
      <c r="O350" s="475"/>
      <c r="P350" s="475"/>
      <c r="Q350" s="442"/>
      <c r="R350" s="475"/>
      <c r="S350" s="475"/>
    </row>
    <row r="351" spans="1:21" s="293" customFormat="1" hidden="1">
      <c r="B351" s="719" t="s">
        <v>423</v>
      </c>
      <c r="C351" s="720"/>
      <c r="D351" s="721"/>
      <c r="E351" s="719" t="s">
        <v>424</v>
      </c>
      <c r="F351" s="722"/>
      <c r="G351" s="723"/>
    </row>
    <row r="352" spans="1:21" s="293" customFormat="1" hidden="1">
      <c r="B352" s="724" t="s">
        <v>425</v>
      </c>
      <c r="C352" s="725" t="s">
        <v>426</v>
      </c>
      <c r="D352" s="726" t="s">
        <v>427</v>
      </c>
      <c r="E352" s="727" t="s">
        <v>428</v>
      </c>
      <c r="F352" s="725" t="s">
        <v>115</v>
      </c>
      <c r="G352" s="726" t="s">
        <v>429</v>
      </c>
    </row>
    <row r="353" spans="2:7" s="293" customFormat="1" hidden="1">
      <c r="B353" s="728"/>
      <c r="C353" s="729"/>
      <c r="D353" s="730"/>
      <c r="E353" s="731" t="s">
        <v>440</v>
      </c>
      <c r="F353" s="729" t="s">
        <v>441</v>
      </c>
      <c r="G353" s="730" t="s">
        <v>442</v>
      </c>
    </row>
    <row r="354" spans="2:7" s="293" customFormat="1" hidden="1">
      <c r="B354" s="732">
        <v>1</v>
      </c>
      <c r="C354" s="733">
        <v>155</v>
      </c>
      <c r="D354" s="734">
        <v>1240</v>
      </c>
      <c r="E354" s="735">
        <v>1240</v>
      </c>
      <c r="F354" s="736">
        <v>4960</v>
      </c>
      <c r="G354" s="734">
        <v>59520</v>
      </c>
    </row>
    <row r="355" spans="2:7" s="293" customFormat="1" hidden="1">
      <c r="B355" s="732">
        <v>2</v>
      </c>
      <c r="C355" s="733">
        <v>155</v>
      </c>
      <c r="D355" s="734">
        <v>1240</v>
      </c>
      <c r="E355" s="735">
        <v>1240</v>
      </c>
      <c r="F355" s="736">
        <v>4960</v>
      </c>
      <c r="G355" s="734">
        <v>59520</v>
      </c>
    </row>
    <row r="356" spans="2:7" s="293" customFormat="1" hidden="1">
      <c r="B356" s="732">
        <v>3</v>
      </c>
      <c r="C356" s="733">
        <v>155</v>
      </c>
      <c r="D356" s="734">
        <v>1240</v>
      </c>
      <c r="E356" s="735">
        <v>1240</v>
      </c>
      <c r="F356" s="736">
        <v>4960</v>
      </c>
      <c r="G356" s="734">
        <v>59520</v>
      </c>
    </row>
    <row r="357" spans="2:7" s="293" customFormat="1" hidden="1">
      <c r="B357" s="732">
        <v>4</v>
      </c>
      <c r="C357" s="733">
        <v>155</v>
      </c>
      <c r="D357" s="734">
        <v>1240</v>
      </c>
      <c r="E357" s="735">
        <v>1240</v>
      </c>
      <c r="F357" s="736">
        <v>4960</v>
      </c>
      <c r="G357" s="734">
        <v>59520</v>
      </c>
    </row>
    <row r="358" spans="2:7" s="293" customFormat="1" hidden="1">
      <c r="B358" s="732">
        <v>5</v>
      </c>
      <c r="C358" s="733">
        <v>155</v>
      </c>
      <c r="D358" s="734">
        <v>1240</v>
      </c>
      <c r="E358" s="735">
        <v>1240</v>
      </c>
      <c r="F358" s="736">
        <v>4960</v>
      </c>
      <c r="G358" s="734">
        <v>59520</v>
      </c>
    </row>
    <row r="359" spans="2:7" s="293" customFormat="1" hidden="1">
      <c r="B359" s="732">
        <v>6</v>
      </c>
      <c r="C359" s="733">
        <v>155</v>
      </c>
      <c r="D359" s="734">
        <v>1240</v>
      </c>
      <c r="E359" s="735">
        <v>1240</v>
      </c>
      <c r="F359" s="736">
        <v>4960</v>
      </c>
      <c r="G359" s="734">
        <v>59520</v>
      </c>
    </row>
    <row r="360" spans="2:7" s="293" customFormat="1" hidden="1">
      <c r="B360" s="732">
        <v>7</v>
      </c>
      <c r="C360" s="733">
        <v>155</v>
      </c>
      <c r="D360" s="734">
        <v>1240</v>
      </c>
      <c r="E360" s="735">
        <v>1240</v>
      </c>
      <c r="F360" s="736">
        <v>4960</v>
      </c>
      <c r="G360" s="734">
        <v>59520</v>
      </c>
    </row>
    <row r="361" spans="2:7" s="293" customFormat="1" hidden="1">
      <c r="B361" s="732">
        <v>8</v>
      </c>
      <c r="C361" s="733">
        <v>155</v>
      </c>
      <c r="D361" s="734">
        <v>1240</v>
      </c>
      <c r="E361" s="735">
        <v>1240</v>
      </c>
      <c r="F361" s="736">
        <v>4960</v>
      </c>
      <c r="G361" s="734">
        <v>59520</v>
      </c>
    </row>
    <row r="362" spans="2:7" s="293" customFormat="1" ht="13.5" hidden="1" thickBot="1"/>
    <row r="363" spans="2:7" s="293" customFormat="1" ht="13.5" hidden="1" thickBot="1">
      <c r="B363" s="737" t="s">
        <v>101</v>
      </c>
      <c r="C363" s="738">
        <f>SUM(C354:C362)</f>
        <v>1240</v>
      </c>
      <c r="D363" s="738">
        <f>SUM(D354:D362)</f>
        <v>9920</v>
      </c>
      <c r="E363" s="738">
        <f>SUM(E354:E362)</f>
        <v>9920</v>
      </c>
      <c r="F363" s="738">
        <f>SUM(F354:F362)</f>
        <v>39680</v>
      </c>
      <c r="G363" s="739">
        <f>SUM(G354:G362)</f>
        <v>476160</v>
      </c>
    </row>
    <row r="364" spans="2:7" s="293" customFormat="1" hidden="1"/>
    <row r="365" spans="2:7" s="293" customFormat="1" hidden="1"/>
    <row r="366" spans="2:7" s="293" customFormat="1" hidden="1"/>
    <row r="367" spans="2:7" s="293" customFormat="1" hidden="1"/>
    <row r="368" spans="2:7" s="293" customFormat="1"/>
    <row r="369" s="293" customFormat="1"/>
    <row r="370" s="293" customFormat="1"/>
    <row r="371" s="293" customFormat="1"/>
    <row r="372" s="293" customFormat="1"/>
    <row r="373" s="293" customFormat="1"/>
    <row r="374" s="293" customFormat="1"/>
    <row r="375" s="293" customFormat="1"/>
    <row r="376" s="293" customFormat="1"/>
    <row r="377" s="293" customFormat="1"/>
    <row r="378" s="293" customFormat="1"/>
    <row r="379" s="293" customFormat="1"/>
    <row r="380" s="293" customFormat="1"/>
    <row r="381" s="293" customFormat="1"/>
    <row r="382" s="293" customFormat="1"/>
    <row r="383" s="293" customFormat="1"/>
    <row r="384" s="293" customFormat="1"/>
    <row r="385" s="293" customFormat="1"/>
    <row r="386" s="293" customFormat="1"/>
    <row r="387" s="293" customFormat="1"/>
    <row r="388" s="293" customFormat="1"/>
    <row r="389" s="293" customFormat="1"/>
    <row r="390" s="293" customFormat="1"/>
    <row r="391" s="293" customFormat="1"/>
    <row r="392" s="293" customFormat="1"/>
    <row r="393" s="293" customFormat="1"/>
    <row r="394" s="293" customFormat="1"/>
    <row r="395" s="293" customFormat="1"/>
    <row r="396" s="293" customFormat="1"/>
    <row r="397" s="293" customFormat="1"/>
    <row r="398" s="293" customFormat="1"/>
    <row r="399" s="293" customFormat="1"/>
    <row r="400" s="293" customFormat="1"/>
    <row r="401" s="293" customFormat="1"/>
    <row r="402" s="293" customFormat="1"/>
    <row r="403" s="293" customFormat="1"/>
    <row r="404" s="293" customFormat="1"/>
    <row r="405" s="293" customFormat="1"/>
    <row r="406" s="293" customFormat="1"/>
    <row r="407" s="293" customFormat="1"/>
    <row r="408" s="293" customFormat="1"/>
    <row r="409" s="293" customFormat="1"/>
    <row r="410" s="293" customFormat="1"/>
    <row r="411" s="293" customFormat="1"/>
    <row r="412" s="293" customFormat="1"/>
    <row r="413" s="293" customFormat="1"/>
    <row r="414" s="293" customFormat="1"/>
    <row r="415" s="293" customFormat="1"/>
    <row r="416" s="293" customFormat="1"/>
    <row r="417" s="293" customFormat="1"/>
    <row r="418" s="293" customFormat="1"/>
    <row r="419" s="293" customFormat="1"/>
    <row r="420" s="293" customFormat="1"/>
    <row r="421" s="293" customFormat="1"/>
    <row r="422" s="293" customFormat="1"/>
    <row r="423" s="293" customFormat="1"/>
    <row r="424" s="293" customFormat="1"/>
    <row r="425" s="293" customFormat="1"/>
    <row r="426" s="293" customFormat="1"/>
    <row r="427" s="293" customFormat="1"/>
    <row r="428" s="293" customFormat="1"/>
    <row r="429" s="293" customFormat="1"/>
    <row r="430" s="293" customFormat="1"/>
    <row r="431" s="293" customFormat="1"/>
    <row r="432" s="293" customFormat="1"/>
    <row r="433" s="293" customFormat="1"/>
    <row r="434" s="293" customFormat="1"/>
    <row r="435" s="293" customFormat="1"/>
    <row r="436" s="293" customFormat="1"/>
    <row r="437" s="293" customFormat="1"/>
    <row r="438" s="293" customFormat="1"/>
    <row r="439" s="293" customFormat="1"/>
    <row r="440" s="293" customFormat="1"/>
    <row r="441" s="293" customFormat="1"/>
    <row r="442" s="293" customFormat="1"/>
    <row r="443" s="293" customFormat="1"/>
    <row r="444" s="293" customFormat="1"/>
    <row r="445" s="293" customFormat="1"/>
    <row r="446" s="293" customFormat="1"/>
    <row r="447" s="293" customFormat="1"/>
    <row r="448" s="293" customFormat="1"/>
    <row r="449" s="293" customFormat="1"/>
    <row r="450" s="293" customFormat="1"/>
    <row r="451" s="293" customFormat="1"/>
    <row r="452" s="293" customFormat="1"/>
    <row r="453" s="293" customFormat="1"/>
    <row r="454" s="293" customFormat="1"/>
    <row r="455" s="293" customFormat="1"/>
    <row r="456" s="293" customFormat="1"/>
    <row r="457" s="293" customFormat="1"/>
    <row r="458" s="293" customFormat="1"/>
    <row r="459" s="293" customFormat="1"/>
    <row r="460" s="293" customFormat="1"/>
    <row r="461" s="293" customFormat="1"/>
    <row r="462" s="293" customFormat="1"/>
    <row r="463" s="293" customFormat="1"/>
    <row r="464" s="293" customFormat="1"/>
    <row r="465" s="293" customFormat="1"/>
    <row r="466" s="293" customFormat="1"/>
    <row r="467" s="293" customFormat="1"/>
    <row r="468" s="293" customFormat="1"/>
    <row r="469" s="293" customFormat="1"/>
    <row r="470" s="293" customFormat="1"/>
    <row r="471" s="293" customFormat="1"/>
    <row r="472" s="293" customFormat="1"/>
    <row r="473" s="293" customFormat="1"/>
    <row r="474" s="293" customFormat="1"/>
    <row r="475" s="293" customFormat="1"/>
    <row r="476" s="293" customFormat="1"/>
    <row r="477" s="293" customFormat="1"/>
    <row r="478" s="293" customFormat="1"/>
    <row r="479" s="293" customFormat="1"/>
    <row r="480" s="293" customFormat="1"/>
    <row r="481" s="293" customFormat="1"/>
    <row r="482" s="293" customFormat="1"/>
    <row r="483" s="293" customFormat="1"/>
    <row r="484" s="293" customFormat="1"/>
    <row r="485" s="293" customFormat="1"/>
    <row r="486" s="293" customFormat="1"/>
    <row r="487" s="293" customFormat="1"/>
    <row r="488" s="293" customFormat="1"/>
    <row r="489" s="293" customFormat="1"/>
    <row r="490" s="293" customFormat="1"/>
    <row r="491" s="293" customFormat="1"/>
    <row r="492" s="293" customFormat="1"/>
    <row r="493" s="293" customFormat="1"/>
    <row r="494" s="293" customFormat="1"/>
    <row r="495" s="293" customFormat="1"/>
    <row r="496" s="293" customFormat="1"/>
    <row r="497" s="293" customFormat="1"/>
    <row r="498" s="293" customFormat="1"/>
    <row r="499" s="293" customFormat="1"/>
    <row r="500" s="293" customFormat="1"/>
    <row r="501" s="293" customFormat="1"/>
    <row r="502" s="293" customFormat="1"/>
    <row r="503" s="293" customFormat="1"/>
    <row r="504" s="293" customFormat="1"/>
    <row r="505" s="293" customFormat="1"/>
    <row r="506" s="293" customFormat="1"/>
    <row r="507" s="293" customFormat="1"/>
    <row r="508" s="293" customFormat="1"/>
    <row r="509" s="293" customFormat="1"/>
    <row r="510" s="293" customFormat="1"/>
    <row r="511" s="293" customFormat="1"/>
    <row r="512" s="293" customFormat="1"/>
    <row r="513" s="293" customFormat="1"/>
    <row r="514" s="293" customFormat="1"/>
    <row r="515" s="293" customFormat="1"/>
    <row r="516" s="293" customFormat="1"/>
    <row r="517" s="293" customFormat="1"/>
    <row r="518" s="293" customFormat="1"/>
    <row r="519" s="293" customFormat="1"/>
    <row r="520" s="293" customFormat="1"/>
    <row r="521" s="293" customFormat="1"/>
    <row r="522" s="293" customFormat="1"/>
    <row r="523" s="293" customFormat="1"/>
    <row r="524" s="293" customFormat="1"/>
    <row r="525" s="293" customFormat="1"/>
    <row r="526" s="293" customFormat="1"/>
    <row r="527" s="293" customFormat="1"/>
    <row r="528" s="293" customFormat="1"/>
    <row r="529" s="293" customFormat="1"/>
    <row r="530" s="293" customFormat="1"/>
    <row r="531" s="293" customFormat="1"/>
    <row r="532" s="293" customFormat="1"/>
    <row r="533" s="293" customFormat="1"/>
    <row r="534" s="293" customFormat="1"/>
    <row r="535" s="293" customFormat="1"/>
    <row r="536" s="293" customFormat="1"/>
    <row r="537" s="293" customFormat="1"/>
    <row r="538" s="293" customFormat="1"/>
    <row r="539" s="293" customFormat="1"/>
    <row r="540" s="293" customFormat="1"/>
    <row r="541" s="293" customFormat="1"/>
    <row r="542" s="293" customFormat="1"/>
    <row r="543" s="293" customFormat="1"/>
    <row r="544" s="293" customFormat="1"/>
    <row r="545" s="293" customFormat="1"/>
    <row r="546" s="293" customFormat="1"/>
    <row r="547" s="293" customFormat="1"/>
    <row r="548" s="293" customFormat="1"/>
    <row r="549" s="293" customFormat="1"/>
    <row r="550" s="293" customFormat="1"/>
    <row r="551" s="293" customFormat="1"/>
    <row r="552" s="293" customFormat="1"/>
    <row r="553" s="293" customFormat="1"/>
    <row r="554" s="293" customFormat="1"/>
    <row r="555" s="293" customFormat="1"/>
    <row r="556" s="293" customFormat="1"/>
    <row r="557" s="293" customFormat="1"/>
    <row r="558" s="293" customFormat="1"/>
    <row r="559" s="293" customFormat="1"/>
    <row r="560" s="293" customFormat="1"/>
    <row r="561" s="293" customFormat="1"/>
    <row r="562" s="293" customFormat="1"/>
    <row r="563" s="293" customFormat="1"/>
    <row r="564" s="293" customFormat="1"/>
    <row r="565" s="293" customFormat="1"/>
    <row r="566" s="293" customFormat="1"/>
    <row r="567" s="293" customFormat="1"/>
    <row r="568" s="293" customFormat="1"/>
    <row r="569" s="293" customFormat="1"/>
    <row r="570" s="293" customFormat="1"/>
    <row r="571" s="293" customFormat="1"/>
    <row r="572" s="293" customFormat="1"/>
    <row r="573" s="293" customFormat="1"/>
    <row r="574" s="293" customFormat="1"/>
    <row r="575" s="293" customFormat="1"/>
    <row r="576" s="293" customFormat="1"/>
    <row r="577" s="293" customFormat="1"/>
    <row r="578" s="293" customFormat="1"/>
    <row r="579" s="293" customFormat="1"/>
    <row r="580" s="293" customFormat="1"/>
    <row r="581" s="293" customFormat="1"/>
    <row r="582" s="293" customFormat="1"/>
    <row r="583" s="293" customFormat="1"/>
    <row r="584" s="293" customFormat="1"/>
    <row r="585" s="293" customFormat="1"/>
    <row r="586" s="293" customFormat="1"/>
    <row r="587" s="293" customFormat="1"/>
    <row r="588" s="293" customFormat="1"/>
    <row r="589" s="293" customFormat="1"/>
    <row r="590" s="293" customFormat="1"/>
    <row r="591" s="293" customFormat="1"/>
    <row r="592" s="293" customFormat="1"/>
    <row r="593" s="293" customFormat="1"/>
    <row r="594" s="293" customFormat="1"/>
    <row r="595" s="293" customFormat="1"/>
    <row r="596" s="293" customFormat="1"/>
    <row r="597" s="293" customFormat="1"/>
    <row r="598" s="293" customFormat="1"/>
    <row r="599" s="293" customFormat="1"/>
    <row r="600" s="293" customFormat="1"/>
    <row r="601" s="293" customFormat="1"/>
    <row r="602" s="293" customFormat="1"/>
    <row r="603" s="293" customFormat="1"/>
    <row r="604" s="293" customFormat="1"/>
    <row r="605" s="293" customFormat="1"/>
    <row r="606" s="293" customFormat="1"/>
    <row r="607" s="293" customFormat="1"/>
    <row r="608" s="293" customFormat="1"/>
    <row r="609" s="293" customFormat="1"/>
    <row r="610" s="293" customFormat="1"/>
    <row r="611" s="293" customFormat="1"/>
    <row r="612" s="293" customFormat="1"/>
    <row r="613" s="293" customFormat="1"/>
    <row r="614" s="293" customFormat="1"/>
    <row r="615" s="293" customFormat="1"/>
    <row r="616" s="293" customFormat="1"/>
    <row r="617" s="293" customFormat="1"/>
    <row r="618" s="293" customFormat="1"/>
    <row r="619" s="293" customFormat="1"/>
    <row r="620" s="293" customFormat="1"/>
    <row r="621" s="293" customFormat="1"/>
    <row r="622" s="293" customFormat="1"/>
    <row r="623" s="293" customFormat="1"/>
    <row r="624" s="293" customFormat="1"/>
    <row r="625" s="293" customFormat="1"/>
    <row r="626" s="293" customFormat="1"/>
    <row r="627" s="293" customFormat="1"/>
    <row r="628" s="293" customFormat="1"/>
    <row r="629" s="293" customFormat="1"/>
    <row r="630" s="293" customFormat="1"/>
    <row r="631" s="293" customFormat="1"/>
    <row r="632" s="293" customFormat="1"/>
    <row r="633" s="293" customFormat="1"/>
    <row r="634" s="293" customFormat="1"/>
    <row r="635" s="293" customFormat="1"/>
    <row r="636" s="293" customFormat="1"/>
    <row r="637" s="293" customFormat="1"/>
    <row r="638" s="293" customFormat="1"/>
    <row r="639" s="293" customFormat="1"/>
    <row r="640" s="293" customFormat="1"/>
    <row r="641" s="293" customFormat="1"/>
    <row r="642" s="293" customFormat="1"/>
    <row r="643" s="293" customFormat="1"/>
    <row r="644" s="293" customFormat="1"/>
    <row r="645" s="293" customFormat="1"/>
    <row r="646" s="293" customFormat="1"/>
    <row r="647" s="293" customFormat="1"/>
    <row r="648" s="293" customFormat="1"/>
    <row r="649" s="293" customFormat="1"/>
    <row r="650" s="293" customFormat="1"/>
    <row r="651" s="293" customFormat="1"/>
    <row r="652" s="293" customFormat="1"/>
    <row r="653" s="293" customFormat="1"/>
    <row r="654" s="293" customFormat="1"/>
    <row r="655" s="293" customFormat="1"/>
    <row r="656" s="293" customFormat="1"/>
    <row r="657" s="293" customFormat="1"/>
    <row r="658" s="293" customFormat="1"/>
    <row r="659" s="293" customFormat="1"/>
    <row r="660" s="293" customFormat="1"/>
    <row r="661" s="293" customFormat="1"/>
    <row r="662" s="293" customFormat="1"/>
    <row r="663" s="293" customFormat="1"/>
  </sheetData>
  <sheetProtection algorithmName="SHA-512" hashValue="q9p6CRe0Sy4IIpw1RXzXWMEz/KN/i1vnhMq69zI5UYCwGUX7JpsrpI2gma+CiWTsy3ls6HEw93rlJQqTlrNV3A==" saltValue="TtVv2UiB+sn25604N1sPq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357" activePane="bottomLeft" state="frozen"/>
      <selection activeCell="D50" sqref="D50"/>
      <selection pane="bottomLeft" activeCell="A400" sqref="A400:XFD400"/>
    </sheetView>
  </sheetViews>
  <sheetFormatPr defaultColWidth="9.5703125" defaultRowHeight="11.25"/>
  <cols>
    <col min="1" max="1" width="9.5703125" style="641"/>
    <col min="2" max="2" width="23.85546875" style="641" customWidth="1"/>
    <col min="3" max="3" width="19.140625" style="641" customWidth="1"/>
    <col min="4" max="4" width="10.140625" style="641" customWidth="1"/>
    <col min="5" max="5" width="8.85546875" style="641" customWidth="1"/>
    <col min="6" max="6" width="8.5703125" style="641" customWidth="1"/>
    <col min="7" max="7" width="10.5703125" style="641" customWidth="1"/>
    <col min="8" max="8" width="9.5703125" style="641" customWidth="1"/>
    <col min="9" max="10" width="9.140625" style="641" customWidth="1"/>
    <col min="11" max="11" width="8.5703125" style="641" customWidth="1"/>
    <col min="12" max="12" width="11" style="641" customWidth="1"/>
    <col min="13" max="13" width="8.42578125" style="641" customWidth="1"/>
    <col min="14" max="14" width="8.5703125" style="641" customWidth="1"/>
    <col min="15" max="15" width="9.140625" style="641" customWidth="1"/>
    <col min="16" max="16" width="10.42578125" style="641" customWidth="1"/>
    <col min="17" max="17" width="9" style="641" customWidth="1"/>
    <col min="18" max="18" width="7.42578125" style="641" customWidth="1"/>
    <col min="19" max="19" width="7.5703125" style="641" customWidth="1"/>
    <col min="20" max="22" width="7.85546875" style="641" customWidth="1"/>
    <col min="23" max="23" width="7.5703125" style="641" customWidth="1"/>
    <col min="24" max="24" width="8" style="641" customWidth="1"/>
    <col min="25" max="25" width="7.85546875" style="641" customWidth="1"/>
    <col min="26" max="26" width="7.5703125" style="641" customWidth="1"/>
    <col min="27" max="27" width="8.42578125" style="641" customWidth="1"/>
    <col min="28" max="31" width="7.5703125" style="641" customWidth="1"/>
    <col min="32" max="32" width="8" style="641" customWidth="1"/>
    <col min="33" max="33" width="8.42578125" style="641" customWidth="1"/>
    <col min="34" max="38" width="7.5703125" style="641" customWidth="1"/>
    <col min="39" max="39" width="7.85546875" style="641" customWidth="1"/>
    <col min="40" max="40" width="7.5703125" style="641" customWidth="1"/>
    <col min="41" max="41" width="8" style="641" customWidth="1"/>
    <col min="42" max="42" width="7.85546875" style="641" customWidth="1"/>
    <col min="43" max="43" width="9" style="641" customWidth="1"/>
    <col min="44" max="46" width="9.42578125" style="641" customWidth="1"/>
    <col min="47" max="47" width="9.140625" style="641" customWidth="1"/>
    <col min="48" max="48" width="13.140625" style="641" customWidth="1"/>
    <col min="49" max="16384" width="9.5703125" style="641"/>
  </cols>
  <sheetData>
    <row r="1" spans="1:25" s="1" customFormat="1" ht="32.1" customHeight="1" thickTop="1" thickBot="1">
      <c r="K1" s="166" t="str">
        <f>"Current Cycle "&amp;CurrentCycle</f>
        <v>Current Cycle 8</v>
      </c>
      <c r="L1" s="1012" t="str">
        <f>"Cycle in Calculation "&amp;CycleInCalculation</f>
        <v>Cycle in Calculation 8</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34"/>
      <c r="G4" s="79"/>
      <c r="H4" s="79"/>
      <c r="I4" s="79"/>
      <c r="J4" s="134"/>
      <c r="K4" s="79"/>
      <c r="L4" s="79"/>
      <c r="M4" s="79"/>
      <c r="N4" s="79"/>
      <c r="O4" s="79"/>
      <c r="P4" s="79"/>
      <c r="Q4" s="14"/>
      <c r="R4" s="14"/>
      <c r="S4" s="14"/>
      <c r="T4" s="14"/>
      <c r="U4" s="14"/>
      <c r="V4" s="14"/>
      <c r="W4" s="14"/>
    </row>
    <row r="5" spans="1:25" s="9" customFormat="1" ht="15.75">
      <c r="A5" s="228">
        <v>1</v>
      </c>
      <c r="B5" s="163" t="s">
        <v>363</v>
      </c>
      <c r="C5" s="164"/>
      <c r="D5" s="14"/>
      <c r="E5" s="70"/>
      <c r="F5" s="14"/>
      <c r="G5" s="14"/>
      <c r="H5" s="14"/>
      <c r="I5" s="14"/>
      <c r="J5" s="70"/>
      <c r="K5" s="14"/>
      <c r="L5" s="14"/>
      <c r="M5" s="14"/>
      <c r="N5" s="14"/>
      <c r="O5" s="14"/>
      <c r="P5" s="14"/>
      <c r="Q5" s="14"/>
      <c r="R5" s="85"/>
      <c r="S5" s="85"/>
      <c r="T5" s="85"/>
      <c r="U5" s="85"/>
      <c r="V5" s="85"/>
      <c r="W5" s="14"/>
    </row>
    <row r="6" spans="1:25" s="9" customFormat="1">
      <c r="B6" s="14"/>
      <c r="C6" s="14"/>
      <c r="D6" s="70" t="s">
        <v>133</v>
      </c>
      <c r="E6" s="14"/>
      <c r="F6" s="14"/>
      <c r="G6" s="14"/>
      <c r="H6" s="14"/>
      <c r="I6" s="70"/>
      <c r="J6" s="14"/>
      <c r="K6" s="14"/>
      <c r="L6" s="14"/>
      <c r="M6" s="14"/>
      <c r="N6" s="14"/>
      <c r="O6" s="14"/>
      <c r="P6" s="14"/>
      <c r="Q6" s="85"/>
      <c r="S6" s="85"/>
      <c r="T6" s="85"/>
      <c r="U6" s="85"/>
      <c r="V6" s="85"/>
      <c r="W6" s="14"/>
    </row>
    <row r="7" spans="1:25" s="9" customFormat="1" ht="12" thickBot="1">
      <c r="B7" s="79"/>
      <c r="C7" s="14"/>
      <c r="D7" s="14"/>
      <c r="E7" s="14"/>
      <c r="F7" s="14"/>
      <c r="G7" s="14"/>
      <c r="H7" s="14"/>
      <c r="I7" s="70"/>
      <c r="J7" s="14"/>
      <c r="K7" s="14"/>
      <c r="L7" s="14"/>
      <c r="M7" s="14"/>
      <c r="N7" s="14"/>
      <c r="O7" s="14"/>
      <c r="P7" s="58"/>
      <c r="Q7" s="56"/>
      <c r="S7" s="56"/>
      <c r="T7" s="56"/>
      <c r="U7" s="56"/>
      <c r="V7" s="56"/>
      <c r="W7" s="18"/>
    </row>
    <row r="8" spans="1:25" s="9" customFormat="1" ht="12.75" customHeight="1" thickBot="1">
      <c r="B8" s="167" t="s">
        <v>132</v>
      </c>
      <c r="C8" s="51"/>
      <c r="D8" s="168" t="s">
        <v>47</v>
      </c>
      <c r="E8" s="169" t="s">
        <v>46</v>
      </c>
      <c r="F8" s="169" t="s">
        <v>45</v>
      </c>
      <c r="G8" s="169" t="s">
        <v>44</v>
      </c>
      <c r="H8" s="169" t="s">
        <v>43</v>
      </c>
      <c r="I8" s="169" t="s">
        <v>42</v>
      </c>
      <c r="J8" s="169" t="s">
        <v>41</v>
      </c>
      <c r="K8" s="169" t="s">
        <v>40</v>
      </c>
      <c r="L8" s="169" t="s">
        <v>39</v>
      </c>
      <c r="M8" s="169" t="s">
        <v>38</v>
      </c>
      <c r="N8" s="169" t="s">
        <v>37</v>
      </c>
      <c r="O8" s="170" t="s">
        <v>36</v>
      </c>
      <c r="P8" s="133" t="s">
        <v>59</v>
      </c>
      <c r="Q8" s="18"/>
      <c r="S8" s="18"/>
      <c r="T8" s="18"/>
      <c r="U8" s="18"/>
      <c r="V8" s="18"/>
      <c r="W8" s="18"/>
    </row>
    <row r="9" spans="1:25" s="9" customFormat="1">
      <c r="B9" s="176"/>
      <c r="C9" s="66"/>
      <c r="D9" s="49"/>
      <c r="E9" s="49"/>
      <c r="F9" s="49"/>
      <c r="G9" s="49"/>
      <c r="H9" s="49"/>
      <c r="I9" s="49"/>
      <c r="J9" s="49"/>
      <c r="K9" s="49"/>
      <c r="L9" s="49"/>
      <c r="M9" s="49"/>
      <c r="N9" s="49"/>
      <c r="O9" s="49"/>
      <c r="P9" s="133"/>
      <c r="Q9" s="172"/>
      <c r="S9" s="56"/>
      <c r="T9" s="56"/>
      <c r="U9" s="56"/>
      <c r="V9" s="56"/>
      <c r="W9" s="132"/>
    </row>
    <row r="10" spans="1:25" s="9" customFormat="1">
      <c r="B10" s="171" t="s">
        <v>699</v>
      </c>
      <c r="C10" s="254" t="s">
        <v>35</v>
      </c>
      <c r="D10" s="255">
        <v>412.92172873929508</v>
      </c>
      <c r="E10" s="255">
        <v>412.92172873929508</v>
      </c>
      <c r="F10" s="255">
        <v>412.92172873929508</v>
      </c>
      <c r="G10" s="255">
        <v>442.26480824064015</v>
      </c>
      <c r="H10" s="255">
        <v>1219.3715341959332</v>
      </c>
      <c r="I10" s="255">
        <v>1270.046283691805</v>
      </c>
      <c r="J10" s="255">
        <v>1270.046283691805</v>
      </c>
      <c r="K10" s="255">
        <v>1292.5685785536161</v>
      </c>
      <c r="L10" s="255">
        <v>1292.5685785536161</v>
      </c>
      <c r="M10" s="255">
        <v>1040.5047318611987</v>
      </c>
      <c r="N10" s="255">
        <v>642.39376770538263</v>
      </c>
      <c r="O10" s="255">
        <v>642.39376770538263</v>
      </c>
      <c r="P10" s="256">
        <f>SUM(D10:O10)</f>
        <v>10350.923520417262</v>
      </c>
      <c r="Q10" s="257" t="s">
        <v>35</v>
      </c>
      <c r="S10" s="121"/>
      <c r="T10" s="121"/>
      <c r="U10" s="121"/>
      <c r="V10" s="121"/>
      <c r="W10" s="122"/>
    </row>
    <row r="11" spans="1:25" s="9" customFormat="1">
      <c r="B11" s="171"/>
      <c r="C11" s="258" t="s">
        <v>34</v>
      </c>
      <c r="D11" s="140">
        <v>391.18490566037747</v>
      </c>
      <c r="E11" s="140">
        <v>391.18490566037747</v>
      </c>
      <c r="F11" s="140">
        <v>391.18490566037747</v>
      </c>
      <c r="G11" s="140">
        <v>470.79802167552015</v>
      </c>
      <c r="H11" s="140">
        <v>1318.0419580419582</v>
      </c>
      <c r="I11" s="140">
        <v>1332.4421593830334</v>
      </c>
      <c r="J11" s="140">
        <v>1332.4421593830334</v>
      </c>
      <c r="K11" s="140">
        <v>1374.4490276959343</v>
      </c>
      <c r="L11" s="140">
        <v>1374.4490276959343</v>
      </c>
      <c r="M11" s="140">
        <v>1123.2419547079858</v>
      </c>
      <c r="N11" s="140">
        <v>612.15454698835845</v>
      </c>
      <c r="O11" s="140">
        <v>612.15454698835845</v>
      </c>
      <c r="P11" s="259">
        <f>SUM(D11:O11)</f>
        <v>10723.728119541249</v>
      </c>
      <c r="Q11" s="173" t="s">
        <v>34</v>
      </c>
      <c r="S11" s="121"/>
      <c r="T11" s="121"/>
      <c r="U11" s="121"/>
      <c r="V11" s="121"/>
      <c r="W11" s="122"/>
    </row>
    <row r="12" spans="1:25" s="131" customFormat="1">
      <c r="B12" s="171"/>
      <c r="C12" s="254" t="s">
        <v>33</v>
      </c>
      <c r="D12" s="255">
        <v>663.49960427520011</v>
      </c>
      <c r="E12" s="255">
        <v>663.49960427520011</v>
      </c>
      <c r="F12" s="255">
        <v>663.49960427520011</v>
      </c>
      <c r="G12" s="255">
        <v>645.22483940042821</v>
      </c>
      <c r="H12" s="255">
        <v>1927.8310940499039</v>
      </c>
      <c r="I12" s="255">
        <v>1880.3120124804991</v>
      </c>
      <c r="J12" s="255">
        <v>1880.3120124804991</v>
      </c>
      <c r="K12" s="255">
        <v>1969.411764705882</v>
      </c>
      <c r="L12" s="255">
        <v>1969.411764705882</v>
      </c>
      <c r="M12" s="255">
        <v>1649.2610837438424</v>
      </c>
      <c r="N12" s="255">
        <v>1050.9417040358744</v>
      </c>
      <c r="O12" s="255">
        <v>1050.9417040358744</v>
      </c>
      <c r="P12" s="256">
        <f>SUM(D12:O12)</f>
        <v>16014.146792464284</v>
      </c>
      <c r="Q12" s="257" t="s">
        <v>33</v>
      </c>
      <c r="S12" s="121"/>
      <c r="T12" s="121"/>
      <c r="U12" s="121"/>
      <c r="V12" s="121"/>
      <c r="W12" s="122"/>
    </row>
    <row r="13" spans="1:25" s="9" customFormat="1">
      <c r="B13" s="171" t="s">
        <v>700</v>
      </c>
      <c r="C13" s="258" t="s">
        <v>35</v>
      </c>
      <c r="D13" s="140">
        <v>488.29015544041454</v>
      </c>
      <c r="E13" s="140">
        <v>420.71428571428572</v>
      </c>
      <c r="F13" s="140">
        <v>488.29015544041454</v>
      </c>
      <c r="G13" s="140">
        <v>621.70423309510716</v>
      </c>
      <c r="H13" s="140">
        <v>1216.2282226617604</v>
      </c>
      <c r="I13" s="140">
        <v>1198.3018074821355</v>
      </c>
      <c r="J13" s="140">
        <v>1198.3018074821355</v>
      </c>
      <c r="K13" s="140">
        <v>1127.3272112131465</v>
      </c>
      <c r="L13" s="140">
        <v>1127.3272112131465</v>
      </c>
      <c r="M13" s="140">
        <v>1216.2282226617604</v>
      </c>
      <c r="N13" s="140">
        <v>488.29015544041454</v>
      </c>
      <c r="O13" s="140">
        <v>420.71428571428572</v>
      </c>
      <c r="P13" s="259">
        <f>SUM(D13:O13)</f>
        <v>10011.717753559007</v>
      </c>
      <c r="Q13" s="173" t="s">
        <v>35</v>
      </c>
      <c r="S13" s="121"/>
      <c r="T13" s="121"/>
      <c r="U13" s="121"/>
      <c r="V13" s="121"/>
      <c r="W13" s="122"/>
    </row>
    <row r="14" spans="1:25" s="9" customFormat="1">
      <c r="B14" s="171"/>
      <c r="C14" s="254" t="s">
        <v>34</v>
      </c>
      <c r="D14" s="255">
        <v>510.66009852216746</v>
      </c>
      <c r="E14" s="255">
        <v>440.67335487162052</v>
      </c>
      <c r="F14" s="255">
        <v>510.66009852216746</v>
      </c>
      <c r="G14" s="255">
        <v>655.20278099652364</v>
      </c>
      <c r="H14" s="255">
        <v>1280.8566721581549</v>
      </c>
      <c r="I14" s="255">
        <v>1261.0431495556359</v>
      </c>
      <c r="J14" s="255">
        <v>1261.0431495556359</v>
      </c>
      <c r="K14" s="255">
        <v>1294.6945596076805</v>
      </c>
      <c r="L14" s="255">
        <v>1294.6945596076805</v>
      </c>
      <c r="M14" s="255">
        <v>1280.8566721581549</v>
      </c>
      <c r="N14" s="255">
        <v>510.66009852216746</v>
      </c>
      <c r="O14" s="255">
        <v>440.67335487162052</v>
      </c>
      <c r="P14" s="256">
        <f>SUM(D14:O14)</f>
        <v>10741.718548949209</v>
      </c>
      <c r="Q14" s="257" t="s">
        <v>34</v>
      </c>
      <c r="S14" s="121"/>
      <c r="T14" s="121"/>
      <c r="U14" s="121"/>
      <c r="V14" s="121"/>
      <c r="W14" s="122"/>
    </row>
    <row r="15" spans="1:25" s="9" customFormat="1">
      <c r="B15" s="171"/>
      <c r="C15" s="258" t="s">
        <v>33</v>
      </c>
      <c r="D15" s="140">
        <v>984.7058823529411</v>
      </c>
      <c r="E15" s="140">
        <v>858.46153846153845</v>
      </c>
      <c r="F15" s="140">
        <v>984.7058823529411</v>
      </c>
      <c r="G15" s="140">
        <v>997.74834437086076</v>
      </c>
      <c r="H15" s="140">
        <v>1891.5254237288138</v>
      </c>
      <c r="I15" s="140">
        <v>1843.7046307884857</v>
      </c>
      <c r="J15" s="140">
        <v>1843.7046307884857</v>
      </c>
      <c r="K15" s="140">
        <v>1931.8454935622317</v>
      </c>
      <c r="L15" s="140">
        <v>1931.8454935622317</v>
      </c>
      <c r="M15" s="140">
        <v>1891.5254237288138</v>
      </c>
      <c r="N15" s="140">
        <v>984.7058823529411</v>
      </c>
      <c r="O15" s="140">
        <v>858.46153846153845</v>
      </c>
      <c r="P15" s="259">
        <f>SUM(D15:O15)</f>
        <v>17002.940164511823</v>
      </c>
      <c r="Q15" s="173" t="s">
        <v>33</v>
      </c>
      <c r="S15" s="121"/>
      <c r="T15" s="121"/>
      <c r="U15" s="121"/>
      <c r="V15" s="121"/>
      <c r="W15" s="122"/>
    </row>
    <row r="16" spans="1:25" s="131" customFormat="1">
      <c r="B16" s="171" t="s">
        <v>701</v>
      </c>
      <c r="C16" s="260" t="s">
        <v>35</v>
      </c>
      <c r="D16" s="255">
        <v>0</v>
      </c>
      <c r="E16" s="255">
        <v>0</v>
      </c>
      <c r="F16" s="255">
        <v>0</v>
      </c>
      <c r="G16" s="255">
        <v>0</v>
      </c>
      <c r="H16" s="255">
        <v>995.09581854144017</v>
      </c>
      <c r="I16" s="255">
        <v>1085.55907477248</v>
      </c>
      <c r="J16" s="255">
        <v>1085.55907477248</v>
      </c>
      <c r="K16" s="255">
        <v>1085.55907477248</v>
      </c>
      <c r="L16" s="255">
        <v>1085.55907477248</v>
      </c>
      <c r="M16" s="255">
        <v>995.09581854144017</v>
      </c>
      <c r="N16" s="255">
        <v>1240</v>
      </c>
      <c r="O16" s="255">
        <v>0</v>
      </c>
      <c r="P16" s="256">
        <f>SUM(D16:O16)</f>
        <v>7572.4279361728004</v>
      </c>
      <c r="Q16" s="257" t="s">
        <v>35</v>
      </c>
      <c r="S16" s="56"/>
      <c r="T16" s="56"/>
      <c r="U16" s="56"/>
      <c r="V16" s="56"/>
      <c r="W16" s="129"/>
    </row>
    <row r="17" spans="2:23" s="131" customFormat="1">
      <c r="B17" s="171"/>
      <c r="C17" s="261" t="s">
        <v>34</v>
      </c>
      <c r="D17" s="140">
        <v>0</v>
      </c>
      <c r="E17" s="140">
        <v>0</v>
      </c>
      <c r="F17" s="140">
        <v>0</v>
      </c>
      <c r="G17" s="140">
        <v>0</v>
      </c>
      <c r="H17" s="140">
        <v>1059.2955487699203</v>
      </c>
      <c r="I17" s="140">
        <v>1155.5951441126401</v>
      </c>
      <c r="J17" s="140">
        <v>1155.5951441126401</v>
      </c>
      <c r="K17" s="140">
        <v>1155.5951441126401</v>
      </c>
      <c r="L17" s="140">
        <v>1155.5951441126401</v>
      </c>
      <c r="M17" s="140">
        <v>1059.2955487699203</v>
      </c>
      <c r="N17" s="140">
        <v>1240</v>
      </c>
      <c r="O17" s="140">
        <v>0</v>
      </c>
      <c r="P17" s="259">
        <f>SUM(D17:O17)</f>
        <v>7980.9716739904006</v>
      </c>
      <c r="Q17" s="173" t="s">
        <v>34</v>
      </c>
      <c r="S17" s="56"/>
      <c r="T17" s="56"/>
      <c r="U17" s="56"/>
      <c r="V17" s="56"/>
      <c r="W17" s="129"/>
    </row>
    <row r="18" spans="2:23" s="131" customFormat="1">
      <c r="B18" s="171"/>
      <c r="C18" s="260" t="s">
        <v>33</v>
      </c>
      <c r="D18" s="255">
        <v>0</v>
      </c>
      <c r="E18" s="255">
        <v>0</v>
      </c>
      <c r="F18" s="255">
        <v>0</v>
      </c>
      <c r="G18" s="255">
        <v>0</v>
      </c>
      <c r="H18" s="255">
        <v>1094.7743470540802</v>
      </c>
      <c r="I18" s="255">
        <v>995.24940641280011</v>
      </c>
      <c r="J18" s="255">
        <v>995.24940641280011</v>
      </c>
      <c r="K18" s="255">
        <v>995.24940641280011</v>
      </c>
      <c r="L18" s="255">
        <v>995.24940641280011</v>
      </c>
      <c r="M18" s="255">
        <v>995.24940641280011</v>
      </c>
      <c r="N18" s="255">
        <v>1194.2992876953601</v>
      </c>
      <c r="O18" s="255">
        <v>0</v>
      </c>
      <c r="P18" s="256">
        <f>SUM(D18:O18)</f>
        <v>7265.3206668134417</v>
      </c>
      <c r="Q18" s="257" t="s">
        <v>33</v>
      </c>
      <c r="S18" s="56"/>
      <c r="T18" s="56"/>
      <c r="U18" s="56"/>
      <c r="V18" s="56"/>
      <c r="W18" s="129"/>
    </row>
    <row r="19" spans="2:23" s="131" customFormat="1">
      <c r="B19" s="171" t="s">
        <v>702</v>
      </c>
      <c r="C19" s="261" t="s">
        <v>35</v>
      </c>
      <c r="D19" s="140">
        <v>1155.9193851744003</v>
      </c>
      <c r="E19" s="140">
        <v>1155.9193851744003</v>
      </c>
      <c r="F19" s="140">
        <v>1240</v>
      </c>
      <c r="G19" s="140">
        <v>1240</v>
      </c>
      <c r="H19" s="140">
        <v>1240</v>
      </c>
      <c r="I19" s="140">
        <v>2311.8387703488006</v>
      </c>
      <c r="J19" s="140">
        <v>2311.8387703488006</v>
      </c>
      <c r="K19" s="140">
        <v>2480</v>
      </c>
      <c r="L19" s="140">
        <v>2480</v>
      </c>
      <c r="M19" s="140">
        <v>2480</v>
      </c>
      <c r="N19" s="140">
        <v>1240</v>
      </c>
      <c r="O19" s="140">
        <v>1240</v>
      </c>
      <c r="P19" s="259">
        <f>SUM(D19:O19)</f>
        <v>20575.516311046402</v>
      </c>
      <c r="Q19" s="173" t="s">
        <v>35</v>
      </c>
      <c r="S19" s="56"/>
      <c r="T19" s="56"/>
      <c r="U19" s="56"/>
      <c r="V19" s="56"/>
      <c r="W19" s="129"/>
    </row>
    <row r="20" spans="2:23" s="131" customFormat="1">
      <c r="B20" s="171"/>
      <c r="C20" s="260" t="s">
        <v>34</v>
      </c>
      <c r="D20" s="255">
        <v>1230.4948293792004</v>
      </c>
      <c r="E20" s="255">
        <v>1230.4948293792004</v>
      </c>
      <c r="F20" s="255">
        <v>1240</v>
      </c>
      <c r="G20" s="255">
        <v>1240</v>
      </c>
      <c r="H20" s="255">
        <v>1968.7917270067207</v>
      </c>
      <c r="I20" s="255">
        <v>2460.9896587584008</v>
      </c>
      <c r="J20" s="255">
        <v>2460.9896587584008</v>
      </c>
      <c r="K20" s="255">
        <v>2480</v>
      </c>
      <c r="L20" s="255">
        <v>2480</v>
      </c>
      <c r="M20" s="255">
        <v>2480</v>
      </c>
      <c r="N20" s="255">
        <v>1240</v>
      </c>
      <c r="O20" s="255">
        <v>1240</v>
      </c>
      <c r="P20" s="256">
        <f>SUM(D20:O20)</f>
        <v>21751.760703281921</v>
      </c>
      <c r="Q20" s="257" t="s">
        <v>34</v>
      </c>
      <c r="S20" s="56"/>
      <c r="T20" s="56"/>
      <c r="U20" s="56"/>
      <c r="V20" s="56"/>
      <c r="W20" s="129"/>
    </row>
    <row r="21" spans="2:23" s="131" customFormat="1">
      <c r="B21" s="171"/>
      <c r="C21" s="261" t="s">
        <v>33</v>
      </c>
      <c r="D21" s="140">
        <v>1105.8326737920004</v>
      </c>
      <c r="E21" s="140">
        <v>1105.8326737920004</v>
      </c>
      <c r="F21" s="140">
        <v>1240</v>
      </c>
      <c r="G21" s="140">
        <v>1240</v>
      </c>
      <c r="H21" s="140">
        <v>1240</v>
      </c>
      <c r="I21" s="140">
        <v>2211.6653475840008</v>
      </c>
      <c r="J21" s="140">
        <v>2211.6653475840008</v>
      </c>
      <c r="K21" s="140">
        <v>2480</v>
      </c>
      <c r="L21" s="140">
        <v>2480</v>
      </c>
      <c r="M21" s="140">
        <v>2432.8318823424006</v>
      </c>
      <c r="N21" s="140">
        <v>1240</v>
      </c>
      <c r="O21" s="140">
        <v>1240</v>
      </c>
      <c r="P21" s="259">
        <f>SUM(D21:O21)</f>
        <v>20227.827925094403</v>
      </c>
      <c r="Q21" s="173" t="s">
        <v>33</v>
      </c>
      <c r="S21" s="56"/>
      <c r="T21" s="56"/>
      <c r="U21" s="56"/>
      <c r="V21" s="56"/>
      <c r="W21" s="129"/>
    </row>
    <row r="22" spans="2:23" s="131" customFormat="1">
      <c r="B22" s="171" t="s">
        <v>703</v>
      </c>
      <c r="C22" s="260" t="s">
        <v>35</v>
      </c>
      <c r="D22" s="255">
        <v>1155.9193851744003</v>
      </c>
      <c r="E22" s="255">
        <v>1155.9193851744003</v>
      </c>
      <c r="F22" s="255">
        <v>1240</v>
      </c>
      <c r="G22" s="255">
        <v>1240</v>
      </c>
      <c r="H22" s="255">
        <v>1240</v>
      </c>
      <c r="I22" s="255">
        <v>2311.8387703488006</v>
      </c>
      <c r="J22" s="255">
        <v>2311.8387703488006</v>
      </c>
      <c r="K22" s="255">
        <v>2480</v>
      </c>
      <c r="L22" s="255">
        <v>2480</v>
      </c>
      <c r="M22" s="255">
        <v>2480</v>
      </c>
      <c r="N22" s="255">
        <v>1240</v>
      </c>
      <c r="O22" s="255">
        <v>1240</v>
      </c>
      <c r="P22" s="256">
        <f>SUM(D22:O22)</f>
        <v>20575.516311046402</v>
      </c>
      <c r="Q22" s="257" t="s">
        <v>35</v>
      </c>
      <c r="S22" s="56"/>
      <c r="T22" s="56"/>
      <c r="U22" s="56"/>
      <c r="V22" s="56"/>
      <c r="W22" s="129"/>
    </row>
    <row r="23" spans="2:23" s="131" customFormat="1">
      <c r="B23" s="171"/>
      <c r="C23" s="261" t="s">
        <v>34</v>
      </c>
      <c r="D23" s="140">
        <v>1230.4948293792004</v>
      </c>
      <c r="E23" s="140">
        <v>1230.4948293792004</v>
      </c>
      <c r="F23" s="140">
        <v>1240</v>
      </c>
      <c r="G23" s="140">
        <v>1240</v>
      </c>
      <c r="H23" s="140">
        <v>1968.7917270067207</v>
      </c>
      <c r="I23" s="140">
        <v>2460.9896587584008</v>
      </c>
      <c r="J23" s="140">
        <v>2460.9896587584008</v>
      </c>
      <c r="K23" s="140">
        <v>2480</v>
      </c>
      <c r="L23" s="140">
        <v>2480</v>
      </c>
      <c r="M23" s="140">
        <v>2480</v>
      </c>
      <c r="N23" s="140">
        <v>1240</v>
      </c>
      <c r="O23" s="140">
        <v>1240</v>
      </c>
      <c r="P23" s="259">
        <f>SUM(D23:O23)</f>
        <v>21751.760703281921</v>
      </c>
      <c r="Q23" s="173" t="s">
        <v>34</v>
      </c>
      <c r="S23" s="56"/>
      <c r="T23" s="56"/>
      <c r="U23" s="56"/>
      <c r="V23" s="56"/>
      <c r="W23" s="129"/>
    </row>
    <row r="24" spans="2:23" s="131" customFormat="1">
      <c r="B24" s="171"/>
      <c r="C24" s="260" t="s">
        <v>33</v>
      </c>
      <c r="D24" s="255">
        <v>1105.8326737920004</v>
      </c>
      <c r="E24" s="255">
        <v>1105.8326737920004</v>
      </c>
      <c r="F24" s="255">
        <v>1240</v>
      </c>
      <c r="G24" s="255">
        <v>1240</v>
      </c>
      <c r="H24" s="255">
        <v>1240</v>
      </c>
      <c r="I24" s="255">
        <v>2211.6653475840008</v>
      </c>
      <c r="J24" s="255">
        <v>2211.6653475840008</v>
      </c>
      <c r="K24" s="255">
        <v>2480</v>
      </c>
      <c r="L24" s="255">
        <v>2480</v>
      </c>
      <c r="M24" s="255">
        <v>2432.8318823424006</v>
      </c>
      <c r="N24" s="255">
        <v>1240</v>
      </c>
      <c r="O24" s="255">
        <v>1240</v>
      </c>
      <c r="P24" s="256">
        <f>SUM(D24:O24)</f>
        <v>20227.827925094403</v>
      </c>
      <c r="Q24" s="257" t="s">
        <v>33</v>
      </c>
      <c r="S24" s="56"/>
      <c r="T24" s="56"/>
      <c r="U24" s="56"/>
      <c r="V24" s="56"/>
      <c r="W24" s="129"/>
    </row>
    <row r="25" spans="2:23" s="131" customFormat="1">
      <c r="B25" s="171" t="s">
        <v>704</v>
      </c>
      <c r="C25" s="261" t="s">
        <v>35</v>
      </c>
      <c r="D25" s="140">
        <v>1155.9193851744003</v>
      </c>
      <c r="E25" s="140">
        <v>1155.9193851744003</v>
      </c>
      <c r="F25" s="140">
        <v>1240</v>
      </c>
      <c r="G25" s="140">
        <v>1240</v>
      </c>
      <c r="H25" s="140">
        <v>1240</v>
      </c>
      <c r="I25" s="140">
        <v>2311.8387703488006</v>
      </c>
      <c r="J25" s="140">
        <v>2311.8387703488006</v>
      </c>
      <c r="K25" s="140">
        <v>2480</v>
      </c>
      <c r="L25" s="140">
        <v>2480</v>
      </c>
      <c r="M25" s="140">
        <v>2480</v>
      </c>
      <c r="N25" s="140">
        <v>1240</v>
      </c>
      <c r="O25" s="140">
        <v>1240</v>
      </c>
      <c r="P25" s="259">
        <f>SUM(D25:O25)</f>
        <v>20575.516311046402</v>
      </c>
      <c r="Q25" s="173" t="s">
        <v>35</v>
      </c>
      <c r="S25" s="56"/>
      <c r="T25" s="56"/>
      <c r="U25" s="56"/>
      <c r="V25" s="56"/>
      <c r="W25" s="129"/>
    </row>
    <row r="26" spans="2:23" s="131" customFormat="1">
      <c r="B26" s="171"/>
      <c r="C26" s="260" t="s">
        <v>34</v>
      </c>
      <c r="D26" s="255">
        <v>1230.4948293792004</v>
      </c>
      <c r="E26" s="255">
        <v>1230.4948293792004</v>
      </c>
      <c r="F26" s="255">
        <v>1240</v>
      </c>
      <c r="G26" s="255">
        <v>1240</v>
      </c>
      <c r="H26" s="255">
        <v>1968.7917270067207</v>
      </c>
      <c r="I26" s="255">
        <v>2460.9896587584008</v>
      </c>
      <c r="J26" s="255">
        <v>2460.9896587584008</v>
      </c>
      <c r="K26" s="255">
        <v>2480</v>
      </c>
      <c r="L26" s="255">
        <v>2480</v>
      </c>
      <c r="M26" s="255">
        <v>2480</v>
      </c>
      <c r="N26" s="255">
        <v>1240</v>
      </c>
      <c r="O26" s="255">
        <v>1240</v>
      </c>
      <c r="P26" s="256">
        <f>SUM(D26:O26)</f>
        <v>21751.760703281921</v>
      </c>
      <c r="Q26" s="257" t="s">
        <v>34</v>
      </c>
      <c r="S26" s="56"/>
      <c r="T26" s="56"/>
      <c r="U26" s="56"/>
      <c r="V26" s="56"/>
      <c r="W26" s="129"/>
    </row>
    <row r="27" spans="2:23" s="131" customFormat="1">
      <c r="B27" s="171"/>
      <c r="C27" s="261" t="s">
        <v>33</v>
      </c>
      <c r="D27" s="140">
        <v>1105.8326737920004</v>
      </c>
      <c r="E27" s="140">
        <v>1105.8326737920004</v>
      </c>
      <c r="F27" s="140">
        <v>1240</v>
      </c>
      <c r="G27" s="140">
        <v>1240</v>
      </c>
      <c r="H27" s="140">
        <v>1240</v>
      </c>
      <c r="I27" s="140">
        <v>2211.6653475840008</v>
      </c>
      <c r="J27" s="140">
        <v>2211.6653475840008</v>
      </c>
      <c r="K27" s="140">
        <v>2480</v>
      </c>
      <c r="L27" s="140">
        <v>2480</v>
      </c>
      <c r="M27" s="140">
        <v>2432.8318823424006</v>
      </c>
      <c r="N27" s="140">
        <v>1240</v>
      </c>
      <c r="O27" s="140">
        <v>1240</v>
      </c>
      <c r="P27" s="259">
        <f>SUM(D27:O27)</f>
        <v>20227.827925094403</v>
      </c>
      <c r="Q27" s="173" t="s">
        <v>33</v>
      </c>
      <c r="S27" s="56"/>
      <c r="T27" s="56"/>
      <c r="U27" s="56"/>
      <c r="V27" s="56"/>
      <c r="W27" s="129"/>
    </row>
    <row r="28" spans="2:23" s="131" customFormat="1">
      <c r="B28" s="171" t="s">
        <v>705</v>
      </c>
      <c r="C28" s="260" t="s">
        <v>35</v>
      </c>
      <c r="D28" s="255">
        <v>2067.0782712607047</v>
      </c>
      <c r="E28" s="255">
        <v>2067.0782712607047</v>
      </c>
      <c r="F28" s="255">
        <v>2067.0782712607047</v>
      </c>
      <c r="G28" s="255">
        <v>8117.8869407328011</v>
      </c>
      <c r="H28" s="255">
        <v>7460.6284658040659</v>
      </c>
      <c r="I28" s="255">
        <v>9889.953716308195</v>
      </c>
      <c r="J28" s="255">
        <v>9889.953716308195</v>
      </c>
      <c r="K28" s="255">
        <v>8627.4314214463848</v>
      </c>
      <c r="L28" s="255">
        <v>8627.4314214463848</v>
      </c>
      <c r="M28" s="255">
        <v>7639.4952681388013</v>
      </c>
      <c r="N28" s="255">
        <v>1837.6062322946175</v>
      </c>
      <c r="O28" s="255">
        <v>1837.6062322946175</v>
      </c>
      <c r="P28" s="256">
        <f>SUM(D28:O28)</f>
        <v>70129.228228556181</v>
      </c>
      <c r="Q28" s="257" t="s">
        <v>35</v>
      </c>
      <c r="S28" s="56"/>
      <c r="T28" s="56"/>
      <c r="U28" s="56"/>
      <c r="V28" s="56"/>
      <c r="W28" s="129"/>
    </row>
    <row r="29" spans="2:23" s="131" customFormat="1">
      <c r="B29" s="171"/>
      <c r="C29" s="261" t="s">
        <v>34</v>
      </c>
      <c r="D29" s="140">
        <v>2088.8150943396226</v>
      </c>
      <c r="E29" s="140">
        <v>2088.8150943396226</v>
      </c>
      <c r="F29" s="140">
        <v>2088.8150943396226</v>
      </c>
      <c r="G29" s="140">
        <v>9217.7296875417615</v>
      </c>
      <c r="H29" s="140">
        <v>8601.9580419580434</v>
      </c>
      <c r="I29" s="140">
        <v>11067.557840616966</v>
      </c>
      <c r="J29" s="140">
        <v>11067.557840616966</v>
      </c>
      <c r="K29" s="140">
        <v>9785.550972304065</v>
      </c>
      <c r="L29" s="140">
        <v>9785.550972304065</v>
      </c>
      <c r="M29" s="140">
        <v>8796.7580452920138</v>
      </c>
      <c r="N29" s="140">
        <v>1867.8454530116414</v>
      </c>
      <c r="O29" s="140">
        <v>1867.8454530116414</v>
      </c>
      <c r="P29" s="259">
        <f>SUM(D29:O29)</f>
        <v>78324.799589676026</v>
      </c>
      <c r="Q29" s="173" t="s">
        <v>34</v>
      </c>
      <c r="S29" s="56"/>
      <c r="T29" s="56"/>
      <c r="U29" s="56"/>
      <c r="V29" s="56"/>
      <c r="W29" s="129"/>
    </row>
    <row r="30" spans="2:23" s="131" customFormat="1">
      <c r="B30" s="171"/>
      <c r="C30" s="260" t="s">
        <v>33</v>
      </c>
      <c r="D30" s="255">
        <v>2948.8871301120007</v>
      </c>
      <c r="E30" s="255">
        <v>2948.8871301120007</v>
      </c>
      <c r="F30" s="255">
        <v>2948.8871301120007</v>
      </c>
      <c r="G30" s="255">
        <v>10514.775160599573</v>
      </c>
      <c r="H30" s="255">
        <v>10472.168905950095</v>
      </c>
      <c r="I30" s="255">
        <v>12999.687987519501</v>
      </c>
      <c r="J30" s="255">
        <v>12999.687987519501</v>
      </c>
      <c r="K30" s="255">
        <v>11670.588235294119</v>
      </c>
      <c r="L30" s="255">
        <v>11670.588235294119</v>
      </c>
      <c r="M30" s="255">
        <v>10750.738916256158</v>
      </c>
      <c r="N30" s="255">
        <v>2669.0582959641256</v>
      </c>
      <c r="O30" s="255">
        <v>2669.0582959641256</v>
      </c>
      <c r="P30" s="256">
        <f>SUM(D30:O30)</f>
        <v>95263.013410697327</v>
      </c>
      <c r="Q30" s="257" t="s">
        <v>33</v>
      </c>
      <c r="S30" s="56"/>
      <c r="T30" s="56"/>
      <c r="U30" s="56"/>
      <c r="V30" s="56"/>
      <c r="W30" s="129"/>
    </row>
    <row r="31" spans="2:23" s="131" customFormat="1">
      <c r="B31" s="171" t="s">
        <v>706</v>
      </c>
      <c r="C31" s="261" t="s">
        <v>35</v>
      </c>
      <c r="D31" s="140">
        <v>1991.7098445595855</v>
      </c>
      <c r="E31" s="140">
        <v>2059.2857142857142</v>
      </c>
      <c r="F31" s="140">
        <v>1991.7098445595855</v>
      </c>
      <c r="G31" s="140">
        <v>9298.2957669048919</v>
      </c>
      <c r="H31" s="140">
        <v>9921.8618164512009</v>
      </c>
      <c r="I31" s="140">
        <v>12441.698192517864</v>
      </c>
      <c r="J31" s="140">
        <v>12441.698192517864</v>
      </c>
      <c r="K31" s="140">
        <v>10032.672788786853</v>
      </c>
      <c r="L31" s="140">
        <v>10032.672788786853</v>
      </c>
      <c r="M31" s="140">
        <v>9921.8618164512009</v>
      </c>
      <c r="N31" s="140">
        <v>1991.7098445595855</v>
      </c>
      <c r="O31" s="140">
        <v>2059.2857142857142</v>
      </c>
      <c r="P31" s="259">
        <f>SUM(D31:O31)</f>
        <v>84184.462324666907</v>
      </c>
      <c r="Q31" s="173" t="s">
        <v>35</v>
      </c>
      <c r="S31" s="56"/>
      <c r="T31" s="56"/>
      <c r="U31" s="56"/>
      <c r="V31" s="56"/>
      <c r="W31" s="129"/>
    </row>
    <row r="32" spans="2:23" s="131" customFormat="1">
      <c r="B32" s="171"/>
      <c r="C32" s="260" t="s">
        <v>34</v>
      </c>
      <c r="D32" s="255">
        <v>1969.3399014778324</v>
      </c>
      <c r="E32" s="255">
        <v>2039.3266451283796</v>
      </c>
      <c r="F32" s="255">
        <v>1969.3399014778324</v>
      </c>
      <c r="G32" s="255">
        <v>9264.7972190034761</v>
      </c>
      <c r="H32" s="255">
        <v>9879.1433278418444</v>
      </c>
      <c r="I32" s="255">
        <v>12378.956850444363</v>
      </c>
      <c r="J32" s="255">
        <v>12378.956850444363</v>
      </c>
      <c r="K32" s="255">
        <v>10893.680539822084</v>
      </c>
      <c r="L32" s="255">
        <v>10893.680539822084</v>
      </c>
      <c r="M32" s="255">
        <v>9879.1433278418444</v>
      </c>
      <c r="N32" s="255">
        <v>1969.3399014778324</v>
      </c>
      <c r="O32" s="255">
        <v>2039.3266451283796</v>
      </c>
      <c r="P32" s="256">
        <f>SUM(D32:O32)</f>
        <v>85555.031649910306</v>
      </c>
      <c r="Q32" s="257" t="s">
        <v>34</v>
      </c>
      <c r="S32" s="56"/>
      <c r="T32" s="56"/>
      <c r="U32" s="56"/>
      <c r="V32" s="56"/>
      <c r="W32" s="129"/>
    </row>
    <row r="33" spans="1:23" s="131" customFormat="1">
      <c r="B33" s="171"/>
      <c r="C33" s="261" t="s">
        <v>33</v>
      </c>
      <c r="D33" s="140">
        <v>2735.294117647059</v>
      </c>
      <c r="E33" s="140">
        <v>2861.5384615384614</v>
      </c>
      <c r="F33" s="140">
        <v>2735.294117647059</v>
      </c>
      <c r="G33" s="140">
        <v>10162.251655629139</v>
      </c>
      <c r="H33" s="140">
        <v>10508.474576271186</v>
      </c>
      <c r="I33" s="140">
        <v>13036.295369211513</v>
      </c>
      <c r="J33" s="140">
        <v>13036.295369211513</v>
      </c>
      <c r="K33" s="140">
        <v>11708.15450643777</v>
      </c>
      <c r="L33" s="140">
        <v>11708.15450643777</v>
      </c>
      <c r="M33" s="140">
        <v>10508.474576271186</v>
      </c>
      <c r="N33" s="140">
        <v>2735.294117647059</v>
      </c>
      <c r="O33" s="140">
        <v>2861.5384615384614</v>
      </c>
      <c r="P33" s="259">
        <f>SUM(D33:O33)</f>
        <v>94597.05983548818</v>
      </c>
      <c r="Q33" s="173" t="s">
        <v>33</v>
      </c>
      <c r="S33" s="56"/>
      <c r="T33" s="56"/>
      <c r="U33" s="56"/>
      <c r="V33" s="56"/>
      <c r="W33" s="129"/>
    </row>
    <row r="34" spans="1:23" s="131" customFormat="1">
      <c r="B34" s="171" t="s">
        <v>707</v>
      </c>
      <c r="C34" s="260" t="s">
        <v>35</v>
      </c>
      <c r="D34" s="255">
        <v>252.24184447679909</v>
      </c>
      <c r="E34" s="255">
        <v>658.92461418111634</v>
      </c>
      <c r="F34" s="255">
        <v>0</v>
      </c>
      <c r="G34" s="255">
        <v>119.84825102656032</v>
      </c>
      <c r="H34" s="255">
        <v>266.81414234559998</v>
      </c>
      <c r="I34" s="255">
        <v>658.92461418111634</v>
      </c>
      <c r="J34" s="255">
        <v>658.92461418111634</v>
      </c>
      <c r="K34" s="255">
        <v>154.4409252275218</v>
      </c>
      <c r="L34" s="255">
        <v>154.4409252275218</v>
      </c>
      <c r="M34" s="255">
        <v>266.81414234559998</v>
      </c>
      <c r="N34" s="255">
        <v>0</v>
      </c>
      <c r="O34" s="255">
        <v>0</v>
      </c>
      <c r="P34" s="256">
        <f>SUM(D34:O34)</f>
        <v>3191.374073192952</v>
      </c>
      <c r="Q34" s="257" t="s">
        <v>35</v>
      </c>
      <c r="S34" s="56"/>
      <c r="T34" s="56"/>
      <c r="U34" s="56"/>
      <c r="V34" s="56"/>
      <c r="W34" s="129"/>
    </row>
    <row r="35" spans="1:23" s="131" customFormat="1">
      <c r="B35" s="171"/>
      <c r="C35" s="261" t="s">
        <v>34</v>
      </c>
      <c r="D35" s="140">
        <v>28.515511862398853</v>
      </c>
      <c r="E35" s="140">
        <v>28.515511862398853</v>
      </c>
      <c r="F35" s="140">
        <v>0</v>
      </c>
      <c r="G35" s="140">
        <v>231.4722907827163</v>
      </c>
      <c r="H35" s="140">
        <v>1714.3292702099207</v>
      </c>
      <c r="I35" s="140">
        <v>141.43587961215962</v>
      </c>
      <c r="J35" s="140">
        <v>141.43587961215962</v>
      </c>
      <c r="K35" s="140">
        <v>296.02975645759579</v>
      </c>
      <c r="L35" s="140">
        <v>296.02975645759579</v>
      </c>
      <c r="M35" s="140">
        <v>180.70445123007812</v>
      </c>
      <c r="N35" s="140">
        <v>0</v>
      </c>
      <c r="O35" s="140">
        <v>0</v>
      </c>
      <c r="P35" s="259">
        <f>SUM(D35:O35)</f>
        <v>3058.4683080870236</v>
      </c>
      <c r="Q35" s="173" t="s">
        <v>34</v>
      </c>
      <c r="S35" s="56"/>
      <c r="T35" s="56"/>
      <c r="U35" s="56"/>
      <c r="V35" s="56"/>
      <c r="W35" s="129"/>
    </row>
    <row r="36" spans="1:23" s="131" customFormat="1">
      <c r="B36" s="171"/>
      <c r="C36" s="260" t="s">
        <v>33</v>
      </c>
      <c r="D36" s="255">
        <v>510.11524423680021</v>
      </c>
      <c r="E36" s="255">
        <v>510.11524423679839</v>
      </c>
      <c r="F36" s="255">
        <v>107.61326561280111</v>
      </c>
      <c r="G36" s="255">
        <v>0</v>
      </c>
      <c r="H36" s="255">
        <v>145.22565294591914</v>
      </c>
      <c r="I36" s="255">
        <v>1049.7545508351977</v>
      </c>
      <c r="J36" s="255">
        <v>1049.7545508351977</v>
      </c>
      <c r="K36" s="255">
        <v>244.75059358719591</v>
      </c>
      <c r="L36" s="255">
        <v>244.75059358719591</v>
      </c>
      <c r="M36" s="255">
        <v>386.25494656000228</v>
      </c>
      <c r="N36" s="255">
        <v>45.700712304638728</v>
      </c>
      <c r="O36" s="255">
        <v>0</v>
      </c>
      <c r="P36" s="256">
        <f>SUM(D36:O36)</f>
        <v>4294.0353547417471</v>
      </c>
      <c r="Q36" s="257" t="s">
        <v>33</v>
      </c>
      <c r="S36" s="56"/>
      <c r="T36" s="56"/>
      <c r="U36" s="56"/>
      <c r="V36" s="56"/>
      <c r="W36" s="129"/>
    </row>
    <row r="37" spans="1:23" s="131" customFormat="1" ht="12" thickBot="1">
      <c r="B37" s="171"/>
      <c r="C37" s="261"/>
      <c r="D37" s="140"/>
      <c r="E37" s="140"/>
      <c r="F37" s="140"/>
      <c r="G37" s="140"/>
      <c r="H37" s="140"/>
      <c r="I37" s="140"/>
      <c r="J37" s="140"/>
      <c r="K37" s="140"/>
      <c r="L37" s="140"/>
      <c r="M37" s="140"/>
      <c r="N37" s="140"/>
      <c r="O37" s="140"/>
      <c r="P37" s="259"/>
      <c r="Q37" s="173"/>
      <c r="S37" s="56"/>
      <c r="T37" s="56"/>
      <c r="U37" s="56"/>
      <c r="V37" s="56"/>
      <c r="W37" s="129"/>
    </row>
    <row r="38" spans="1:23" s="9" customFormat="1" ht="12" thickBot="1">
      <c r="B38" s="48" t="s">
        <v>131</v>
      </c>
      <c r="C38" s="188" t="s">
        <v>35</v>
      </c>
      <c r="D38" s="269">
        <f>SUMIF(SalesByYear,"FY-1",SalesJan)</f>
        <v>8680</v>
      </c>
      <c r="E38" s="128">
        <f>SUMIF(SalesByYear,"FY-1",SalesFeb)</f>
        <v>9086.6827697043173</v>
      </c>
      <c r="F38" s="128">
        <f>SUMIF(SalesByYear,"FY-1",SalesMar)</f>
        <v>8680</v>
      </c>
      <c r="G38" s="128">
        <f>SUMIF(SalesByYear,"FY-1",SalesApr)</f>
        <v>22320</v>
      </c>
      <c r="H38" s="128">
        <f>SUMIF(SalesByYear,"FY-1",SalesMay)</f>
        <v>24800</v>
      </c>
      <c r="I38" s="128">
        <f>SUMIF(SalesByYear,"FY-1",SalesJun)</f>
        <v>33480</v>
      </c>
      <c r="J38" s="128">
        <f>SUMIF(SalesByYear,"FY-1",SalesJul)</f>
        <v>33480</v>
      </c>
      <c r="K38" s="128">
        <f>SUMIF(SalesByYear,"FY-1",SalesAug)</f>
        <v>29760</v>
      </c>
      <c r="L38" s="128">
        <f>SUMIF(SalesByYear,"FY-1",SalesSep)</f>
        <v>29760</v>
      </c>
      <c r="M38" s="128">
        <f>SUMIF(SalesByYear,"FY-1",SalesOct)</f>
        <v>28520</v>
      </c>
      <c r="N38" s="128">
        <f>SUMIF(SalesByYear,"FY-1",SalesNov)</f>
        <v>9920</v>
      </c>
      <c r="O38" s="270">
        <f>SUMIF(SalesByYear,"FY-1",SalesDec)</f>
        <v>8680</v>
      </c>
      <c r="P38" s="175">
        <f>SUM(D38:O38)</f>
        <v>247166.68276970432</v>
      </c>
      <c r="Q38" s="127" t="s">
        <v>35</v>
      </c>
      <c r="S38" s="121"/>
      <c r="T38" s="121"/>
      <c r="U38" s="121"/>
      <c r="V38" s="121"/>
      <c r="W38" s="122"/>
    </row>
    <row r="39" spans="1:23" s="9" customFormat="1" ht="12" thickBot="1">
      <c r="B39" s="126" t="s">
        <v>130</v>
      </c>
      <c r="C39" s="275" t="s">
        <v>34</v>
      </c>
      <c r="D39" s="193">
        <f>SUMIF(SalesByYear,"FY-2",SalesJan)</f>
        <v>8680</v>
      </c>
      <c r="E39" s="193">
        <f>SUMIF(SalesByYear,"FY-2",SalesFeb)</f>
        <v>8680</v>
      </c>
      <c r="F39" s="193">
        <f>SUMIF(SalesByYear,"FY-2",SalesMar)</f>
        <v>8680</v>
      </c>
      <c r="G39" s="193">
        <f>SUMIF(SalesByYear,"FY-2",SalesApr)</f>
        <v>23560</v>
      </c>
      <c r="H39" s="193">
        <f>SUMIF(SalesByYear,"FY-2",SalesMay)</f>
        <v>29760.000000000004</v>
      </c>
      <c r="I39" s="193">
        <f>SUMIF(SalesByYear,"FY-2",SalesJun)</f>
        <v>34720</v>
      </c>
      <c r="J39" s="193">
        <f>SUMIF(SalesByYear,"FY-2",SalesJul)</f>
        <v>34720</v>
      </c>
      <c r="K39" s="193">
        <f>SUMIF(SalesByYear,"FY-2",SalesAug)</f>
        <v>32240</v>
      </c>
      <c r="L39" s="193">
        <f>SUMIF(SalesByYear,"FY-2",SalesSep)</f>
        <v>32240</v>
      </c>
      <c r="M39" s="193">
        <f>SUMIF(SalesByYear,"FY-2",SalesOct)</f>
        <v>29759.999999999996</v>
      </c>
      <c r="N39" s="193">
        <f>SUMIF(SalesByYear,"FY-2",SalesNov)</f>
        <v>9920</v>
      </c>
      <c r="O39" s="271">
        <f>SUMIF(SalesByYear,"FY-2",SalesDec)</f>
        <v>8680</v>
      </c>
      <c r="P39" s="174">
        <f>SUM(D39:O39)</f>
        <v>261640</v>
      </c>
      <c r="Q39" s="125" t="s">
        <v>34</v>
      </c>
      <c r="S39" s="121"/>
      <c r="T39" s="121"/>
      <c r="U39" s="121"/>
      <c r="V39" s="121"/>
      <c r="W39" s="122"/>
    </row>
    <row r="40" spans="1:23" s="9" customFormat="1" ht="12" thickBot="1">
      <c r="B40" s="47"/>
      <c r="C40" s="272" t="s">
        <v>33</v>
      </c>
      <c r="D40" s="273">
        <f>SUMIF(SalesByYear,"FY-3",SalesJan)</f>
        <v>11160.000000000002</v>
      </c>
      <c r="E40" s="273">
        <f>SUMIF(SalesByYear,"FY-3",SalesFeb)</f>
        <v>11160</v>
      </c>
      <c r="F40" s="273">
        <f>SUMIF(SalesByYear,"FY-3",SalesMar)</f>
        <v>11160.000000000002</v>
      </c>
      <c r="G40" s="273">
        <f>SUMIF(SalesByYear,"FY-3",SalesApr)</f>
        <v>26040</v>
      </c>
      <c r="H40" s="273">
        <f>SUMIF(SalesByYear,"FY-3",SalesMay)</f>
        <v>29759.999999999996</v>
      </c>
      <c r="I40" s="273">
        <f>SUMIF(SalesByYear,"FY-3",SalesJun)</f>
        <v>38440</v>
      </c>
      <c r="J40" s="273">
        <f>SUMIF(SalesByYear,"FY-3",SalesJul)</f>
        <v>38440</v>
      </c>
      <c r="K40" s="273">
        <f>SUMIF(SalesByYear,"FY-3",SalesAug)</f>
        <v>35960</v>
      </c>
      <c r="L40" s="273">
        <f>SUMIF(SalesByYear,"FY-3",SalesSep)</f>
        <v>35960</v>
      </c>
      <c r="M40" s="273">
        <f>SUMIF(SalesByYear,"FY-3",SalesOct)</f>
        <v>33480</v>
      </c>
      <c r="N40" s="273">
        <f>SUMIF(SalesByYear,"FY-3",SalesNov)</f>
        <v>12400</v>
      </c>
      <c r="O40" s="274">
        <f>SUMIF(SalesByYear,"FY-3",SalesDec)</f>
        <v>11160</v>
      </c>
      <c r="P40" s="124">
        <f>SUM(D40:O40)</f>
        <v>295120</v>
      </c>
      <c r="Q40" s="123" t="s">
        <v>33</v>
      </c>
      <c r="S40" s="121"/>
      <c r="T40" s="121"/>
      <c r="U40" s="121"/>
      <c r="V40" s="121"/>
      <c r="W40" s="122"/>
    </row>
    <row r="41" spans="1:23" s="9" customFormat="1" ht="12" thickBot="1">
      <c r="B41" s="79"/>
      <c r="C41" s="14"/>
      <c r="D41" s="14"/>
      <c r="E41" s="14"/>
      <c r="F41" s="14"/>
      <c r="G41" s="14"/>
      <c r="H41" s="14"/>
      <c r="I41" s="14"/>
      <c r="J41" s="14"/>
      <c r="K41" s="14"/>
      <c r="L41" s="14"/>
      <c r="M41" s="14"/>
      <c r="N41" s="14"/>
      <c r="O41" s="14"/>
      <c r="P41" s="130">
        <f>SUM(P38:P40)</f>
        <v>803926.68276970438</v>
      </c>
      <c r="Q41" s="192" t="s">
        <v>59</v>
      </c>
      <c r="S41" s="121"/>
      <c r="T41" s="121"/>
      <c r="U41" s="121"/>
      <c r="V41" s="121"/>
      <c r="W41" s="120"/>
    </row>
    <row r="42" spans="1:23" s="9" customFormat="1">
      <c r="B42" s="79"/>
      <c r="C42" s="79"/>
      <c r="D42" s="14"/>
      <c r="E42" s="14"/>
      <c r="F42" s="14"/>
      <c r="G42" s="14"/>
      <c r="H42" s="14"/>
      <c r="I42" s="14"/>
      <c r="J42" s="14"/>
      <c r="K42" s="14"/>
      <c r="L42" s="14"/>
      <c r="M42" s="14"/>
      <c r="N42" s="14"/>
      <c r="O42" s="14"/>
      <c r="P42" s="14"/>
      <c r="Q42" s="152"/>
      <c r="R42" s="153"/>
      <c r="S42" s="121"/>
      <c r="T42" s="121"/>
      <c r="U42" s="121"/>
      <c r="V42" s="121"/>
      <c r="W42" s="120"/>
    </row>
    <row r="43" spans="1:23" s="9" customFormat="1">
      <c r="B43" s="79"/>
      <c r="C43" s="79"/>
      <c r="D43" s="14"/>
      <c r="E43" s="14"/>
      <c r="F43" s="14"/>
      <c r="G43" s="14"/>
      <c r="H43" s="14"/>
      <c r="I43" s="14"/>
      <c r="J43" s="14"/>
      <c r="K43" s="14"/>
      <c r="L43" s="14"/>
      <c r="M43" s="14"/>
      <c r="N43" s="14"/>
      <c r="O43" s="14"/>
      <c r="P43" s="14"/>
      <c r="Q43" s="152"/>
      <c r="R43" s="153"/>
      <c r="S43" s="121"/>
      <c r="T43" s="121"/>
      <c r="U43" s="121"/>
      <c r="V43" s="121"/>
      <c r="W43" s="120"/>
    </row>
    <row r="44" spans="1:23" s="9" customFormat="1">
      <c r="B44" s="79"/>
      <c r="C44" s="79"/>
      <c r="D44" s="14"/>
      <c r="E44" s="14"/>
      <c r="F44" s="14"/>
      <c r="G44" s="14"/>
      <c r="H44" s="14"/>
      <c r="I44" s="14"/>
      <c r="J44" s="14"/>
      <c r="K44" s="14"/>
      <c r="L44" s="14"/>
      <c r="M44" s="14"/>
      <c r="N44" s="14"/>
      <c r="O44" s="14"/>
      <c r="P44" s="14"/>
      <c r="Q44" s="69"/>
      <c r="R44" s="121"/>
      <c r="S44" s="121"/>
      <c r="T44" s="121"/>
      <c r="U44" s="121"/>
      <c r="V44" s="121"/>
      <c r="W44" s="120"/>
    </row>
    <row r="45" spans="1:23" s="9" customFormat="1" ht="15.75">
      <c r="A45" s="228">
        <v>2</v>
      </c>
      <c r="B45" s="165" t="s">
        <v>402</v>
      </c>
      <c r="C45" s="164"/>
      <c r="D45" s="164"/>
      <c r="E45" s="14"/>
      <c r="F45" s="14"/>
      <c r="G45" s="14"/>
      <c r="H45" s="14"/>
      <c r="I45" s="14"/>
      <c r="J45" s="79"/>
      <c r="K45" s="14"/>
      <c r="L45" s="14"/>
      <c r="M45" s="14"/>
      <c r="N45" s="14"/>
      <c r="O45" s="14"/>
      <c r="P45" s="14"/>
      <c r="Q45" s="69"/>
      <c r="R45" s="121"/>
      <c r="S45" s="121"/>
      <c r="T45" s="121"/>
      <c r="U45" s="121"/>
      <c r="V45" s="121"/>
      <c r="W45" s="120"/>
    </row>
    <row r="46" spans="1:23" s="9" customFormat="1">
      <c r="B46" s="79"/>
      <c r="C46" s="79"/>
      <c r="D46" s="14"/>
      <c r="E46" s="14"/>
      <c r="F46" s="14"/>
      <c r="G46" s="14"/>
      <c r="H46" s="14"/>
      <c r="I46" s="14"/>
      <c r="J46" s="14"/>
      <c r="K46" s="14"/>
      <c r="L46" s="14"/>
      <c r="M46" s="14"/>
      <c r="N46" s="14"/>
      <c r="O46" s="14"/>
      <c r="P46" s="14"/>
      <c r="Q46" s="69"/>
      <c r="R46" s="121"/>
      <c r="S46" s="121"/>
      <c r="T46" s="121"/>
      <c r="U46" s="121"/>
      <c r="V46" s="121"/>
      <c r="W46" s="120"/>
    </row>
    <row r="47" spans="1:23" s="9" customFormat="1">
      <c r="B47" s="79"/>
      <c r="C47" s="79"/>
      <c r="D47" s="14"/>
      <c r="E47" s="14"/>
      <c r="F47" s="14"/>
      <c r="G47" s="14"/>
      <c r="H47" s="14"/>
      <c r="I47" s="14"/>
      <c r="J47" s="14"/>
      <c r="K47" s="14"/>
      <c r="L47" s="14"/>
      <c r="M47" s="14"/>
      <c r="N47" s="14"/>
      <c r="O47" s="14"/>
      <c r="P47" s="14"/>
      <c r="Q47" s="69"/>
      <c r="R47" s="121"/>
      <c r="S47" s="121"/>
      <c r="T47" s="121"/>
      <c r="U47" s="121"/>
      <c r="V47" s="121"/>
      <c r="W47" s="120"/>
    </row>
    <row r="48" spans="1:23" s="9" customFormat="1">
      <c r="B48" s="49"/>
      <c r="C48" s="560"/>
      <c r="E48" s="1459" t="s">
        <v>390</v>
      </c>
      <c r="F48" s="1460"/>
      <c r="G48" s="1460"/>
      <c r="H48" s="1461"/>
      <c r="I48" s="55"/>
      <c r="J48" s="55"/>
      <c r="K48" s="59"/>
      <c r="L48" s="18"/>
      <c r="M48" s="18"/>
      <c r="N48" s="14"/>
      <c r="O48" s="14"/>
      <c r="P48" s="14"/>
      <c r="Q48" s="69"/>
      <c r="R48" s="121"/>
      <c r="S48" s="121"/>
      <c r="T48" s="121"/>
      <c r="U48" s="121"/>
      <c r="V48" s="121"/>
      <c r="W48" s="120"/>
    </row>
    <row r="49" spans="1:24" s="9" customFormat="1">
      <c r="B49" s="17" t="s">
        <v>66</v>
      </c>
      <c r="C49" s="16" t="s">
        <v>432</v>
      </c>
      <c r="D49" s="60" t="s">
        <v>346</v>
      </c>
      <c r="E49" s="61" t="s">
        <v>65</v>
      </c>
      <c r="F49" s="60" t="s">
        <v>64</v>
      </c>
      <c r="G49" s="60" t="s">
        <v>63</v>
      </c>
      <c r="H49" s="60" t="s">
        <v>59</v>
      </c>
      <c r="I49" s="60" t="s">
        <v>67</v>
      </c>
      <c r="J49" s="49"/>
      <c r="K49" s="49"/>
      <c r="L49" s="140"/>
      <c r="M49" s="18"/>
      <c r="N49" s="18"/>
      <c r="O49" s="14"/>
      <c r="P49" s="14"/>
      <c r="Q49" s="14"/>
      <c r="R49" s="69"/>
      <c r="S49" s="121"/>
      <c r="T49" s="121"/>
      <c r="U49" s="121"/>
      <c r="V49" s="121"/>
      <c r="W49" s="121"/>
      <c r="X49" s="120"/>
    </row>
    <row r="50" spans="1:24" s="131" customFormat="1">
      <c r="B50" s="171" t="s">
        <v>699</v>
      </c>
      <c r="C50" s="54" t="s">
        <v>410</v>
      </c>
      <c r="D50" s="54" t="s">
        <v>69</v>
      </c>
      <c r="E50" s="178">
        <v>0.36</v>
      </c>
      <c r="F50" s="178">
        <v>0.24</v>
      </c>
      <c r="G50" s="178">
        <v>0.33</v>
      </c>
      <c r="H50" s="179">
        <f>SUM(E50:G50)</f>
        <v>0.92999999999999994</v>
      </c>
      <c r="I50" s="180">
        <v>4.49</v>
      </c>
      <c r="J50" s="140"/>
      <c r="K50" s="140"/>
      <c r="L50" s="177"/>
      <c r="M50" s="18"/>
      <c r="N50" s="18"/>
      <c r="O50" s="79"/>
      <c r="P50" s="79"/>
      <c r="Q50" s="79"/>
      <c r="R50" s="71"/>
      <c r="S50" s="121"/>
      <c r="T50" s="121"/>
      <c r="U50" s="121"/>
      <c r="V50" s="121"/>
      <c r="W50" s="121"/>
      <c r="X50" s="120"/>
    </row>
    <row r="51" spans="1:24" s="131" customFormat="1">
      <c r="B51" s="194" t="s">
        <v>700</v>
      </c>
      <c r="C51" s="265" t="s">
        <v>410</v>
      </c>
      <c r="D51" s="265" t="s">
        <v>68</v>
      </c>
      <c r="E51" s="266">
        <v>0.4</v>
      </c>
      <c r="F51" s="266">
        <v>0.24</v>
      </c>
      <c r="G51" s="266">
        <v>0.33</v>
      </c>
      <c r="H51" s="267">
        <f>SUM(E51:G51)</f>
        <v>0.97</v>
      </c>
      <c r="I51" s="268">
        <v>6.99</v>
      </c>
      <c r="J51" s="140"/>
      <c r="K51" s="140"/>
      <c r="L51" s="177"/>
      <c r="M51" s="18"/>
      <c r="N51" s="18"/>
      <c r="O51" s="79"/>
      <c r="P51" s="79"/>
      <c r="Q51" s="79"/>
      <c r="R51" s="71"/>
      <c r="S51" s="121"/>
      <c r="T51" s="121"/>
      <c r="U51" s="121"/>
      <c r="V51" s="121"/>
      <c r="W51" s="121"/>
      <c r="X51" s="120"/>
    </row>
    <row r="52" spans="1:24" s="131" customFormat="1">
      <c r="B52" s="629" t="s">
        <v>701</v>
      </c>
      <c r="C52" s="54" t="s">
        <v>410</v>
      </c>
      <c r="D52" s="54" t="s">
        <v>434</v>
      </c>
      <c r="E52" s="178">
        <v>0.37</v>
      </c>
      <c r="F52" s="178">
        <v>0.24</v>
      </c>
      <c r="G52" s="178">
        <v>0.33</v>
      </c>
      <c r="H52" s="179">
        <f>SUM(E52:G52)</f>
        <v>0.94</v>
      </c>
      <c r="I52" s="180">
        <v>5.49</v>
      </c>
      <c r="J52" s="140"/>
      <c r="K52" s="140"/>
      <c r="L52" s="177"/>
      <c r="M52" s="18"/>
      <c r="N52" s="18"/>
      <c r="O52" s="79"/>
      <c r="P52" s="79"/>
      <c r="Q52" s="79"/>
      <c r="R52" s="71"/>
      <c r="S52" s="121"/>
      <c r="T52" s="121"/>
      <c r="U52" s="121"/>
      <c r="V52" s="121"/>
      <c r="W52" s="121"/>
      <c r="X52" s="120"/>
    </row>
    <row r="53" spans="1:24" s="131" customFormat="1">
      <c r="B53" s="194" t="s">
        <v>702</v>
      </c>
      <c r="C53" s="265" t="s">
        <v>410</v>
      </c>
      <c r="D53" s="265" t="s">
        <v>435</v>
      </c>
      <c r="E53" s="266">
        <v>0.38</v>
      </c>
      <c r="F53" s="266">
        <v>0.24</v>
      </c>
      <c r="G53" s="266">
        <v>0.33</v>
      </c>
      <c r="H53" s="267">
        <f>SUM(E53:G53)</f>
        <v>0.95</v>
      </c>
      <c r="I53" s="268">
        <v>6.99</v>
      </c>
      <c r="J53" s="140"/>
      <c r="K53" s="140"/>
      <c r="L53" s="177"/>
      <c r="M53" s="18"/>
      <c r="N53" s="18"/>
      <c r="O53" s="79"/>
      <c r="P53" s="79"/>
      <c r="Q53" s="79"/>
      <c r="R53" s="71"/>
      <c r="S53" s="121"/>
      <c r="T53" s="121"/>
      <c r="U53" s="121"/>
      <c r="V53" s="121"/>
      <c r="W53" s="121"/>
      <c r="X53" s="120"/>
    </row>
    <row r="54" spans="1:24" s="131" customFormat="1">
      <c r="B54" s="629" t="s">
        <v>703</v>
      </c>
      <c r="C54" s="54" t="s">
        <v>410</v>
      </c>
      <c r="D54" s="54" t="s">
        <v>436</v>
      </c>
      <c r="E54" s="178">
        <v>0.37</v>
      </c>
      <c r="F54" s="178">
        <v>0.24</v>
      </c>
      <c r="G54" s="178">
        <v>0.33</v>
      </c>
      <c r="H54" s="179">
        <f>SUM(E54:G54)</f>
        <v>0.94</v>
      </c>
      <c r="I54" s="180">
        <v>5.99</v>
      </c>
      <c r="J54" s="140"/>
      <c r="K54" s="140"/>
      <c r="L54" s="177"/>
      <c r="M54" s="18"/>
      <c r="N54" s="18"/>
      <c r="O54" s="79"/>
      <c r="P54" s="79"/>
      <c r="Q54" s="79"/>
      <c r="R54" s="71"/>
      <c r="S54" s="121"/>
      <c r="T54" s="121"/>
      <c r="U54" s="121"/>
      <c r="V54" s="121"/>
      <c r="W54" s="121"/>
      <c r="X54" s="120"/>
    </row>
    <row r="55" spans="1:24" s="131" customFormat="1">
      <c r="B55" s="194" t="s">
        <v>704</v>
      </c>
      <c r="C55" s="265" t="s">
        <v>410</v>
      </c>
      <c r="D55" s="265" t="s">
        <v>437</v>
      </c>
      <c r="E55" s="266">
        <v>0.37</v>
      </c>
      <c r="F55" s="266">
        <v>0.24</v>
      </c>
      <c r="G55" s="266">
        <v>0.33</v>
      </c>
      <c r="H55" s="267">
        <f>SUM(E55:G55)</f>
        <v>0.94</v>
      </c>
      <c r="I55" s="268">
        <v>5.99</v>
      </c>
      <c r="J55" s="140"/>
      <c r="K55" s="140"/>
      <c r="L55" s="177"/>
      <c r="M55" s="18"/>
      <c r="N55" s="18"/>
      <c r="O55" s="79"/>
      <c r="P55" s="79"/>
      <c r="Q55" s="79"/>
      <c r="R55" s="71"/>
      <c r="S55" s="121"/>
      <c r="T55" s="121"/>
      <c r="U55" s="121"/>
      <c r="V55" s="121"/>
      <c r="W55" s="121"/>
      <c r="X55" s="120"/>
    </row>
    <row r="56" spans="1:24" s="131" customFormat="1">
      <c r="B56" s="629" t="s">
        <v>705</v>
      </c>
      <c r="C56" s="54" t="s">
        <v>411</v>
      </c>
      <c r="D56" s="54" t="s">
        <v>69</v>
      </c>
      <c r="E56" s="178">
        <v>0.36</v>
      </c>
      <c r="F56" s="178">
        <v>0.24</v>
      </c>
      <c r="G56" s="178">
        <v>0.33</v>
      </c>
      <c r="H56" s="179">
        <f>SUM(E56:G56)</f>
        <v>0.92999999999999994</v>
      </c>
      <c r="I56" s="180">
        <v>2.4500000000000002</v>
      </c>
      <c r="J56" s="140"/>
      <c r="K56" s="140"/>
      <c r="L56" s="177"/>
      <c r="M56" s="18"/>
      <c r="N56" s="18"/>
      <c r="O56" s="79"/>
      <c r="P56" s="79"/>
      <c r="Q56" s="79"/>
      <c r="R56" s="71"/>
      <c r="S56" s="121"/>
      <c r="T56" s="121"/>
      <c r="U56" s="121"/>
      <c r="V56" s="121"/>
      <c r="W56" s="121"/>
      <c r="X56" s="120"/>
    </row>
    <row r="57" spans="1:24" s="131" customFormat="1">
      <c r="B57" s="194" t="s">
        <v>706</v>
      </c>
      <c r="C57" s="265" t="s">
        <v>411</v>
      </c>
      <c r="D57" s="265" t="s">
        <v>68</v>
      </c>
      <c r="E57" s="266">
        <v>0.4</v>
      </c>
      <c r="F57" s="266">
        <v>0.24</v>
      </c>
      <c r="G57" s="266">
        <v>0.33</v>
      </c>
      <c r="H57" s="267">
        <f>SUM(E57:G57)</f>
        <v>0.97</v>
      </c>
      <c r="I57" s="268">
        <v>2.99</v>
      </c>
      <c r="J57" s="140"/>
      <c r="K57" s="140"/>
      <c r="L57" s="177"/>
      <c r="M57" s="18"/>
      <c r="N57" s="18"/>
      <c r="O57" s="79"/>
      <c r="P57" s="79"/>
      <c r="Q57" s="79"/>
      <c r="R57" s="71"/>
      <c r="S57" s="121"/>
      <c r="T57" s="121"/>
      <c r="U57" s="121"/>
      <c r="V57" s="121"/>
      <c r="W57" s="121"/>
      <c r="X57" s="120"/>
    </row>
    <row r="58" spans="1:24" s="131" customFormat="1">
      <c r="B58" s="629" t="s">
        <v>707</v>
      </c>
      <c r="C58" s="54" t="s">
        <v>410</v>
      </c>
      <c r="D58" s="54" t="s">
        <v>447</v>
      </c>
      <c r="E58" s="178">
        <v>0.37</v>
      </c>
      <c r="F58" s="178">
        <v>0.24</v>
      </c>
      <c r="G58" s="178">
        <v>0.33</v>
      </c>
      <c r="H58" s="179">
        <f>SUM(E58:G58)</f>
        <v>0.94</v>
      </c>
      <c r="I58" s="180">
        <v>1.99</v>
      </c>
      <c r="J58" s="140"/>
      <c r="K58" s="140"/>
      <c r="L58" s="177"/>
      <c r="M58" s="18"/>
      <c r="N58" s="18"/>
      <c r="O58" s="79"/>
      <c r="P58" s="79"/>
      <c r="Q58" s="79"/>
      <c r="R58" s="71"/>
      <c r="S58" s="121"/>
      <c r="T58" s="121"/>
      <c r="U58" s="121"/>
      <c r="V58" s="121"/>
      <c r="W58" s="121"/>
      <c r="X58" s="120"/>
    </row>
    <row r="59" spans="1:24" s="131" customFormat="1">
      <c r="B59" s="71"/>
      <c r="C59" s="54"/>
      <c r="D59" s="178"/>
      <c r="E59" s="178"/>
      <c r="F59" s="178"/>
      <c r="G59" s="179"/>
      <c r="H59" s="180"/>
      <c r="I59" s="140"/>
      <c r="J59" s="140"/>
      <c r="K59" s="177"/>
      <c r="L59" s="18"/>
      <c r="M59" s="18"/>
      <c r="N59" s="79"/>
      <c r="O59" s="79"/>
      <c r="P59" s="79"/>
      <c r="Q59" s="71"/>
      <c r="R59" s="121"/>
      <c r="S59" s="121"/>
      <c r="T59" s="121"/>
      <c r="U59" s="121"/>
      <c r="V59" s="121"/>
      <c r="W59" s="120"/>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28">
        <v>3</v>
      </c>
      <c r="B61" s="165" t="s">
        <v>400</v>
      </c>
      <c r="C61" s="165"/>
      <c r="D61" s="49"/>
      <c r="E61" s="69"/>
      <c r="F61" s="49"/>
      <c r="G61" s="49"/>
      <c r="H61" s="49"/>
      <c r="I61" s="49"/>
      <c r="J61" s="49"/>
      <c r="K61" s="49"/>
      <c r="L61" s="49"/>
      <c r="M61" s="119"/>
      <c r="N61" s="181"/>
      <c r="O61" s="49"/>
      <c r="P61" s="49"/>
      <c r="Q61" s="49"/>
      <c r="R61" s="49"/>
      <c r="S61" s="49"/>
      <c r="T61" s="49"/>
      <c r="U61" s="49"/>
      <c r="V61" s="14"/>
      <c r="W61" s="14"/>
    </row>
    <row r="62" spans="1:24" s="131" customFormat="1" ht="15.75">
      <c r="A62" s="190"/>
      <c r="B62" s="191"/>
      <c r="C62" s="18"/>
      <c r="D62" s="18"/>
      <c r="E62" s="71"/>
      <c r="F62" s="18"/>
      <c r="G62" s="18"/>
      <c r="H62" s="18"/>
      <c r="I62" s="18"/>
      <c r="J62" s="18"/>
      <c r="K62" s="18"/>
      <c r="L62" s="18"/>
      <c r="M62" s="75"/>
      <c r="N62" s="181"/>
      <c r="O62" s="18"/>
      <c r="P62" s="18"/>
      <c r="Q62" s="18"/>
      <c r="R62" s="18"/>
      <c r="S62" s="18"/>
      <c r="T62" s="18"/>
      <c r="U62" s="18"/>
      <c r="V62" s="79"/>
      <c r="W62" s="79"/>
    </row>
    <row r="63" spans="1:24" s="9" customFormat="1" ht="12" thickBot="1">
      <c r="B63" s="77"/>
      <c r="C63" s="182"/>
      <c r="D63" s="253"/>
      <c r="E63" s="253"/>
      <c r="F63" s="253"/>
      <c r="G63" s="253"/>
      <c r="H63" s="49"/>
      <c r="I63" s="119"/>
      <c r="J63" s="49"/>
      <c r="K63" s="49"/>
      <c r="L63" s="49"/>
      <c r="M63" s="49"/>
      <c r="N63" s="49"/>
      <c r="O63" s="49"/>
      <c r="P63" s="49"/>
      <c r="Q63" s="49"/>
      <c r="R63" s="49"/>
      <c r="S63" s="49"/>
      <c r="T63" s="49"/>
      <c r="U63" s="49"/>
      <c r="V63" s="14"/>
      <c r="W63" s="14"/>
    </row>
    <row r="64" spans="1:24" s="9" customFormat="1" ht="12" thickBot="1">
      <c r="B64" s="56"/>
      <c r="C64" s="188" t="s">
        <v>35</v>
      </c>
      <c r="D64" s="188" t="s">
        <v>34</v>
      </c>
      <c r="E64" s="184" t="s">
        <v>33</v>
      </c>
      <c r="F64" s="253"/>
      <c r="G64" s="253"/>
      <c r="J64" s="87"/>
      <c r="K64" s="49"/>
      <c r="L64" s="49"/>
      <c r="M64" s="49"/>
      <c r="N64" s="49"/>
      <c r="O64" s="49"/>
      <c r="P64" s="49"/>
      <c r="Q64" s="49"/>
      <c r="R64" s="49"/>
      <c r="S64" s="49"/>
      <c r="T64" s="49"/>
      <c r="U64" s="49"/>
      <c r="V64" s="14"/>
      <c r="W64" s="14"/>
    </row>
    <row r="65" spans="1:49" s="9" customFormat="1">
      <c r="B65" s="195" t="s">
        <v>370</v>
      </c>
      <c r="C65" s="196">
        <f>VLOOKUP(2.11,'Sim-Report'!1:1048576,3+CycleInCalculation,FALSE)</f>
        <v>84000</v>
      </c>
      <c r="D65" s="196">
        <f>VLOOKUP(2.12,'Sim-Report'!1:1048576,3+CycleInCalculation,FALSE)</f>
        <v>92400</v>
      </c>
      <c r="E65" s="196">
        <f>VLOOKUP(2.13,'Sim-Report'!1:1048576,3+CycleInCalculation,FALSE)</f>
        <v>101640</v>
      </c>
      <c r="F65" s="138"/>
      <c r="G65" s="54"/>
      <c r="J65" s="87"/>
      <c r="K65" s="49"/>
      <c r="L65" s="49"/>
      <c r="M65" s="49"/>
      <c r="N65" s="49"/>
      <c r="O65" s="49"/>
      <c r="P65" s="49"/>
      <c r="Q65" s="49"/>
      <c r="R65" s="49"/>
      <c r="S65" s="49"/>
      <c r="T65" s="49"/>
      <c r="U65" s="49"/>
      <c r="V65" s="14"/>
      <c r="W65" s="14"/>
    </row>
    <row r="66" spans="1:49" s="9" customFormat="1">
      <c r="B66" s="56" t="s">
        <v>388</v>
      </c>
      <c r="C66" s="187">
        <f>VLOOKUP(2.31,'Sim-Report'!1:1048576,3+CycleInCalculation,FALSE)</f>
        <v>20500</v>
      </c>
      <c r="D66" s="187">
        <f>VLOOKUP(2.32,'Sim-Report'!1:1048576,3+CycleInCalculation,FALSE)</f>
        <v>27250</v>
      </c>
      <c r="E66" s="187">
        <f>VLOOKUP(2.33,'Sim-Report'!1:1048576,3+CycleInCalculation,FALSE)</f>
        <v>25825</v>
      </c>
      <c r="F66" s="253"/>
      <c r="G66" s="253"/>
      <c r="K66" s="14"/>
      <c r="L66" s="49"/>
      <c r="M66" s="49"/>
      <c r="N66" s="49"/>
      <c r="O66" s="49"/>
      <c r="P66" s="49"/>
      <c r="Q66" s="49"/>
      <c r="R66" s="49"/>
      <c r="S66" s="49"/>
      <c r="T66" s="49"/>
      <c r="U66" s="49"/>
      <c r="V66" s="49"/>
      <c r="W66" s="14"/>
    </row>
    <row r="67" spans="1:49" s="9" customFormat="1">
      <c r="B67" s="195" t="s">
        <v>366</v>
      </c>
      <c r="C67" s="196">
        <f>VLOOKUP(2.41,'Sim-Report'!1:1048576,3+CycleInCalculation,FALSE)</f>
        <v>86900</v>
      </c>
      <c r="D67" s="196">
        <f>VLOOKUP(2.42,'Sim-Report'!1:1048576,3+CycleInCalculation,FALSE)</f>
        <v>95590</v>
      </c>
      <c r="E67" s="196">
        <f>VLOOKUP(2.43,'Sim-Report'!1:1048576,3+CycleInCalculation,FALSE)</f>
        <v>105149</v>
      </c>
      <c r="F67" s="253"/>
      <c r="G67" s="253"/>
      <c r="K67" s="14"/>
      <c r="L67" s="49"/>
      <c r="M67" s="49"/>
      <c r="N67" s="50"/>
      <c r="O67" s="49"/>
      <c r="P67" s="49"/>
      <c r="Q67" s="49"/>
      <c r="R67" s="49"/>
      <c r="S67" s="49"/>
      <c r="T67" s="49"/>
      <c r="U67" s="49"/>
      <c r="V67" s="49"/>
      <c r="W67" s="14"/>
    </row>
    <row r="68" spans="1:49" s="9" customFormat="1">
      <c r="B68" s="56" t="s">
        <v>83</v>
      </c>
      <c r="C68" s="187">
        <f>VLOOKUP(2.51,'Sim-Report'!1:1048576,3+CycleInCalculation,FALSE)</f>
        <v>67500</v>
      </c>
      <c r="D68" s="187">
        <f>VLOOKUP(2.52,'Sim-Report'!1:1048576,3+CycleInCalculation,FALSE)</f>
        <v>74925</v>
      </c>
      <c r="E68" s="187">
        <f>VLOOKUP(2.53,'Sim-Report'!1:1048576,3+CycleInCalculation,FALSE)</f>
        <v>89910</v>
      </c>
      <c r="F68" s="253"/>
      <c r="G68" s="253"/>
      <c r="K68" s="14"/>
      <c r="L68" s="49"/>
      <c r="M68" s="49"/>
      <c r="N68" s="49"/>
      <c r="O68" s="49"/>
      <c r="P68" s="49"/>
      <c r="Q68" s="49"/>
      <c r="R68" s="49"/>
      <c r="S68" s="49"/>
      <c r="T68" s="49"/>
      <c r="U68" s="49"/>
      <c r="V68" s="49"/>
      <c r="W68" s="14"/>
    </row>
    <row r="69" spans="1:49" s="9" customFormat="1">
      <c r="B69" s="195" t="s">
        <v>389</v>
      </c>
      <c r="C69" s="196">
        <f>VLOOKUP(2.61,'Sim-Report'!1:1048576,3+CycleInCalculation,FALSE)</f>
        <v>14156.25</v>
      </c>
      <c r="D69" s="196">
        <f>VLOOKUP(2.62,'Sim-Report'!1:1048576,3+CycleInCalculation,FALSE)</f>
        <v>14156.25</v>
      </c>
      <c r="E69" s="196">
        <f>VLOOKUP(2.63,'Sim-Report'!1:1048576,3+CycleInCalculation,FALSE)</f>
        <v>14156.25</v>
      </c>
      <c r="F69" s="253"/>
      <c r="G69" s="253"/>
      <c r="K69" s="14"/>
      <c r="L69" s="49"/>
      <c r="M69" s="49"/>
      <c r="N69" s="49"/>
      <c r="O69" s="49"/>
      <c r="P69" s="49"/>
      <c r="Q69" s="49"/>
      <c r="R69" s="49"/>
      <c r="S69" s="49"/>
      <c r="T69" s="49"/>
      <c r="U69" s="49"/>
      <c r="V69" s="49"/>
      <c r="W69" s="14"/>
    </row>
    <row r="70" spans="1:49" s="9" customFormat="1">
      <c r="B70" s="18"/>
      <c r="C70" s="139"/>
      <c r="D70" s="18"/>
      <c r="E70" s="18"/>
      <c r="F70" s="49"/>
      <c r="G70" s="49"/>
      <c r="K70" s="14"/>
      <c r="L70" s="49"/>
      <c r="M70" s="49"/>
      <c r="N70" s="49"/>
      <c r="O70" s="49"/>
      <c r="P70" s="49"/>
      <c r="Q70" s="49"/>
      <c r="R70" s="18"/>
      <c r="S70" s="49"/>
      <c r="T70" s="49"/>
      <c r="U70" s="49"/>
      <c r="V70" s="14"/>
      <c r="W70" s="14"/>
    </row>
    <row r="71" spans="1:49" s="9" customFormat="1">
      <c r="B71" s="57" t="s">
        <v>129</v>
      </c>
      <c r="C71" s="185">
        <f>SUM(C65:C70)</f>
        <v>273056.25</v>
      </c>
      <c r="D71" s="183">
        <f>SUM(D65:D70)</f>
        <v>304321.25</v>
      </c>
      <c r="E71" s="183">
        <f>SUM(E65:E70)</f>
        <v>336680.25</v>
      </c>
      <c r="F71" s="49"/>
      <c r="G71" s="49"/>
      <c r="H71" s="50"/>
      <c r="I71" s="50"/>
      <c r="J71" s="50"/>
      <c r="K71" s="14"/>
      <c r="L71" s="14"/>
      <c r="M71" s="14"/>
      <c r="N71" s="14"/>
      <c r="O71" s="14"/>
      <c r="P71" s="14"/>
      <c r="Q71" s="14"/>
      <c r="R71" s="14"/>
      <c r="S71" s="14"/>
      <c r="T71" s="14"/>
      <c r="U71" s="14"/>
      <c r="V71" s="14"/>
      <c r="W71" s="14"/>
    </row>
    <row r="72" spans="1:49" s="9" customFormat="1">
      <c r="B72" s="79"/>
      <c r="C72" s="79"/>
      <c r="D72" s="14"/>
      <c r="E72" s="14"/>
      <c r="F72" s="14"/>
      <c r="G72" s="14"/>
      <c r="H72" s="14"/>
      <c r="I72" s="14"/>
      <c r="J72" s="14"/>
      <c r="K72" s="14"/>
      <c r="L72" s="14"/>
      <c r="M72" s="14"/>
      <c r="N72" s="14"/>
      <c r="O72" s="14"/>
      <c r="P72" s="14"/>
      <c r="Q72" s="253"/>
      <c r="R72" s="121"/>
      <c r="S72" s="121"/>
      <c r="T72" s="121"/>
      <c r="U72" s="121"/>
      <c r="V72" s="121"/>
      <c r="W72" s="120"/>
    </row>
    <row r="73" spans="1:49" s="9" customFormat="1">
      <c r="B73" s="79" t="s">
        <v>681</v>
      </c>
      <c r="C73" s="1246">
        <f>VLOOKUP(2.64,'Sim-Report'!1:1048576,3+CycleInCalculation,FALSE)</f>
        <v>40000</v>
      </c>
      <c r="D73" s="14"/>
      <c r="E73" s="14"/>
      <c r="F73" s="14"/>
      <c r="G73" s="14"/>
      <c r="H73" s="14"/>
      <c r="I73" s="14"/>
      <c r="J73" s="14"/>
      <c r="K73" s="14"/>
      <c r="L73" s="14"/>
      <c r="M73" s="14"/>
      <c r="N73" s="14"/>
      <c r="O73" s="14"/>
      <c r="P73" s="14"/>
      <c r="Q73" s="253"/>
      <c r="R73" s="121"/>
      <c r="S73" s="121"/>
      <c r="T73" s="121"/>
      <c r="U73" s="121"/>
      <c r="V73" s="121"/>
      <c r="W73" s="120"/>
    </row>
    <row r="74" spans="1:49" s="9" customFormat="1">
      <c r="B74" s="79" t="s">
        <v>680</v>
      </c>
      <c r="C74" s="1246">
        <f>VLOOKUP(2,'Sim-Report'!1:1048576,3+CycleInCalculation,FALSE)</f>
        <v>150000</v>
      </c>
      <c r="D74" s="14"/>
      <c r="E74" s="14"/>
      <c r="F74" s="14"/>
      <c r="G74" s="14"/>
      <c r="H74" s="14"/>
      <c r="I74" s="14"/>
      <c r="J74" s="14"/>
      <c r="K74" s="14"/>
      <c r="L74" s="14"/>
      <c r="M74" s="14"/>
      <c r="N74" s="14"/>
      <c r="O74" s="14"/>
      <c r="P74" s="14"/>
      <c r="Q74" s="253"/>
      <c r="R74" s="121"/>
      <c r="S74" s="121"/>
      <c r="T74" s="121"/>
      <c r="U74" s="121"/>
      <c r="V74" s="121"/>
      <c r="W74" s="120"/>
    </row>
    <row r="75" spans="1:49" s="9" customFormat="1">
      <c r="B75" s="58"/>
      <c r="C75" s="118"/>
      <c r="D75" s="49"/>
      <c r="E75" s="49"/>
      <c r="F75" s="49"/>
      <c r="G75" s="49"/>
      <c r="H75" s="50"/>
      <c r="I75" s="50"/>
      <c r="J75" s="50"/>
      <c r="K75" s="14"/>
      <c r="L75" s="14"/>
      <c r="M75" s="14"/>
      <c r="N75" s="14"/>
      <c r="O75" s="14"/>
      <c r="P75" s="14"/>
      <c r="Q75" s="14"/>
      <c r="R75" s="14"/>
      <c r="S75" s="14"/>
      <c r="T75" s="14"/>
      <c r="U75" s="14"/>
      <c r="V75" s="14"/>
      <c r="W75" s="14"/>
    </row>
    <row r="76" spans="1:49" s="9" customFormat="1" ht="16.5" thickBot="1">
      <c r="A76" s="229">
        <v>4</v>
      </c>
      <c r="B76" s="165" t="s">
        <v>399</v>
      </c>
      <c r="C76" s="165"/>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76" t="s">
        <v>35</v>
      </c>
      <c r="E77" s="76" t="s">
        <v>35</v>
      </c>
      <c r="F77" s="76" t="s">
        <v>35</v>
      </c>
      <c r="G77" s="76" t="s">
        <v>35</v>
      </c>
      <c r="H77" s="76" t="s">
        <v>35</v>
      </c>
      <c r="I77" s="76" t="s">
        <v>35</v>
      </c>
      <c r="J77" s="76" t="s">
        <v>35</v>
      </c>
      <c r="K77" s="76" t="s">
        <v>35</v>
      </c>
      <c r="L77" s="76" t="s">
        <v>35</v>
      </c>
      <c r="M77" s="76" t="s">
        <v>35</v>
      </c>
      <c r="N77" s="76" t="s">
        <v>35</v>
      </c>
      <c r="O77" s="76" t="s">
        <v>35</v>
      </c>
      <c r="P77" s="88" t="s">
        <v>128</v>
      </c>
      <c r="Q77" s="14"/>
      <c r="R77" s="14"/>
      <c r="S77" s="14"/>
      <c r="T77" s="14"/>
      <c r="U77" s="14"/>
      <c r="V77" s="14"/>
      <c r="W77" s="14"/>
    </row>
    <row r="78" spans="1:49" s="9" customFormat="1" ht="12" thickBot="1">
      <c r="B78" s="15" t="s">
        <v>115</v>
      </c>
      <c r="C78" s="15"/>
      <c r="D78" s="252" t="s">
        <v>47</v>
      </c>
      <c r="E78" s="252" t="s">
        <v>46</v>
      </c>
      <c r="F78" s="252" t="s">
        <v>45</v>
      </c>
      <c r="G78" s="252" t="s">
        <v>44</v>
      </c>
      <c r="H78" s="252" t="s">
        <v>43</v>
      </c>
      <c r="I78" s="252" t="s">
        <v>42</v>
      </c>
      <c r="J78" s="252" t="s">
        <v>41</v>
      </c>
      <c r="K78" s="252" t="s">
        <v>40</v>
      </c>
      <c r="L78" s="252" t="s">
        <v>39</v>
      </c>
      <c r="M78" s="252" t="s">
        <v>38</v>
      </c>
      <c r="N78" s="252" t="s">
        <v>37</v>
      </c>
      <c r="O78" s="252" t="s">
        <v>36</v>
      </c>
      <c r="P78" s="88" t="s">
        <v>101</v>
      </c>
      <c r="Q78" s="14"/>
      <c r="R78" s="14"/>
      <c r="S78" s="14"/>
      <c r="T78" s="14"/>
      <c r="U78" s="14"/>
      <c r="V78" s="14"/>
      <c r="W78" s="14"/>
    </row>
    <row r="79" spans="1:49" s="9" customFormat="1">
      <c r="B79" s="107" t="s">
        <v>699</v>
      </c>
      <c r="C79" s="77" t="s">
        <v>391</v>
      </c>
      <c r="D79" s="207">
        <f>Price4_36MoPr(VarCostByProduct,B79)</f>
        <v>4.49</v>
      </c>
      <c r="E79" s="106"/>
      <c r="F79" s="106"/>
      <c r="G79" s="106"/>
      <c r="H79" s="105"/>
      <c r="I79" s="100"/>
      <c r="J79" s="100"/>
      <c r="K79" s="100"/>
      <c r="L79" s="100"/>
      <c r="M79" s="100"/>
      <c r="N79" s="100"/>
      <c r="O79" s="100"/>
      <c r="P79" s="83"/>
      <c r="Q79" s="14"/>
      <c r="R79" s="14"/>
      <c r="S79" s="14"/>
      <c r="T79" s="14"/>
      <c r="U79" s="14"/>
      <c r="V79" s="14"/>
      <c r="W79" s="14"/>
      <c r="AW79" s="87"/>
    </row>
    <row r="80" spans="1:49" s="9" customFormat="1">
      <c r="B80" s="58"/>
      <c r="C80" s="77" t="s">
        <v>121</v>
      </c>
      <c r="D80" s="208">
        <f>Varcosts4_36MoPr(VarCostByProduct,B79)</f>
        <v>0.93</v>
      </c>
      <c r="E80" s="100"/>
      <c r="F80" s="100"/>
      <c r="G80" s="100"/>
      <c r="H80" s="100"/>
      <c r="I80" s="100"/>
      <c r="J80" s="100"/>
      <c r="K80" s="100"/>
      <c r="L80" s="100"/>
      <c r="M80" s="100"/>
      <c r="N80" s="100"/>
      <c r="O80" s="100"/>
      <c r="P80" s="83"/>
      <c r="Q80" s="14"/>
      <c r="R80" s="14"/>
      <c r="S80" s="14"/>
      <c r="T80" s="14"/>
      <c r="U80" s="14"/>
      <c r="V80" s="14"/>
      <c r="W80" s="14"/>
      <c r="AW80" s="87"/>
    </row>
    <row r="81" spans="1:49" s="110" customFormat="1">
      <c r="A81" s="9"/>
      <c r="B81" s="58"/>
      <c r="C81" s="205" t="s">
        <v>114</v>
      </c>
      <c r="D81" s="113">
        <f>Sales4_36MoPr(SalesJan,"FY-1",$B79)</f>
        <v>412.92172873929508</v>
      </c>
      <c r="E81" s="117">
        <f>Sales4_36MoPr(SalesFeb,"FY-1",$B79)</f>
        <v>412.92172873929508</v>
      </c>
      <c r="F81" s="117">
        <f>Sales4_36MoPr(SalesMar,"FY-1",$B79)</f>
        <v>412.92172873929508</v>
      </c>
      <c r="G81" s="117">
        <f>Sales4_36MoPr(SalesApr,"FY-1",$B79)</f>
        <v>442.26480824064015</v>
      </c>
      <c r="H81" s="117">
        <f>Sales4_36MoPr(SalesMay,"FY-1",$B79)</f>
        <v>1219.3715341959332</v>
      </c>
      <c r="I81" s="117">
        <f>Sales4_36MoPr(SalesJun,"FY-1",$B79)</f>
        <v>1270.046283691805</v>
      </c>
      <c r="J81" s="117">
        <f>Sales4_36MoPr(SalesJul,"FY-1",$B79)</f>
        <v>1270.046283691805</v>
      </c>
      <c r="K81" s="117">
        <f>Sales4_36MoPr(SalesAug,"FY-1",$B79)</f>
        <v>1292.5685785536161</v>
      </c>
      <c r="L81" s="117">
        <f>Sales4_36MoPr(SalesSep,"FY-1",$B79)</f>
        <v>1292.5685785536161</v>
      </c>
      <c r="M81" s="117">
        <f>Sales4_36MoPr(SalesOct,"FY-1",$B79)</f>
        <v>1040.5047318611987</v>
      </c>
      <c r="N81" s="117">
        <f>Sales4_36MoPr(SalesNov,"FY-1",$B79)</f>
        <v>642.39376770538263</v>
      </c>
      <c r="O81" s="117">
        <f>Sales4_36MoPr(SalesDec,"FY-1",$B79)</f>
        <v>642.39376770538263</v>
      </c>
      <c r="P81" s="1265">
        <f>SUM(D81:O81)</f>
        <v>10350.923520417262</v>
      </c>
      <c r="Q81" s="112"/>
      <c r="R81" s="112"/>
      <c r="S81" s="112"/>
      <c r="T81" s="112"/>
      <c r="U81" s="112"/>
      <c r="V81" s="112"/>
      <c r="W81" s="112"/>
      <c r="AW81" s="111"/>
    </row>
    <row r="82" spans="1:49" s="9" customFormat="1">
      <c r="B82" s="206"/>
      <c r="C82" s="77" t="s">
        <v>113</v>
      </c>
      <c r="D82" s="197">
        <f t="shared" ref="D82:O82" si="0">D81*$D79</f>
        <v>1854.018562039435</v>
      </c>
      <c r="E82" s="84">
        <f t="shared" si="0"/>
        <v>1854.018562039435</v>
      </c>
      <c r="F82" s="84">
        <f t="shared" si="0"/>
        <v>1854.018562039435</v>
      </c>
      <c r="G82" s="84">
        <f t="shared" si="0"/>
        <v>1985.7689890004744</v>
      </c>
      <c r="H82" s="84">
        <f t="shared" si="0"/>
        <v>5474.9781885397406</v>
      </c>
      <c r="I82" s="84">
        <f t="shared" si="0"/>
        <v>5702.5078137762048</v>
      </c>
      <c r="J82" s="84">
        <f t="shared" si="0"/>
        <v>5702.5078137762048</v>
      </c>
      <c r="K82" s="84">
        <f t="shared" si="0"/>
        <v>5803.6329177057369</v>
      </c>
      <c r="L82" s="84">
        <f t="shared" si="0"/>
        <v>5803.6329177057369</v>
      </c>
      <c r="M82" s="84">
        <f t="shared" si="0"/>
        <v>4671.8662460567821</v>
      </c>
      <c r="N82" s="84">
        <f t="shared" si="0"/>
        <v>2884.3480169971681</v>
      </c>
      <c r="O82" s="84">
        <f t="shared" si="0"/>
        <v>2884.3480169971681</v>
      </c>
      <c r="P82" s="95">
        <f>SUM(D82:O82)</f>
        <v>46475.646606673516</v>
      </c>
      <c r="Q82" s="14"/>
      <c r="R82" s="14"/>
      <c r="S82" s="14"/>
      <c r="T82" s="14"/>
      <c r="U82" s="14"/>
      <c r="V82" s="14"/>
      <c r="W82" s="14"/>
      <c r="AW82" s="87"/>
    </row>
    <row r="83" spans="1:49" s="9" customFormat="1">
      <c r="B83" s="58"/>
      <c r="C83" s="77" t="s">
        <v>112</v>
      </c>
      <c r="D83" s="197">
        <f>D81*$D$80</f>
        <v>384.01720772754442</v>
      </c>
      <c r="E83" s="84">
        <f>E81*$D$80</f>
        <v>384.01720772754442</v>
      </c>
      <c r="F83" s="84">
        <f t="shared" ref="F83:O83" si="1">F81*$D80</f>
        <v>384.01720772754442</v>
      </c>
      <c r="G83" s="84">
        <f t="shared" si="1"/>
        <v>411.30627166379537</v>
      </c>
      <c r="H83" s="84">
        <f t="shared" si="1"/>
        <v>1134.0155268022179</v>
      </c>
      <c r="I83" s="84">
        <f t="shared" si="1"/>
        <v>1181.1430438333787</v>
      </c>
      <c r="J83" s="84">
        <f t="shared" si="1"/>
        <v>1181.1430438333787</v>
      </c>
      <c r="K83" s="84">
        <f t="shared" si="1"/>
        <v>1202.088778054863</v>
      </c>
      <c r="L83" s="84">
        <f t="shared" si="1"/>
        <v>1202.088778054863</v>
      </c>
      <c r="M83" s="84">
        <f t="shared" si="1"/>
        <v>967.66940063091488</v>
      </c>
      <c r="N83" s="84">
        <f t="shared" si="1"/>
        <v>597.42620396600591</v>
      </c>
      <c r="O83" s="84">
        <f t="shared" si="1"/>
        <v>597.42620396600591</v>
      </c>
      <c r="P83" s="95">
        <f>SUM(D83:O83)</f>
        <v>9626.3588739880561</v>
      </c>
      <c r="Q83" s="14"/>
      <c r="R83" s="14"/>
      <c r="S83" s="14"/>
      <c r="T83" s="14"/>
      <c r="U83" s="14"/>
      <c r="V83" s="14"/>
      <c r="W83" s="14"/>
      <c r="AW83" s="87"/>
    </row>
    <row r="84" spans="1:49" s="9" customFormat="1">
      <c r="B84" s="58"/>
      <c r="C84" s="77" t="s">
        <v>111</v>
      </c>
      <c r="D84" s="197">
        <f>D82-D83</f>
        <v>1470.0013543118905</v>
      </c>
      <c r="E84" s="84">
        <f t="shared" ref="E84:O84" si="2">E82-E83</f>
        <v>1470.0013543118905</v>
      </c>
      <c r="F84" s="84">
        <f t="shared" si="2"/>
        <v>1470.0013543118905</v>
      </c>
      <c r="G84" s="84">
        <f t="shared" si="2"/>
        <v>1574.4627173366791</v>
      </c>
      <c r="H84" s="84">
        <f t="shared" si="2"/>
        <v>4340.9626617375225</v>
      </c>
      <c r="I84" s="84">
        <f t="shared" si="2"/>
        <v>4521.3647699428257</v>
      </c>
      <c r="J84" s="84">
        <f t="shared" si="2"/>
        <v>4521.3647699428257</v>
      </c>
      <c r="K84" s="84">
        <f t="shared" si="2"/>
        <v>4601.5441396508741</v>
      </c>
      <c r="L84" s="84">
        <f t="shared" si="2"/>
        <v>4601.5441396508741</v>
      </c>
      <c r="M84" s="84">
        <f t="shared" si="2"/>
        <v>3704.1968454258672</v>
      </c>
      <c r="N84" s="84">
        <f t="shared" si="2"/>
        <v>2286.9218130311619</v>
      </c>
      <c r="O84" s="84">
        <f t="shared" si="2"/>
        <v>2286.9218130311619</v>
      </c>
      <c r="P84" s="95">
        <f>SUM(D84:O84)</f>
        <v>36849.287732685472</v>
      </c>
      <c r="Q84" s="14"/>
      <c r="R84" s="14"/>
      <c r="S84" s="14"/>
      <c r="T84" s="14"/>
      <c r="U84" s="14"/>
      <c r="V84" s="14"/>
      <c r="W84" s="14"/>
      <c r="AW84" s="87"/>
    </row>
    <row r="85" spans="1:49" s="9" customFormat="1">
      <c r="B85" s="107" t="s">
        <v>700</v>
      </c>
      <c r="C85" s="77" t="s">
        <v>391</v>
      </c>
      <c r="D85" s="207">
        <f>Price4_36MoPr(VarCostByProduct,B85)</f>
        <v>6.99</v>
      </c>
      <c r="E85" s="106"/>
      <c r="F85" s="106"/>
      <c r="G85" s="106"/>
      <c r="H85" s="105"/>
      <c r="I85" s="100"/>
      <c r="J85" s="100"/>
      <c r="K85" s="100"/>
      <c r="L85" s="100"/>
      <c r="M85" s="100"/>
      <c r="N85" s="100"/>
      <c r="O85" s="100"/>
      <c r="P85" s="95"/>
      <c r="Q85" s="14"/>
      <c r="R85" s="14"/>
      <c r="S85" s="14"/>
      <c r="T85" s="14"/>
      <c r="U85" s="14"/>
      <c r="V85" s="14"/>
      <c r="W85" s="14"/>
      <c r="AW85" s="87"/>
    </row>
    <row r="86" spans="1:49" s="9" customFormat="1">
      <c r="B86" s="58"/>
      <c r="C86" s="77" t="s">
        <v>121</v>
      </c>
      <c r="D86" s="208">
        <f>Varcosts4_36MoPr(VarCostByProduct,B85)</f>
        <v>0.97</v>
      </c>
      <c r="E86" s="100"/>
      <c r="F86" s="100"/>
      <c r="G86" s="100"/>
      <c r="H86" s="100"/>
      <c r="I86" s="100"/>
      <c r="J86" s="100"/>
      <c r="K86" s="100"/>
      <c r="L86" s="100"/>
      <c r="M86" s="100"/>
      <c r="N86" s="100"/>
      <c r="O86" s="100"/>
      <c r="P86" s="95"/>
      <c r="Q86" s="14"/>
      <c r="R86" s="14"/>
      <c r="S86" s="14"/>
      <c r="T86" s="14"/>
      <c r="U86" s="14"/>
      <c r="V86" s="14"/>
      <c r="W86" s="14"/>
      <c r="AW86" s="87"/>
    </row>
    <row r="87" spans="1:49" s="110" customFormat="1">
      <c r="A87" s="9"/>
      <c r="B87" s="58"/>
      <c r="C87" s="205" t="s">
        <v>114</v>
      </c>
      <c r="D87" s="113">
        <f>Sales4_36MoPr(SalesJan,"FY-1",$B85)</f>
        <v>488.29015544041454</v>
      </c>
      <c r="E87" s="117">
        <f>Sales4_36MoPr(SalesFeb,"FY-1",$B85)</f>
        <v>420.71428571428572</v>
      </c>
      <c r="F87" s="117">
        <f>Sales4_36MoPr(SalesMar,"FY-1",$B85)</f>
        <v>488.29015544041454</v>
      </c>
      <c r="G87" s="117">
        <f>Sales4_36MoPr(SalesApr,"FY-1",$B85)</f>
        <v>621.70423309510716</v>
      </c>
      <c r="H87" s="117">
        <f>Sales4_36MoPr(SalesMay,"FY-1",$B85)</f>
        <v>1216.2282226617604</v>
      </c>
      <c r="I87" s="117">
        <f>Sales4_36MoPr(SalesJun,"FY-1",$B85)</f>
        <v>1198.3018074821355</v>
      </c>
      <c r="J87" s="117">
        <f>Sales4_36MoPr(SalesJul,"FY-1",$B85)</f>
        <v>1198.3018074821355</v>
      </c>
      <c r="K87" s="117">
        <f>Sales4_36MoPr(SalesAug,"FY-1",$B85)</f>
        <v>1127.3272112131465</v>
      </c>
      <c r="L87" s="117">
        <f>Sales4_36MoPr(SalesSep,"FY-1",$B85)</f>
        <v>1127.3272112131465</v>
      </c>
      <c r="M87" s="117">
        <f>Sales4_36MoPr(SalesOct,"FY-1",$B85)</f>
        <v>1216.2282226617604</v>
      </c>
      <c r="N87" s="117">
        <f>Sales4_36MoPr(SalesNov,"FY-1",$B85)</f>
        <v>488.29015544041454</v>
      </c>
      <c r="O87" s="117">
        <f>Sales4_36MoPr(SalesDec,"FY-1",$B85)</f>
        <v>420.71428571428572</v>
      </c>
      <c r="P87" s="1265">
        <f>SUM(D87:O87)</f>
        <v>10011.717753559007</v>
      </c>
      <c r="Q87" s="112"/>
      <c r="R87" s="112"/>
      <c r="S87" s="112"/>
      <c r="T87" s="112"/>
      <c r="U87" s="112"/>
      <c r="V87" s="112"/>
      <c r="W87" s="112"/>
      <c r="AW87" s="111"/>
    </row>
    <row r="88" spans="1:49" s="9" customFormat="1">
      <c r="B88" s="206"/>
      <c r="C88" s="77" t="s">
        <v>113</v>
      </c>
      <c r="D88" s="197">
        <f t="shared" ref="D88:O88" si="3">D87*$D85</f>
        <v>3413.1481865284977</v>
      </c>
      <c r="E88" s="84">
        <f t="shared" si="3"/>
        <v>2940.7928571428574</v>
      </c>
      <c r="F88" s="84">
        <f t="shared" si="3"/>
        <v>3413.1481865284977</v>
      </c>
      <c r="G88" s="84">
        <f t="shared" si="3"/>
        <v>4345.7125893347993</v>
      </c>
      <c r="H88" s="84">
        <f t="shared" si="3"/>
        <v>8501.4352764057057</v>
      </c>
      <c r="I88" s="84">
        <f t="shared" si="3"/>
        <v>8376.1296343001268</v>
      </c>
      <c r="J88" s="84">
        <f t="shared" si="3"/>
        <v>8376.1296343001268</v>
      </c>
      <c r="K88" s="84">
        <f t="shared" si="3"/>
        <v>7880.0172063798946</v>
      </c>
      <c r="L88" s="84">
        <f t="shared" si="3"/>
        <v>7880.0172063798946</v>
      </c>
      <c r="M88" s="84">
        <f t="shared" si="3"/>
        <v>8501.4352764057057</v>
      </c>
      <c r="N88" s="84">
        <f t="shared" si="3"/>
        <v>3413.1481865284977</v>
      </c>
      <c r="O88" s="84">
        <f t="shared" si="3"/>
        <v>2940.7928571428574</v>
      </c>
      <c r="P88" s="95">
        <f>SUM(D88:O88)</f>
        <v>69981.907097377465</v>
      </c>
      <c r="Q88" s="14"/>
      <c r="R88" s="14"/>
      <c r="S88" s="14"/>
      <c r="T88" s="14"/>
      <c r="U88" s="14"/>
      <c r="V88" s="14"/>
      <c r="W88" s="14"/>
      <c r="AW88" s="87"/>
    </row>
    <row r="89" spans="1:49" s="9" customFormat="1">
      <c r="B89" s="58"/>
      <c r="C89" s="77" t="s">
        <v>112</v>
      </c>
      <c r="D89" s="197">
        <f>D87*$D$80</f>
        <v>454.10984455958555</v>
      </c>
      <c r="E89" s="84">
        <f>E87*$D$80</f>
        <v>391.26428571428573</v>
      </c>
      <c r="F89" s="84">
        <f t="shared" ref="F89:O89" si="4">F87*$D86</f>
        <v>473.64145077720207</v>
      </c>
      <c r="G89" s="84">
        <f t="shared" si="4"/>
        <v>603.05310610225388</v>
      </c>
      <c r="H89" s="84">
        <f t="shared" si="4"/>
        <v>1179.7413759819076</v>
      </c>
      <c r="I89" s="84">
        <f t="shared" si="4"/>
        <v>1162.3527532576713</v>
      </c>
      <c r="J89" s="84">
        <f t="shared" si="4"/>
        <v>1162.3527532576713</v>
      </c>
      <c r="K89" s="84">
        <f t="shared" si="4"/>
        <v>1093.507394876752</v>
      </c>
      <c r="L89" s="84">
        <f t="shared" si="4"/>
        <v>1093.507394876752</v>
      </c>
      <c r="M89" s="84">
        <f t="shared" si="4"/>
        <v>1179.7413759819076</v>
      </c>
      <c r="N89" s="84">
        <f t="shared" si="4"/>
        <v>473.64145077720207</v>
      </c>
      <c r="O89" s="84">
        <f t="shared" si="4"/>
        <v>408.09285714285716</v>
      </c>
      <c r="P89" s="95">
        <f>SUM(D89:O89)</f>
        <v>9675.0060433060498</v>
      </c>
      <c r="Q89" s="14"/>
      <c r="R89" s="14"/>
      <c r="S89" s="14"/>
      <c r="T89" s="14"/>
      <c r="U89" s="14"/>
      <c r="V89" s="14"/>
      <c r="W89" s="14"/>
      <c r="AW89" s="87"/>
    </row>
    <row r="90" spans="1:49" s="9" customFormat="1">
      <c r="B90" s="58"/>
      <c r="C90" s="77" t="s">
        <v>111</v>
      </c>
      <c r="D90" s="197">
        <f>D88-D89</f>
        <v>2959.0383419689124</v>
      </c>
      <c r="E90" s="84">
        <f t="shared" ref="E90:O90" si="5">E88-E89</f>
        <v>2549.5285714285719</v>
      </c>
      <c r="F90" s="84">
        <f t="shared" si="5"/>
        <v>2939.5067357512958</v>
      </c>
      <c r="G90" s="84">
        <f t="shared" si="5"/>
        <v>3742.6594832325454</v>
      </c>
      <c r="H90" s="84">
        <f t="shared" si="5"/>
        <v>7321.6939004237984</v>
      </c>
      <c r="I90" s="84">
        <f t="shared" si="5"/>
        <v>7213.776881042455</v>
      </c>
      <c r="J90" s="84">
        <f t="shared" si="5"/>
        <v>7213.776881042455</v>
      </c>
      <c r="K90" s="84">
        <f t="shared" si="5"/>
        <v>6786.5098115031424</v>
      </c>
      <c r="L90" s="84">
        <f t="shared" si="5"/>
        <v>6786.5098115031424</v>
      </c>
      <c r="M90" s="84">
        <f t="shared" si="5"/>
        <v>7321.6939004237984</v>
      </c>
      <c r="N90" s="84">
        <f t="shared" si="5"/>
        <v>2939.5067357512958</v>
      </c>
      <c r="O90" s="84">
        <f t="shared" si="5"/>
        <v>2532.7000000000003</v>
      </c>
      <c r="P90" s="95">
        <f>SUM(D90:O90)</f>
        <v>60306.901054071415</v>
      </c>
      <c r="Q90" s="14"/>
      <c r="R90" s="14"/>
      <c r="S90" s="14"/>
      <c r="T90" s="14"/>
      <c r="U90" s="14"/>
      <c r="V90" s="14"/>
      <c r="W90" s="14"/>
      <c r="AW90" s="87"/>
    </row>
    <row r="91" spans="1:49" s="9" customFormat="1">
      <c r="B91" s="107" t="s">
        <v>701</v>
      </c>
      <c r="C91" s="77" t="s">
        <v>391</v>
      </c>
      <c r="D91" s="207">
        <f>Price4_36MoPr(VarCostByProduct,B91)</f>
        <v>5.49</v>
      </c>
      <c r="E91" s="106"/>
      <c r="F91" s="106"/>
      <c r="G91" s="106"/>
      <c r="H91" s="105"/>
      <c r="I91" s="100"/>
      <c r="J91" s="100"/>
      <c r="K91" s="100"/>
      <c r="L91" s="100"/>
      <c r="M91" s="100"/>
      <c r="N91" s="100"/>
      <c r="O91" s="100"/>
      <c r="P91" s="95"/>
      <c r="Q91" s="14"/>
      <c r="R91" s="14"/>
      <c r="S91" s="14"/>
      <c r="T91" s="14"/>
      <c r="U91" s="14"/>
      <c r="V91" s="14"/>
      <c r="W91" s="14"/>
      <c r="AW91" s="87"/>
    </row>
    <row r="92" spans="1:49" s="9" customFormat="1">
      <c r="B92" s="58"/>
      <c r="C92" s="77" t="s">
        <v>121</v>
      </c>
      <c r="D92" s="208">
        <f>Varcosts4_36MoPr(VarCostByProduct,B91)</f>
        <v>0.94</v>
      </c>
      <c r="E92" s="100"/>
      <c r="F92" s="100"/>
      <c r="G92" s="100"/>
      <c r="H92" s="100"/>
      <c r="I92" s="100"/>
      <c r="J92" s="100"/>
      <c r="K92" s="100"/>
      <c r="L92" s="100"/>
      <c r="M92" s="100"/>
      <c r="N92" s="100"/>
      <c r="O92" s="100"/>
      <c r="P92" s="95"/>
      <c r="Q92" s="14"/>
      <c r="R92" s="14"/>
      <c r="S92" s="14"/>
      <c r="T92" s="14"/>
      <c r="U92" s="14"/>
      <c r="V92" s="14"/>
      <c r="W92" s="14"/>
      <c r="AW92" s="87"/>
    </row>
    <row r="93" spans="1:49" s="110" customFormat="1">
      <c r="A93" s="9"/>
      <c r="B93" s="58"/>
      <c r="C93" s="205" t="s">
        <v>114</v>
      </c>
      <c r="D93" s="113">
        <f>Sales4_36MoPr(SalesJan,"FY-1",$B91)</f>
        <v>0</v>
      </c>
      <c r="E93" s="117">
        <f>Sales4_36MoPr(SalesFeb,"FY-1",$B91)</f>
        <v>0</v>
      </c>
      <c r="F93" s="117">
        <f>Sales4_36MoPr(SalesMar,"FY-1",$B91)</f>
        <v>0</v>
      </c>
      <c r="G93" s="117">
        <f>Sales4_36MoPr(SalesApr,"FY-1",$B91)</f>
        <v>0</v>
      </c>
      <c r="H93" s="117">
        <f>Sales4_36MoPr(SalesMay,"FY-1",$B91)</f>
        <v>995.09581854144017</v>
      </c>
      <c r="I93" s="117">
        <f>Sales4_36MoPr(SalesJun,"FY-1",$B91)</f>
        <v>1085.55907477248</v>
      </c>
      <c r="J93" s="117">
        <f>Sales4_36MoPr(SalesJul,"FY-1",$B91)</f>
        <v>1085.55907477248</v>
      </c>
      <c r="K93" s="117">
        <f>Sales4_36MoPr(SalesAug,"FY-1",$B91)</f>
        <v>1085.55907477248</v>
      </c>
      <c r="L93" s="117">
        <f>Sales4_36MoPr(SalesSep,"FY-1",$B91)</f>
        <v>1085.55907477248</v>
      </c>
      <c r="M93" s="117">
        <f>Sales4_36MoPr(SalesOct,"FY-1",$B91)</f>
        <v>995.09581854144017</v>
      </c>
      <c r="N93" s="117">
        <f>Sales4_36MoPr(SalesNov,"FY-1",$B91)</f>
        <v>1240</v>
      </c>
      <c r="O93" s="117">
        <f>Sales4_36MoPr(SalesDec,"FY-1",$B91)</f>
        <v>0</v>
      </c>
      <c r="P93" s="1265">
        <f>SUM(D93:O93)</f>
        <v>7572.4279361728004</v>
      </c>
      <c r="Q93" s="112"/>
      <c r="R93" s="112"/>
      <c r="S93" s="112"/>
      <c r="T93" s="112"/>
      <c r="U93" s="112"/>
      <c r="V93" s="112"/>
      <c r="W93" s="112"/>
      <c r="AW93" s="111"/>
    </row>
    <row r="94" spans="1:49" s="9" customFormat="1">
      <c r="B94" s="206"/>
      <c r="C94" s="77" t="s">
        <v>113</v>
      </c>
      <c r="D94" s="197">
        <f t="shared" ref="D94:O94" si="6">D93*$D91</f>
        <v>0</v>
      </c>
      <c r="E94" s="84">
        <f t="shared" si="6"/>
        <v>0</v>
      </c>
      <c r="F94" s="84">
        <f t="shared" si="6"/>
        <v>0</v>
      </c>
      <c r="G94" s="84">
        <f t="shared" si="6"/>
        <v>0</v>
      </c>
      <c r="H94" s="84">
        <f t="shared" si="6"/>
        <v>5463.0760437925064</v>
      </c>
      <c r="I94" s="84">
        <f t="shared" si="6"/>
        <v>5959.7193205009153</v>
      </c>
      <c r="J94" s="84">
        <f t="shared" si="6"/>
        <v>5959.7193205009153</v>
      </c>
      <c r="K94" s="84">
        <f t="shared" si="6"/>
        <v>5959.7193205009153</v>
      </c>
      <c r="L94" s="84">
        <f t="shared" si="6"/>
        <v>5959.7193205009153</v>
      </c>
      <c r="M94" s="84">
        <f t="shared" si="6"/>
        <v>5463.0760437925064</v>
      </c>
      <c r="N94" s="84">
        <f t="shared" si="6"/>
        <v>6807.6</v>
      </c>
      <c r="O94" s="84">
        <f t="shared" si="6"/>
        <v>0</v>
      </c>
      <c r="P94" s="95">
        <f>SUM(D94:O94)</f>
        <v>41572.629369588678</v>
      </c>
      <c r="Q94" s="14"/>
      <c r="R94" s="14"/>
      <c r="S94" s="14"/>
      <c r="T94" s="14"/>
      <c r="U94" s="14"/>
      <c r="V94" s="14"/>
      <c r="W94" s="14"/>
      <c r="AW94" s="87"/>
    </row>
    <row r="95" spans="1:49" s="9" customFormat="1">
      <c r="B95" s="58"/>
      <c r="C95" s="77" t="s">
        <v>112</v>
      </c>
      <c r="D95" s="197">
        <f>D93*$D$80</f>
        <v>0</v>
      </c>
      <c r="E95" s="84">
        <f>E93*$D$80</f>
        <v>0</v>
      </c>
      <c r="F95" s="84">
        <f t="shared" ref="F95:O95" si="7">F93*$D92</f>
        <v>0</v>
      </c>
      <c r="G95" s="84">
        <f t="shared" si="7"/>
        <v>0</v>
      </c>
      <c r="H95" s="84">
        <f t="shared" si="7"/>
        <v>935.39006942895367</v>
      </c>
      <c r="I95" s="84">
        <f t="shared" si="7"/>
        <v>1020.4255302861311</v>
      </c>
      <c r="J95" s="84">
        <f t="shared" si="7"/>
        <v>1020.4255302861311</v>
      </c>
      <c r="K95" s="84">
        <f t="shared" si="7"/>
        <v>1020.4255302861311</v>
      </c>
      <c r="L95" s="84">
        <f t="shared" si="7"/>
        <v>1020.4255302861311</v>
      </c>
      <c r="M95" s="84">
        <f t="shared" si="7"/>
        <v>935.39006942895367</v>
      </c>
      <c r="N95" s="84">
        <f t="shared" si="7"/>
        <v>1165.5999999999999</v>
      </c>
      <c r="O95" s="84">
        <f t="shared" si="7"/>
        <v>0</v>
      </c>
      <c r="P95" s="95">
        <f>SUM(D95:O95)</f>
        <v>7118.0822600024312</v>
      </c>
      <c r="Q95" s="14"/>
      <c r="R95" s="14"/>
      <c r="S95" s="14"/>
      <c r="T95" s="14"/>
      <c r="U95" s="14"/>
      <c r="V95" s="14"/>
      <c r="W95" s="14"/>
      <c r="AW95" s="87"/>
    </row>
    <row r="96" spans="1:49" s="9" customFormat="1">
      <c r="B96" s="58"/>
      <c r="C96" s="77" t="s">
        <v>111</v>
      </c>
      <c r="D96" s="197">
        <f>D94-D95</f>
        <v>0</v>
      </c>
      <c r="E96" s="84">
        <f t="shared" ref="E96:O96" si="8">E94-E95</f>
        <v>0</v>
      </c>
      <c r="F96" s="84">
        <f t="shared" si="8"/>
        <v>0</v>
      </c>
      <c r="G96" s="84">
        <f t="shared" si="8"/>
        <v>0</v>
      </c>
      <c r="H96" s="84">
        <f t="shared" si="8"/>
        <v>4527.6859743635523</v>
      </c>
      <c r="I96" s="84">
        <f t="shared" si="8"/>
        <v>4939.2937902147842</v>
      </c>
      <c r="J96" s="84">
        <f t="shared" si="8"/>
        <v>4939.2937902147842</v>
      </c>
      <c r="K96" s="84">
        <f t="shared" si="8"/>
        <v>4939.2937902147842</v>
      </c>
      <c r="L96" s="84">
        <f t="shared" si="8"/>
        <v>4939.2937902147842</v>
      </c>
      <c r="M96" s="84">
        <f t="shared" si="8"/>
        <v>4527.6859743635523</v>
      </c>
      <c r="N96" s="84">
        <f t="shared" si="8"/>
        <v>5642</v>
      </c>
      <c r="O96" s="84">
        <f t="shared" si="8"/>
        <v>0</v>
      </c>
      <c r="P96" s="95">
        <f>SUM(D96:O96)</f>
        <v>34454.547109586238</v>
      </c>
      <c r="Q96" s="14"/>
      <c r="R96" s="14"/>
      <c r="S96" s="14"/>
      <c r="T96" s="14"/>
      <c r="U96" s="14"/>
      <c r="V96" s="14"/>
      <c r="W96" s="14"/>
      <c r="AW96" s="87"/>
    </row>
    <row r="97" spans="1:49" s="9" customFormat="1">
      <c r="B97" s="107" t="s">
        <v>702</v>
      </c>
      <c r="C97" s="77" t="s">
        <v>391</v>
      </c>
      <c r="D97" s="207">
        <f>Price4_36MoPr(VarCostByProduct,B97)</f>
        <v>6.99</v>
      </c>
      <c r="E97" s="106"/>
      <c r="F97" s="106"/>
      <c r="G97" s="106"/>
      <c r="H97" s="105"/>
      <c r="I97" s="100"/>
      <c r="J97" s="100"/>
      <c r="K97" s="100"/>
      <c r="L97" s="100"/>
      <c r="M97" s="100"/>
      <c r="N97" s="100"/>
      <c r="O97" s="100"/>
      <c r="P97" s="95"/>
      <c r="Q97" s="14"/>
      <c r="R97" s="14"/>
      <c r="S97" s="14"/>
      <c r="T97" s="14"/>
      <c r="U97" s="14"/>
      <c r="V97" s="14"/>
      <c r="W97" s="14"/>
      <c r="AW97" s="87"/>
    </row>
    <row r="98" spans="1:49" s="9" customFormat="1">
      <c r="B98" s="58"/>
      <c r="C98" s="77" t="s">
        <v>121</v>
      </c>
      <c r="D98" s="208">
        <f>Varcosts4_36MoPr(VarCostByProduct,B97)</f>
        <v>0.95</v>
      </c>
      <c r="E98" s="100"/>
      <c r="F98" s="100"/>
      <c r="G98" s="100"/>
      <c r="H98" s="100"/>
      <c r="I98" s="100"/>
      <c r="J98" s="100"/>
      <c r="K98" s="100"/>
      <c r="L98" s="100"/>
      <c r="M98" s="100"/>
      <c r="N98" s="100"/>
      <c r="O98" s="100"/>
      <c r="P98" s="95"/>
      <c r="Q98" s="14"/>
      <c r="R98" s="14"/>
      <c r="S98" s="14"/>
      <c r="T98" s="14"/>
      <c r="U98" s="14"/>
      <c r="V98" s="14"/>
      <c r="W98" s="14"/>
      <c r="AW98" s="87"/>
    </row>
    <row r="99" spans="1:49" s="110" customFormat="1">
      <c r="A99" s="9"/>
      <c r="B99" s="58"/>
      <c r="C99" s="205" t="s">
        <v>114</v>
      </c>
      <c r="D99" s="113">
        <f>Sales4_36MoPr(SalesJan,"FY-1",$B97)</f>
        <v>1155.9193851744003</v>
      </c>
      <c r="E99" s="117">
        <f>Sales4_36MoPr(SalesFeb,"FY-1",$B97)</f>
        <v>1155.9193851744003</v>
      </c>
      <c r="F99" s="117">
        <f>Sales4_36MoPr(SalesMar,"FY-1",$B97)</f>
        <v>1240</v>
      </c>
      <c r="G99" s="117">
        <f>Sales4_36MoPr(SalesApr,"FY-1",$B97)</f>
        <v>1240</v>
      </c>
      <c r="H99" s="117">
        <f>Sales4_36MoPr(SalesMay,"FY-1",$B97)</f>
        <v>1240</v>
      </c>
      <c r="I99" s="117">
        <f>Sales4_36MoPr(SalesJun,"FY-1",$B97)</f>
        <v>2311.8387703488006</v>
      </c>
      <c r="J99" s="117">
        <f>Sales4_36MoPr(SalesJul,"FY-1",$B97)</f>
        <v>2311.8387703488006</v>
      </c>
      <c r="K99" s="117">
        <f>Sales4_36MoPr(SalesAug,"FY-1",$B97)</f>
        <v>2480</v>
      </c>
      <c r="L99" s="117">
        <f>Sales4_36MoPr(SalesSep,"FY-1",$B97)</f>
        <v>2480</v>
      </c>
      <c r="M99" s="117">
        <f>Sales4_36MoPr(SalesOct,"FY-1",$B97)</f>
        <v>2480</v>
      </c>
      <c r="N99" s="117">
        <f>Sales4_36MoPr(SalesNov,"FY-1",$B97)</f>
        <v>1240</v>
      </c>
      <c r="O99" s="117">
        <f>Sales4_36MoPr(SalesDec,"FY-1",$B97)</f>
        <v>1240</v>
      </c>
      <c r="P99" s="1265">
        <f>SUM(D99:O99)</f>
        <v>20575.516311046402</v>
      </c>
      <c r="Q99" s="112"/>
      <c r="R99" s="112"/>
      <c r="S99" s="112"/>
      <c r="T99" s="112"/>
      <c r="U99" s="112"/>
      <c r="V99" s="112"/>
      <c r="W99" s="112"/>
      <c r="AW99" s="111"/>
    </row>
    <row r="100" spans="1:49" s="9" customFormat="1">
      <c r="B100" s="206"/>
      <c r="C100" s="77" t="s">
        <v>113</v>
      </c>
      <c r="D100" s="197">
        <f t="shared" ref="D100:O100" si="9">D99*$D97</f>
        <v>8079.8765023690585</v>
      </c>
      <c r="E100" s="84">
        <f t="shared" si="9"/>
        <v>8079.8765023690585</v>
      </c>
      <c r="F100" s="84">
        <f t="shared" si="9"/>
        <v>8667.6</v>
      </c>
      <c r="G100" s="84">
        <f t="shared" si="9"/>
        <v>8667.6</v>
      </c>
      <c r="H100" s="84">
        <f t="shared" si="9"/>
        <v>8667.6</v>
      </c>
      <c r="I100" s="84">
        <f t="shared" si="9"/>
        <v>16159.753004738117</v>
      </c>
      <c r="J100" s="84">
        <f t="shared" si="9"/>
        <v>16159.753004738117</v>
      </c>
      <c r="K100" s="84">
        <f t="shared" si="9"/>
        <v>17335.2</v>
      </c>
      <c r="L100" s="84">
        <f t="shared" si="9"/>
        <v>17335.2</v>
      </c>
      <c r="M100" s="84">
        <f t="shared" si="9"/>
        <v>17335.2</v>
      </c>
      <c r="N100" s="84">
        <f t="shared" si="9"/>
        <v>8667.6</v>
      </c>
      <c r="O100" s="84">
        <f t="shared" si="9"/>
        <v>8667.6</v>
      </c>
      <c r="P100" s="95">
        <f>SUM(D100:O100)</f>
        <v>143822.85901421434</v>
      </c>
      <c r="Q100" s="14"/>
      <c r="R100" s="14"/>
      <c r="S100" s="14"/>
      <c r="T100" s="14"/>
      <c r="U100" s="14"/>
      <c r="V100" s="14"/>
      <c r="W100" s="14"/>
      <c r="AW100" s="87"/>
    </row>
    <row r="101" spans="1:49" s="9" customFormat="1">
      <c r="B101" s="58"/>
      <c r="C101" s="77" t="s">
        <v>112</v>
      </c>
      <c r="D101" s="197">
        <f>D99*$D$80</f>
        <v>1075.0050282121924</v>
      </c>
      <c r="E101" s="84">
        <f>E99*$D$80</f>
        <v>1075.0050282121924</v>
      </c>
      <c r="F101" s="84">
        <f t="shared" ref="F101:O101" si="10">F99*$D98</f>
        <v>1178</v>
      </c>
      <c r="G101" s="84">
        <f t="shared" si="10"/>
        <v>1178</v>
      </c>
      <c r="H101" s="84">
        <f t="shared" si="10"/>
        <v>1178</v>
      </c>
      <c r="I101" s="84">
        <f t="shared" si="10"/>
        <v>2196.2468318313604</v>
      </c>
      <c r="J101" s="84">
        <f t="shared" si="10"/>
        <v>2196.2468318313604</v>
      </c>
      <c r="K101" s="84">
        <f t="shared" si="10"/>
        <v>2356</v>
      </c>
      <c r="L101" s="84">
        <f t="shared" si="10"/>
        <v>2356</v>
      </c>
      <c r="M101" s="84">
        <f t="shared" si="10"/>
        <v>2356</v>
      </c>
      <c r="N101" s="84">
        <f t="shared" si="10"/>
        <v>1178</v>
      </c>
      <c r="O101" s="84">
        <f t="shared" si="10"/>
        <v>1178</v>
      </c>
      <c r="P101" s="95">
        <f>SUM(D101:O101)</f>
        <v>19500.503720087105</v>
      </c>
      <c r="Q101" s="14"/>
      <c r="R101" s="14"/>
      <c r="S101" s="14"/>
      <c r="T101" s="14"/>
      <c r="U101" s="14"/>
      <c r="V101" s="14"/>
      <c r="W101" s="14"/>
      <c r="AW101" s="87"/>
    </row>
    <row r="102" spans="1:49" s="9" customFormat="1">
      <c r="B102" s="58"/>
      <c r="C102" s="77" t="s">
        <v>111</v>
      </c>
      <c r="D102" s="197">
        <f>D100-D101</f>
        <v>7004.8714741568656</v>
      </c>
      <c r="E102" s="84">
        <f t="shared" ref="E102:O102" si="11">E100-E101</f>
        <v>7004.8714741568656</v>
      </c>
      <c r="F102" s="84">
        <f t="shared" si="11"/>
        <v>7489.6</v>
      </c>
      <c r="G102" s="84">
        <f t="shared" si="11"/>
        <v>7489.6</v>
      </c>
      <c r="H102" s="84">
        <f t="shared" si="11"/>
        <v>7489.6</v>
      </c>
      <c r="I102" s="84">
        <f t="shared" si="11"/>
        <v>13963.506172906757</v>
      </c>
      <c r="J102" s="84">
        <f t="shared" si="11"/>
        <v>13963.506172906757</v>
      </c>
      <c r="K102" s="84">
        <f t="shared" si="11"/>
        <v>14979.2</v>
      </c>
      <c r="L102" s="84">
        <f t="shared" si="11"/>
        <v>14979.2</v>
      </c>
      <c r="M102" s="84">
        <f t="shared" si="11"/>
        <v>14979.2</v>
      </c>
      <c r="N102" s="84">
        <f t="shared" si="11"/>
        <v>7489.6</v>
      </c>
      <c r="O102" s="84">
        <f t="shared" si="11"/>
        <v>7489.6</v>
      </c>
      <c r="P102" s="95">
        <f>SUM(D102:O102)</f>
        <v>124322.35529412724</v>
      </c>
      <c r="Q102" s="14"/>
      <c r="R102" s="14"/>
      <c r="S102" s="14"/>
      <c r="T102" s="14"/>
      <c r="U102" s="14"/>
      <c r="V102" s="14"/>
      <c r="W102" s="14"/>
      <c r="AW102" s="87"/>
    </row>
    <row r="103" spans="1:49" s="9" customFormat="1">
      <c r="B103" s="107" t="s">
        <v>703</v>
      </c>
      <c r="C103" s="77" t="s">
        <v>391</v>
      </c>
      <c r="D103" s="207">
        <f>Price4_36MoPr(VarCostByProduct,B103)</f>
        <v>5.99</v>
      </c>
      <c r="E103" s="106"/>
      <c r="F103" s="106"/>
      <c r="G103" s="106"/>
      <c r="H103" s="105"/>
      <c r="I103" s="100"/>
      <c r="J103" s="100"/>
      <c r="K103" s="100"/>
      <c r="L103" s="100"/>
      <c r="M103" s="100"/>
      <c r="N103" s="100"/>
      <c r="O103" s="100"/>
      <c r="P103" s="95"/>
      <c r="Q103" s="14"/>
      <c r="R103" s="14"/>
      <c r="S103" s="14"/>
      <c r="T103" s="14"/>
      <c r="U103" s="14"/>
      <c r="V103" s="14"/>
      <c r="W103" s="14"/>
      <c r="AW103" s="87"/>
    </row>
    <row r="104" spans="1:49" s="9" customFormat="1">
      <c r="B104" s="58"/>
      <c r="C104" s="77" t="s">
        <v>121</v>
      </c>
      <c r="D104" s="208">
        <f>Varcosts4_36MoPr(VarCostByProduct,B103)</f>
        <v>0.94</v>
      </c>
      <c r="E104" s="100"/>
      <c r="F104" s="100"/>
      <c r="G104" s="100"/>
      <c r="H104" s="100"/>
      <c r="I104" s="100"/>
      <c r="J104" s="100"/>
      <c r="K104" s="100"/>
      <c r="L104" s="100"/>
      <c r="M104" s="100"/>
      <c r="N104" s="100"/>
      <c r="O104" s="100"/>
      <c r="P104" s="95"/>
      <c r="Q104" s="14"/>
      <c r="R104" s="14"/>
      <c r="S104" s="14"/>
      <c r="T104" s="14"/>
      <c r="U104" s="14"/>
      <c r="V104" s="14"/>
      <c r="W104" s="14"/>
      <c r="AW104" s="87"/>
    </row>
    <row r="105" spans="1:49" s="110" customFormat="1">
      <c r="A105" s="9"/>
      <c r="B105" s="58"/>
      <c r="C105" s="205" t="s">
        <v>114</v>
      </c>
      <c r="D105" s="113">
        <f>Sales4_36MoPr(SalesJan,"FY-1",$B103)</f>
        <v>1155.9193851744003</v>
      </c>
      <c r="E105" s="117">
        <f>Sales4_36MoPr(SalesFeb,"FY-1",$B103)</f>
        <v>1155.9193851744003</v>
      </c>
      <c r="F105" s="117">
        <f>Sales4_36MoPr(SalesMar,"FY-1",$B103)</f>
        <v>1240</v>
      </c>
      <c r="G105" s="117">
        <f>Sales4_36MoPr(SalesApr,"FY-1",$B103)</f>
        <v>1240</v>
      </c>
      <c r="H105" s="117">
        <f>Sales4_36MoPr(SalesMay,"FY-1",$B103)</f>
        <v>1240</v>
      </c>
      <c r="I105" s="117">
        <f>Sales4_36MoPr(SalesJun,"FY-1",$B103)</f>
        <v>2311.8387703488006</v>
      </c>
      <c r="J105" s="117">
        <f>Sales4_36MoPr(SalesJul,"FY-1",$B103)</f>
        <v>2311.8387703488006</v>
      </c>
      <c r="K105" s="117">
        <f>Sales4_36MoPr(SalesAug,"FY-1",$B103)</f>
        <v>2480</v>
      </c>
      <c r="L105" s="117">
        <f>Sales4_36MoPr(SalesSep,"FY-1",$B103)</f>
        <v>2480</v>
      </c>
      <c r="M105" s="117">
        <f>Sales4_36MoPr(SalesOct,"FY-1",$B103)</f>
        <v>2480</v>
      </c>
      <c r="N105" s="117">
        <f>Sales4_36MoPr(SalesNov,"FY-1",$B103)</f>
        <v>1240</v>
      </c>
      <c r="O105" s="117">
        <f>Sales4_36MoPr(SalesDec,"FY-1",$B103)</f>
        <v>1240</v>
      </c>
      <c r="P105" s="1265">
        <f>SUM(D105:O105)</f>
        <v>20575.516311046402</v>
      </c>
      <c r="Q105" s="112"/>
      <c r="R105" s="112"/>
      <c r="S105" s="112"/>
      <c r="T105" s="112"/>
      <c r="U105" s="112"/>
      <c r="V105" s="112"/>
      <c r="W105" s="112"/>
      <c r="AW105" s="111"/>
    </row>
    <row r="106" spans="1:49" s="9" customFormat="1">
      <c r="B106" s="206"/>
      <c r="C106" s="77" t="s">
        <v>113</v>
      </c>
      <c r="D106" s="197">
        <f t="shared" ref="D106:O106" si="12">D105*$D103</f>
        <v>6923.9571171946582</v>
      </c>
      <c r="E106" s="84">
        <f t="shared" si="12"/>
        <v>6923.9571171946582</v>
      </c>
      <c r="F106" s="84">
        <f t="shared" si="12"/>
        <v>7427.6</v>
      </c>
      <c r="G106" s="84">
        <f t="shared" si="12"/>
        <v>7427.6</v>
      </c>
      <c r="H106" s="84">
        <f t="shared" si="12"/>
        <v>7427.6</v>
      </c>
      <c r="I106" s="84">
        <f t="shared" si="12"/>
        <v>13847.914234389316</v>
      </c>
      <c r="J106" s="84">
        <f t="shared" si="12"/>
        <v>13847.914234389316</v>
      </c>
      <c r="K106" s="84">
        <f t="shared" si="12"/>
        <v>14855.2</v>
      </c>
      <c r="L106" s="84">
        <f t="shared" si="12"/>
        <v>14855.2</v>
      </c>
      <c r="M106" s="84">
        <f t="shared" si="12"/>
        <v>14855.2</v>
      </c>
      <c r="N106" s="84">
        <f t="shared" si="12"/>
        <v>7427.6</v>
      </c>
      <c r="O106" s="84">
        <f t="shared" si="12"/>
        <v>7427.6</v>
      </c>
      <c r="P106" s="95">
        <f>SUM(D106:O106)</f>
        <v>123247.34270316796</v>
      </c>
      <c r="Q106" s="14"/>
      <c r="R106" s="14"/>
      <c r="S106" s="14"/>
      <c r="T106" s="14"/>
      <c r="U106" s="14"/>
      <c r="V106" s="14"/>
      <c r="W106" s="14"/>
      <c r="AW106" s="87"/>
    </row>
    <row r="107" spans="1:49" s="9" customFormat="1">
      <c r="B107" s="58"/>
      <c r="C107" s="77" t="s">
        <v>112</v>
      </c>
      <c r="D107" s="197">
        <f>D105*$D$80</f>
        <v>1075.0050282121924</v>
      </c>
      <c r="E107" s="84">
        <f>E105*$D$80</f>
        <v>1075.0050282121924</v>
      </c>
      <c r="F107" s="84">
        <f t="shared" ref="F107:O107" si="13">F105*$D104</f>
        <v>1165.5999999999999</v>
      </c>
      <c r="G107" s="84">
        <f t="shared" si="13"/>
        <v>1165.5999999999999</v>
      </c>
      <c r="H107" s="84">
        <f t="shared" si="13"/>
        <v>1165.5999999999999</v>
      </c>
      <c r="I107" s="84">
        <f t="shared" si="13"/>
        <v>2173.1284441278726</v>
      </c>
      <c r="J107" s="84">
        <f t="shared" si="13"/>
        <v>2173.1284441278726</v>
      </c>
      <c r="K107" s="84">
        <f t="shared" si="13"/>
        <v>2331.1999999999998</v>
      </c>
      <c r="L107" s="84">
        <f t="shared" si="13"/>
        <v>2331.1999999999998</v>
      </c>
      <c r="M107" s="84">
        <f t="shared" si="13"/>
        <v>2331.1999999999998</v>
      </c>
      <c r="N107" s="84">
        <f t="shared" si="13"/>
        <v>1165.5999999999999</v>
      </c>
      <c r="O107" s="84">
        <f t="shared" si="13"/>
        <v>1165.5999999999999</v>
      </c>
      <c r="P107" s="95">
        <f>SUM(D107:O107)</f>
        <v>19317.866944680129</v>
      </c>
      <c r="Q107" s="14"/>
      <c r="R107" s="14"/>
      <c r="S107" s="14"/>
      <c r="T107" s="14"/>
      <c r="U107" s="14"/>
      <c r="V107" s="14"/>
      <c r="W107" s="14"/>
      <c r="AW107" s="87"/>
    </row>
    <row r="108" spans="1:49" s="9" customFormat="1">
      <c r="B108" s="58"/>
      <c r="C108" s="77" t="s">
        <v>111</v>
      </c>
      <c r="D108" s="197">
        <f>D106-D107</f>
        <v>5848.9520889824653</v>
      </c>
      <c r="E108" s="84">
        <f t="shared" ref="E108:O108" si="14">E106-E107</f>
        <v>5848.9520889824653</v>
      </c>
      <c r="F108" s="84">
        <f t="shared" si="14"/>
        <v>6262</v>
      </c>
      <c r="G108" s="84">
        <f t="shared" si="14"/>
        <v>6262</v>
      </c>
      <c r="H108" s="84">
        <f t="shared" si="14"/>
        <v>6262</v>
      </c>
      <c r="I108" s="84">
        <f t="shared" si="14"/>
        <v>11674.785790261443</v>
      </c>
      <c r="J108" s="84">
        <f t="shared" si="14"/>
        <v>11674.785790261443</v>
      </c>
      <c r="K108" s="84">
        <f t="shared" si="14"/>
        <v>12524</v>
      </c>
      <c r="L108" s="84">
        <f t="shared" si="14"/>
        <v>12524</v>
      </c>
      <c r="M108" s="84">
        <f t="shared" si="14"/>
        <v>12524</v>
      </c>
      <c r="N108" s="84">
        <f t="shared" si="14"/>
        <v>6262</v>
      </c>
      <c r="O108" s="84">
        <f t="shared" si="14"/>
        <v>6262</v>
      </c>
      <c r="P108" s="95">
        <f>SUM(D108:O108)</f>
        <v>103929.47575848782</v>
      </c>
      <c r="Q108" s="14"/>
      <c r="R108" s="14"/>
      <c r="S108" s="14"/>
      <c r="T108" s="14"/>
      <c r="U108" s="14"/>
      <c r="V108" s="14"/>
      <c r="W108" s="14"/>
      <c r="AW108" s="87"/>
    </row>
    <row r="109" spans="1:49" s="9" customFormat="1">
      <c r="B109" s="107" t="s">
        <v>704</v>
      </c>
      <c r="C109" s="77" t="s">
        <v>391</v>
      </c>
      <c r="D109" s="207">
        <f>Price4_36MoPr(VarCostByProduct,B109)</f>
        <v>5.99</v>
      </c>
      <c r="E109" s="106"/>
      <c r="F109" s="106"/>
      <c r="G109" s="106"/>
      <c r="H109" s="105"/>
      <c r="I109" s="100"/>
      <c r="J109" s="100"/>
      <c r="K109" s="100"/>
      <c r="L109" s="100"/>
      <c r="M109" s="100"/>
      <c r="N109" s="100"/>
      <c r="O109" s="100"/>
      <c r="P109" s="95"/>
      <c r="Q109" s="14"/>
      <c r="R109" s="14"/>
      <c r="S109" s="14"/>
      <c r="T109" s="14"/>
      <c r="U109" s="14"/>
      <c r="V109" s="14"/>
      <c r="W109" s="14"/>
      <c r="AW109" s="87"/>
    </row>
    <row r="110" spans="1:49" s="9" customFormat="1">
      <c r="B110" s="58"/>
      <c r="C110" s="77" t="s">
        <v>121</v>
      </c>
      <c r="D110" s="208">
        <f>Varcosts4_36MoPr(VarCostByProduct,B109)</f>
        <v>0.94</v>
      </c>
      <c r="E110" s="100"/>
      <c r="F110" s="100"/>
      <c r="G110" s="100"/>
      <c r="H110" s="100"/>
      <c r="I110" s="100"/>
      <c r="J110" s="100"/>
      <c r="K110" s="100"/>
      <c r="L110" s="100"/>
      <c r="M110" s="100"/>
      <c r="N110" s="100"/>
      <c r="O110" s="100"/>
      <c r="P110" s="95"/>
      <c r="Q110" s="14"/>
      <c r="R110" s="14"/>
      <c r="S110" s="14"/>
      <c r="T110" s="14"/>
      <c r="U110" s="14"/>
      <c r="V110" s="14"/>
      <c r="W110" s="14"/>
      <c r="AW110" s="87"/>
    </row>
    <row r="111" spans="1:49" s="110" customFormat="1">
      <c r="A111" s="9"/>
      <c r="B111" s="58"/>
      <c r="C111" s="205" t="s">
        <v>114</v>
      </c>
      <c r="D111" s="113">
        <f>Sales4_36MoPr(SalesJan,"FY-1",$B109)</f>
        <v>1155.9193851744003</v>
      </c>
      <c r="E111" s="117">
        <f>Sales4_36MoPr(SalesFeb,"FY-1",$B109)</f>
        <v>1155.9193851744003</v>
      </c>
      <c r="F111" s="117">
        <f>Sales4_36MoPr(SalesMar,"FY-1",$B109)</f>
        <v>1240</v>
      </c>
      <c r="G111" s="117">
        <f>Sales4_36MoPr(SalesApr,"FY-1",$B109)</f>
        <v>1240</v>
      </c>
      <c r="H111" s="117">
        <f>Sales4_36MoPr(SalesMay,"FY-1",$B109)</f>
        <v>1240</v>
      </c>
      <c r="I111" s="117">
        <f>Sales4_36MoPr(SalesJun,"FY-1",$B109)</f>
        <v>2311.8387703488006</v>
      </c>
      <c r="J111" s="117">
        <f>Sales4_36MoPr(SalesJul,"FY-1",$B109)</f>
        <v>2311.8387703488006</v>
      </c>
      <c r="K111" s="117">
        <f>Sales4_36MoPr(SalesAug,"FY-1",$B109)</f>
        <v>2480</v>
      </c>
      <c r="L111" s="117">
        <f>Sales4_36MoPr(SalesSep,"FY-1",$B109)</f>
        <v>2480</v>
      </c>
      <c r="M111" s="117">
        <f>Sales4_36MoPr(SalesOct,"FY-1",$B109)</f>
        <v>2480</v>
      </c>
      <c r="N111" s="117">
        <f>Sales4_36MoPr(SalesNov,"FY-1",$B109)</f>
        <v>1240</v>
      </c>
      <c r="O111" s="117">
        <f>Sales4_36MoPr(SalesDec,"FY-1",$B109)</f>
        <v>1240</v>
      </c>
      <c r="P111" s="1265">
        <f>SUM(D111:O111)</f>
        <v>20575.516311046402</v>
      </c>
      <c r="Q111" s="112"/>
      <c r="R111" s="112"/>
      <c r="S111" s="112"/>
      <c r="T111" s="112"/>
      <c r="U111" s="112"/>
      <c r="V111" s="112"/>
      <c r="W111" s="112"/>
      <c r="AW111" s="111"/>
    </row>
    <row r="112" spans="1:49" s="9" customFormat="1">
      <c r="B112" s="206"/>
      <c r="C112" s="77" t="s">
        <v>113</v>
      </c>
      <c r="D112" s="197">
        <f t="shared" ref="D112:O112" si="15">D111*$D109</f>
        <v>6923.9571171946582</v>
      </c>
      <c r="E112" s="84">
        <f t="shared" si="15"/>
        <v>6923.9571171946582</v>
      </c>
      <c r="F112" s="84">
        <f t="shared" si="15"/>
        <v>7427.6</v>
      </c>
      <c r="G112" s="84">
        <f t="shared" si="15"/>
        <v>7427.6</v>
      </c>
      <c r="H112" s="84">
        <f t="shared" si="15"/>
        <v>7427.6</v>
      </c>
      <c r="I112" s="84">
        <f t="shared" si="15"/>
        <v>13847.914234389316</v>
      </c>
      <c r="J112" s="84">
        <f t="shared" si="15"/>
        <v>13847.914234389316</v>
      </c>
      <c r="K112" s="84">
        <f t="shared" si="15"/>
        <v>14855.2</v>
      </c>
      <c r="L112" s="84">
        <f t="shared" si="15"/>
        <v>14855.2</v>
      </c>
      <c r="M112" s="84">
        <f t="shared" si="15"/>
        <v>14855.2</v>
      </c>
      <c r="N112" s="84">
        <f t="shared" si="15"/>
        <v>7427.6</v>
      </c>
      <c r="O112" s="84">
        <f t="shared" si="15"/>
        <v>7427.6</v>
      </c>
      <c r="P112" s="95">
        <f>SUM(D112:O112)</f>
        <v>123247.34270316796</v>
      </c>
      <c r="Q112" s="14"/>
      <c r="R112" s="14"/>
      <c r="S112" s="14"/>
      <c r="T112" s="14"/>
      <c r="U112" s="14"/>
      <c r="V112" s="14"/>
      <c r="W112" s="14"/>
      <c r="AW112" s="87"/>
    </row>
    <row r="113" spans="1:49" s="9" customFormat="1">
      <c r="B113" s="58"/>
      <c r="C113" s="77" t="s">
        <v>112</v>
      </c>
      <c r="D113" s="197">
        <f>D111*$D$80</f>
        <v>1075.0050282121924</v>
      </c>
      <c r="E113" s="84">
        <f>E111*$D$80</f>
        <v>1075.0050282121924</v>
      </c>
      <c r="F113" s="84">
        <f t="shared" ref="F113:O113" si="16">F111*$D110</f>
        <v>1165.5999999999999</v>
      </c>
      <c r="G113" s="84">
        <f t="shared" si="16"/>
        <v>1165.5999999999999</v>
      </c>
      <c r="H113" s="84">
        <f t="shared" si="16"/>
        <v>1165.5999999999999</v>
      </c>
      <c r="I113" s="84">
        <f t="shared" si="16"/>
        <v>2173.1284441278726</v>
      </c>
      <c r="J113" s="84">
        <f t="shared" si="16"/>
        <v>2173.1284441278726</v>
      </c>
      <c r="K113" s="84">
        <f t="shared" si="16"/>
        <v>2331.1999999999998</v>
      </c>
      <c r="L113" s="84">
        <f t="shared" si="16"/>
        <v>2331.1999999999998</v>
      </c>
      <c r="M113" s="84">
        <f t="shared" si="16"/>
        <v>2331.1999999999998</v>
      </c>
      <c r="N113" s="84">
        <f t="shared" si="16"/>
        <v>1165.5999999999999</v>
      </c>
      <c r="O113" s="84">
        <f t="shared" si="16"/>
        <v>1165.5999999999999</v>
      </c>
      <c r="P113" s="95">
        <f>SUM(D113:O113)</f>
        <v>19317.866944680129</v>
      </c>
      <c r="Q113" s="14"/>
      <c r="R113" s="14"/>
      <c r="S113" s="14"/>
      <c r="T113" s="14"/>
      <c r="U113" s="14"/>
      <c r="V113" s="14"/>
      <c r="W113" s="14"/>
      <c r="AW113" s="87"/>
    </row>
    <row r="114" spans="1:49" s="9" customFormat="1">
      <c r="B114" s="58"/>
      <c r="C114" s="77" t="s">
        <v>111</v>
      </c>
      <c r="D114" s="197">
        <f>D112-D113</f>
        <v>5848.9520889824653</v>
      </c>
      <c r="E114" s="84">
        <f t="shared" ref="E114:O114" si="17">E112-E113</f>
        <v>5848.9520889824653</v>
      </c>
      <c r="F114" s="84">
        <f t="shared" si="17"/>
        <v>6262</v>
      </c>
      <c r="G114" s="84">
        <f t="shared" si="17"/>
        <v>6262</v>
      </c>
      <c r="H114" s="84">
        <f t="shared" si="17"/>
        <v>6262</v>
      </c>
      <c r="I114" s="84">
        <f t="shared" si="17"/>
        <v>11674.785790261443</v>
      </c>
      <c r="J114" s="84">
        <f t="shared" si="17"/>
        <v>11674.785790261443</v>
      </c>
      <c r="K114" s="84">
        <f t="shared" si="17"/>
        <v>12524</v>
      </c>
      <c r="L114" s="84">
        <f t="shared" si="17"/>
        <v>12524</v>
      </c>
      <c r="M114" s="84">
        <f t="shared" si="17"/>
        <v>12524</v>
      </c>
      <c r="N114" s="84">
        <f t="shared" si="17"/>
        <v>6262</v>
      </c>
      <c r="O114" s="84">
        <f t="shared" si="17"/>
        <v>6262</v>
      </c>
      <c r="P114" s="95">
        <f>SUM(D114:O114)</f>
        <v>103929.47575848782</v>
      </c>
      <c r="Q114" s="14"/>
      <c r="R114" s="14"/>
      <c r="S114" s="14"/>
      <c r="T114" s="14"/>
      <c r="U114" s="14"/>
      <c r="V114" s="14"/>
      <c r="W114" s="14"/>
      <c r="AW114" s="87"/>
    </row>
    <row r="115" spans="1:49" s="9" customFormat="1">
      <c r="B115" s="107" t="s">
        <v>705</v>
      </c>
      <c r="C115" s="77" t="s">
        <v>391</v>
      </c>
      <c r="D115" s="207">
        <f>Price4_36MoPr(VarCostByProduct,B115)</f>
        <v>2.4500000000000002</v>
      </c>
      <c r="E115" s="106"/>
      <c r="F115" s="106"/>
      <c r="G115" s="106"/>
      <c r="H115" s="105"/>
      <c r="I115" s="100"/>
      <c r="J115" s="100"/>
      <c r="K115" s="100"/>
      <c r="L115" s="100"/>
      <c r="M115" s="100"/>
      <c r="N115" s="100"/>
      <c r="O115" s="100"/>
      <c r="P115" s="95"/>
      <c r="Q115" s="14"/>
      <c r="R115" s="14"/>
      <c r="S115" s="14"/>
      <c r="T115" s="14"/>
      <c r="U115" s="14"/>
      <c r="V115" s="14"/>
      <c r="W115" s="14"/>
      <c r="AW115" s="87"/>
    </row>
    <row r="116" spans="1:49" s="9" customFormat="1">
      <c r="B116" s="58"/>
      <c r="C116" s="77" t="s">
        <v>121</v>
      </c>
      <c r="D116" s="208">
        <f>Varcosts4_36MoPr(VarCostByProduct,B115)</f>
        <v>0.93</v>
      </c>
      <c r="E116" s="100"/>
      <c r="F116" s="100"/>
      <c r="G116" s="100"/>
      <c r="H116" s="100"/>
      <c r="I116" s="100"/>
      <c r="J116" s="100"/>
      <c r="K116" s="100"/>
      <c r="L116" s="100"/>
      <c r="M116" s="100"/>
      <c r="N116" s="100"/>
      <c r="O116" s="100"/>
      <c r="P116" s="95"/>
      <c r="Q116" s="14"/>
      <c r="R116" s="14"/>
      <c r="S116" s="14"/>
      <c r="T116" s="14"/>
      <c r="U116" s="14"/>
      <c r="V116" s="14"/>
      <c r="W116" s="14"/>
      <c r="AW116" s="87"/>
    </row>
    <row r="117" spans="1:49" s="110" customFormat="1">
      <c r="A117" s="9"/>
      <c r="B117" s="58"/>
      <c r="C117" s="205" t="s">
        <v>114</v>
      </c>
      <c r="D117" s="113">
        <f>Sales4_36MoPr(SalesJan,"FY-1",$B115)</f>
        <v>2067.0782712607047</v>
      </c>
      <c r="E117" s="117">
        <f>Sales4_36MoPr(SalesFeb,"FY-1",$B115)</f>
        <v>2067.0782712607047</v>
      </c>
      <c r="F117" s="117">
        <f>Sales4_36MoPr(SalesMar,"FY-1",$B115)</f>
        <v>2067.0782712607047</v>
      </c>
      <c r="G117" s="117">
        <f>Sales4_36MoPr(SalesApr,"FY-1",$B115)</f>
        <v>8117.8869407328011</v>
      </c>
      <c r="H117" s="117">
        <f>Sales4_36MoPr(SalesMay,"FY-1",$B115)</f>
        <v>7460.6284658040659</v>
      </c>
      <c r="I117" s="117">
        <f>Sales4_36MoPr(SalesJun,"FY-1",$B115)</f>
        <v>9889.953716308195</v>
      </c>
      <c r="J117" s="117">
        <f>Sales4_36MoPr(SalesJul,"FY-1",$B115)</f>
        <v>9889.953716308195</v>
      </c>
      <c r="K117" s="117">
        <f>Sales4_36MoPr(SalesAug,"FY-1",$B115)</f>
        <v>8627.4314214463848</v>
      </c>
      <c r="L117" s="117">
        <f>Sales4_36MoPr(SalesSep,"FY-1",$B115)</f>
        <v>8627.4314214463848</v>
      </c>
      <c r="M117" s="117">
        <f>Sales4_36MoPr(SalesOct,"FY-1",$B115)</f>
        <v>7639.4952681388013</v>
      </c>
      <c r="N117" s="117">
        <f>Sales4_36MoPr(SalesNov,"FY-1",$B115)</f>
        <v>1837.6062322946175</v>
      </c>
      <c r="O117" s="117">
        <f>Sales4_36MoPr(SalesDec,"FY-1",$B115)</f>
        <v>1837.6062322946175</v>
      </c>
      <c r="P117" s="1265">
        <f>SUM(D117:O117)</f>
        <v>70129.228228556181</v>
      </c>
      <c r="Q117" s="112"/>
      <c r="R117" s="112"/>
      <c r="S117" s="112"/>
      <c r="T117" s="112"/>
      <c r="U117" s="112"/>
      <c r="V117" s="112"/>
      <c r="W117" s="112"/>
      <c r="AW117" s="111"/>
    </row>
    <row r="118" spans="1:49" s="9" customFormat="1">
      <c r="B118" s="206"/>
      <c r="C118" s="77" t="s">
        <v>113</v>
      </c>
      <c r="D118" s="197">
        <f>D117*$D115</f>
        <v>5064.3417645887266</v>
      </c>
      <c r="E118" s="84">
        <f t="shared" ref="E118:O118" si="18">E117*$D115</f>
        <v>5064.3417645887266</v>
      </c>
      <c r="F118" s="84">
        <f t="shared" si="18"/>
        <v>5064.3417645887266</v>
      </c>
      <c r="G118" s="84">
        <f t="shared" si="18"/>
        <v>19888.823004795366</v>
      </c>
      <c r="H118" s="84">
        <f t="shared" si="18"/>
        <v>18278.539741219964</v>
      </c>
      <c r="I118" s="84">
        <f t="shared" si="18"/>
        <v>24230.386604955078</v>
      </c>
      <c r="J118" s="84">
        <f t="shared" si="18"/>
        <v>24230.386604955078</v>
      </c>
      <c r="K118" s="84">
        <f t="shared" si="18"/>
        <v>21137.206982543645</v>
      </c>
      <c r="L118" s="84">
        <f t="shared" si="18"/>
        <v>21137.206982543645</v>
      </c>
      <c r="M118" s="84">
        <f t="shared" si="18"/>
        <v>18716.763406940063</v>
      </c>
      <c r="N118" s="84">
        <f t="shared" si="18"/>
        <v>4502.1352691218135</v>
      </c>
      <c r="O118" s="84">
        <f t="shared" si="18"/>
        <v>4502.1352691218135</v>
      </c>
      <c r="P118" s="95">
        <f>SUM(D118:O118)</f>
        <v>171816.60915996265</v>
      </c>
      <c r="Q118" s="14"/>
      <c r="R118" s="14"/>
      <c r="S118" s="14"/>
      <c r="T118" s="14"/>
      <c r="U118" s="14"/>
      <c r="V118" s="14"/>
      <c r="W118" s="14"/>
      <c r="AW118" s="87"/>
    </row>
    <row r="119" spans="1:49" s="9" customFormat="1">
      <c r="B119" s="58"/>
      <c r="C119" s="77" t="s">
        <v>112</v>
      </c>
      <c r="D119" s="197">
        <f>D117*$D$80</f>
        <v>1922.3827922724554</v>
      </c>
      <c r="E119" s="84">
        <f>E117*$D$80</f>
        <v>1922.3827922724554</v>
      </c>
      <c r="F119" s="84">
        <f t="shared" ref="F119:O119" si="19">F117*$D116</f>
        <v>1922.3827922724554</v>
      </c>
      <c r="G119" s="84">
        <f t="shared" si="19"/>
        <v>7549.6348548815058</v>
      </c>
      <c r="H119" s="84">
        <f t="shared" si="19"/>
        <v>6938.3844731977815</v>
      </c>
      <c r="I119" s="84">
        <f t="shared" si="19"/>
        <v>9197.656956166622</v>
      </c>
      <c r="J119" s="84">
        <f t="shared" si="19"/>
        <v>9197.656956166622</v>
      </c>
      <c r="K119" s="84">
        <f t="shared" si="19"/>
        <v>8023.5112219451385</v>
      </c>
      <c r="L119" s="84">
        <f t="shared" si="19"/>
        <v>8023.5112219451385</v>
      </c>
      <c r="M119" s="84">
        <f t="shared" si="19"/>
        <v>7104.7305993690852</v>
      </c>
      <c r="N119" s="84">
        <f t="shared" si="19"/>
        <v>1708.9737960339944</v>
      </c>
      <c r="O119" s="84">
        <f t="shared" si="19"/>
        <v>1708.9737960339944</v>
      </c>
      <c r="P119" s="95">
        <f>SUM(D119:O119)</f>
        <v>65220.182252557242</v>
      </c>
      <c r="Q119" s="14"/>
      <c r="R119" s="14"/>
      <c r="S119" s="14"/>
      <c r="T119" s="14"/>
      <c r="U119" s="14"/>
      <c r="V119" s="14"/>
      <c r="W119" s="14"/>
      <c r="AW119" s="87"/>
    </row>
    <row r="120" spans="1:49" s="9" customFormat="1">
      <c r="B120" s="58"/>
      <c r="C120" s="77" t="s">
        <v>111</v>
      </c>
      <c r="D120" s="197">
        <f>D118-D119</f>
        <v>3141.9589723162712</v>
      </c>
      <c r="E120" s="84">
        <f t="shared" ref="E120:O120" si="20">E118-E119</f>
        <v>3141.9589723162712</v>
      </c>
      <c r="F120" s="84">
        <f t="shared" si="20"/>
        <v>3141.9589723162712</v>
      </c>
      <c r="G120" s="84">
        <f t="shared" si="20"/>
        <v>12339.18814991386</v>
      </c>
      <c r="H120" s="84">
        <f t="shared" si="20"/>
        <v>11340.155268022183</v>
      </c>
      <c r="I120" s="84">
        <f t="shared" si="20"/>
        <v>15032.729648788456</v>
      </c>
      <c r="J120" s="84">
        <f t="shared" si="20"/>
        <v>15032.729648788456</v>
      </c>
      <c r="K120" s="84">
        <f t="shared" si="20"/>
        <v>13113.695760598506</v>
      </c>
      <c r="L120" s="84">
        <f t="shared" si="20"/>
        <v>13113.695760598506</v>
      </c>
      <c r="M120" s="84">
        <f t="shared" si="20"/>
        <v>11612.032807570977</v>
      </c>
      <c r="N120" s="84">
        <f t="shared" si="20"/>
        <v>2793.1614730878191</v>
      </c>
      <c r="O120" s="84">
        <f t="shared" si="20"/>
        <v>2793.1614730878191</v>
      </c>
      <c r="P120" s="95">
        <f>SUM(D120:O120)</f>
        <v>106596.4269074054</v>
      </c>
      <c r="Q120" s="14"/>
      <c r="R120" s="14"/>
      <c r="S120" s="14"/>
      <c r="T120" s="14"/>
      <c r="U120" s="14"/>
      <c r="V120" s="14"/>
      <c r="W120" s="14"/>
      <c r="AW120" s="87"/>
    </row>
    <row r="121" spans="1:49" s="9" customFormat="1">
      <c r="B121" s="107" t="s">
        <v>706</v>
      </c>
      <c r="C121" s="77" t="s">
        <v>391</v>
      </c>
      <c r="D121" s="207">
        <f>Price4_36MoPr(VarCostByProduct,B121)</f>
        <v>2.99</v>
      </c>
      <c r="E121" s="106"/>
      <c r="F121" s="106"/>
      <c r="G121" s="106"/>
      <c r="H121" s="105"/>
      <c r="I121" s="100"/>
      <c r="J121" s="100"/>
      <c r="K121" s="100"/>
      <c r="L121" s="100"/>
      <c r="M121" s="100"/>
      <c r="N121" s="100"/>
      <c r="O121" s="100"/>
      <c r="P121" s="95"/>
      <c r="Q121" s="14"/>
      <c r="R121" s="14"/>
      <c r="S121" s="14"/>
      <c r="T121" s="14"/>
      <c r="U121" s="14"/>
      <c r="V121" s="14"/>
      <c r="W121" s="14"/>
      <c r="AW121" s="87"/>
    </row>
    <row r="122" spans="1:49" s="9" customFormat="1">
      <c r="B122" s="58"/>
      <c r="C122" s="77" t="s">
        <v>121</v>
      </c>
      <c r="D122" s="208">
        <f>Varcosts4_36MoPr(VarCostByProduct,B121)</f>
        <v>0.97</v>
      </c>
      <c r="E122" s="100"/>
      <c r="F122" s="100"/>
      <c r="G122" s="100"/>
      <c r="H122" s="100"/>
      <c r="I122" s="100"/>
      <c r="J122" s="100"/>
      <c r="K122" s="100"/>
      <c r="L122" s="100"/>
      <c r="M122" s="100"/>
      <c r="N122" s="100"/>
      <c r="O122" s="100"/>
      <c r="P122" s="95"/>
      <c r="Q122" s="14"/>
      <c r="R122" s="14"/>
      <c r="S122" s="14"/>
      <c r="T122" s="14"/>
      <c r="U122" s="14"/>
      <c r="V122" s="14"/>
      <c r="W122" s="14"/>
      <c r="AW122" s="87"/>
    </row>
    <row r="123" spans="1:49" s="110" customFormat="1">
      <c r="A123" s="9"/>
      <c r="B123" s="58"/>
      <c r="C123" s="205" t="s">
        <v>114</v>
      </c>
      <c r="D123" s="113">
        <f>Sales4_36MoPr(SalesJan,"FY-1",$B121)</f>
        <v>1991.7098445595855</v>
      </c>
      <c r="E123" s="117">
        <f>Sales4_36MoPr(SalesFeb,"FY-1",$B121)</f>
        <v>2059.2857142857142</v>
      </c>
      <c r="F123" s="117">
        <f>Sales4_36MoPr(SalesMar,"FY-1",$B121)</f>
        <v>1991.7098445595855</v>
      </c>
      <c r="G123" s="117">
        <f>Sales4_36MoPr(SalesApr,"FY-1",$B121)</f>
        <v>9298.2957669048919</v>
      </c>
      <c r="H123" s="117">
        <f>Sales4_36MoPr(SalesMay,"FY-1",$B121)</f>
        <v>9921.8618164512009</v>
      </c>
      <c r="I123" s="117">
        <f>Sales4_36MoPr(SalesJun,"FY-1",$B121)</f>
        <v>12441.698192517864</v>
      </c>
      <c r="J123" s="117">
        <f>Sales4_36MoPr(SalesJul,"FY-1",$B121)</f>
        <v>12441.698192517864</v>
      </c>
      <c r="K123" s="117">
        <f>Sales4_36MoPr(SalesAug,"FY-1",$B121)</f>
        <v>10032.672788786853</v>
      </c>
      <c r="L123" s="117">
        <f>Sales4_36MoPr(SalesSep,"FY-1",$B121)</f>
        <v>10032.672788786853</v>
      </c>
      <c r="M123" s="117">
        <f>Sales4_36MoPr(SalesOct,"FY-1",$B121)</f>
        <v>9921.8618164512009</v>
      </c>
      <c r="N123" s="117">
        <f>Sales4_36MoPr(SalesNov,"FY-1",$B121)</f>
        <v>1991.7098445595855</v>
      </c>
      <c r="O123" s="117">
        <f>Sales4_36MoPr(SalesDec,"FY-1",$B121)</f>
        <v>2059.2857142857142</v>
      </c>
      <c r="P123" s="1265">
        <f>SUM(D123:O123)</f>
        <v>84184.462324666907</v>
      </c>
      <c r="Q123" s="112"/>
      <c r="R123" s="112"/>
      <c r="S123" s="112"/>
      <c r="T123" s="112"/>
      <c r="U123" s="112"/>
      <c r="V123" s="112"/>
      <c r="W123" s="112"/>
      <c r="AW123" s="111"/>
    </row>
    <row r="124" spans="1:49" s="9" customFormat="1">
      <c r="B124" s="206"/>
      <c r="C124" s="77" t="s">
        <v>113</v>
      </c>
      <c r="D124" s="197">
        <f t="shared" ref="D124:O124" si="21">D123*$D121</f>
        <v>5955.2124352331612</v>
      </c>
      <c r="E124" s="84">
        <f t="shared" si="21"/>
        <v>6157.2642857142855</v>
      </c>
      <c r="F124" s="84">
        <f t="shared" si="21"/>
        <v>5955.2124352331612</v>
      </c>
      <c r="G124" s="84">
        <f t="shared" si="21"/>
        <v>27801.90434304563</v>
      </c>
      <c r="H124" s="84">
        <f t="shared" si="21"/>
        <v>29666.366831189094</v>
      </c>
      <c r="I124" s="84">
        <f t="shared" si="21"/>
        <v>37200.677595628418</v>
      </c>
      <c r="J124" s="84">
        <f t="shared" si="21"/>
        <v>37200.677595628418</v>
      </c>
      <c r="K124" s="84">
        <f t="shared" si="21"/>
        <v>29997.691638472694</v>
      </c>
      <c r="L124" s="84">
        <f t="shared" si="21"/>
        <v>29997.691638472694</v>
      </c>
      <c r="M124" s="84">
        <f t="shared" si="21"/>
        <v>29666.366831189094</v>
      </c>
      <c r="N124" s="84">
        <f t="shared" si="21"/>
        <v>5955.2124352331612</v>
      </c>
      <c r="O124" s="84">
        <f t="shared" si="21"/>
        <v>6157.2642857142855</v>
      </c>
      <c r="P124" s="95">
        <f>SUM(D124:O124)</f>
        <v>251711.54235075411</v>
      </c>
      <c r="Q124" s="14"/>
      <c r="R124" s="14"/>
      <c r="S124" s="14"/>
      <c r="T124" s="14"/>
      <c r="U124" s="14"/>
      <c r="V124" s="14"/>
      <c r="W124" s="14"/>
      <c r="AW124" s="87"/>
    </row>
    <row r="125" spans="1:49" s="9" customFormat="1">
      <c r="B125" s="58"/>
      <c r="C125" s="77" t="s">
        <v>112</v>
      </c>
      <c r="D125" s="197">
        <f>D123*$D$80</f>
        <v>1852.2901554404145</v>
      </c>
      <c r="E125" s="84">
        <f>E123*$D$80</f>
        <v>1915.1357142857144</v>
      </c>
      <c r="F125" s="84">
        <f t="shared" ref="F125:O125" si="22">F123*$D122</f>
        <v>1931.958549222798</v>
      </c>
      <c r="G125" s="84">
        <f t="shared" si="22"/>
        <v>9019.3468938977458</v>
      </c>
      <c r="H125" s="84">
        <f t="shared" si="22"/>
        <v>9624.2059619576648</v>
      </c>
      <c r="I125" s="84">
        <f t="shared" si="22"/>
        <v>12068.447246742327</v>
      </c>
      <c r="J125" s="84">
        <f t="shared" si="22"/>
        <v>12068.447246742327</v>
      </c>
      <c r="K125" s="84">
        <f t="shared" si="22"/>
        <v>9731.6926051232476</v>
      </c>
      <c r="L125" s="84">
        <f t="shared" si="22"/>
        <v>9731.6926051232476</v>
      </c>
      <c r="M125" s="84">
        <f t="shared" si="22"/>
        <v>9624.2059619576648</v>
      </c>
      <c r="N125" s="84">
        <f t="shared" si="22"/>
        <v>1931.958549222798</v>
      </c>
      <c r="O125" s="84">
        <f t="shared" si="22"/>
        <v>1997.5071428571428</v>
      </c>
      <c r="P125" s="95">
        <f>SUM(D125:O125)</f>
        <v>81496.888632573071</v>
      </c>
      <c r="Q125" s="14"/>
      <c r="R125" s="14"/>
      <c r="S125" s="14"/>
      <c r="T125" s="14"/>
      <c r="U125" s="14"/>
      <c r="V125" s="14"/>
      <c r="W125" s="14"/>
      <c r="AW125" s="87"/>
    </row>
    <row r="126" spans="1:49" s="9" customFormat="1">
      <c r="B126" s="58"/>
      <c r="C126" s="77" t="s">
        <v>111</v>
      </c>
      <c r="D126" s="197">
        <f>D124-D125</f>
        <v>4102.9222797927468</v>
      </c>
      <c r="E126" s="84">
        <f t="shared" ref="E126:O126" si="23">E124-E125</f>
        <v>4242.1285714285714</v>
      </c>
      <c r="F126" s="84">
        <f t="shared" si="23"/>
        <v>4023.2538860103632</v>
      </c>
      <c r="G126" s="84">
        <f t="shared" si="23"/>
        <v>18782.557449147884</v>
      </c>
      <c r="H126" s="84">
        <f t="shared" si="23"/>
        <v>20042.160869231429</v>
      </c>
      <c r="I126" s="84">
        <f t="shared" si="23"/>
        <v>25132.230348886093</v>
      </c>
      <c r="J126" s="84">
        <f t="shared" si="23"/>
        <v>25132.230348886093</v>
      </c>
      <c r="K126" s="84">
        <f t="shared" si="23"/>
        <v>20265.999033349446</v>
      </c>
      <c r="L126" s="84">
        <f t="shared" si="23"/>
        <v>20265.999033349446</v>
      </c>
      <c r="M126" s="84">
        <f t="shared" si="23"/>
        <v>20042.160869231429</v>
      </c>
      <c r="N126" s="84">
        <f t="shared" si="23"/>
        <v>4023.2538860103632</v>
      </c>
      <c r="O126" s="84">
        <f t="shared" si="23"/>
        <v>4159.7571428571428</v>
      </c>
      <c r="P126" s="95">
        <f>SUM(D126:O126)</f>
        <v>170214.65371818098</v>
      </c>
      <c r="Q126" s="14"/>
      <c r="R126" s="14"/>
      <c r="S126" s="14"/>
      <c r="T126" s="14"/>
      <c r="U126" s="14"/>
      <c r="V126" s="14"/>
      <c r="W126" s="14"/>
      <c r="AW126" s="87"/>
    </row>
    <row r="127" spans="1:49" s="9" customFormat="1">
      <c r="B127" s="107" t="s">
        <v>707</v>
      </c>
      <c r="C127" s="77" t="s">
        <v>391</v>
      </c>
      <c r="D127" s="207">
        <f>Price4_36MoPr(VarCostByProduct,B127)</f>
        <v>1.99</v>
      </c>
      <c r="E127" s="106"/>
      <c r="F127" s="106"/>
      <c r="G127" s="106"/>
      <c r="H127" s="105"/>
      <c r="I127" s="100"/>
      <c r="J127" s="100"/>
      <c r="K127" s="100"/>
      <c r="L127" s="100"/>
      <c r="M127" s="100"/>
      <c r="N127" s="100"/>
      <c r="O127" s="100"/>
      <c r="P127" s="95"/>
      <c r="Q127" s="14"/>
      <c r="R127" s="14"/>
      <c r="S127" s="14"/>
      <c r="T127" s="14"/>
      <c r="U127" s="14"/>
      <c r="V127" s="14"/>
      <c r="W127" s="14"/>
      <c r="AW127" s="87"/>
    </row>
    <row r="128" spans="1:49" s="9" customFormat="1">
      <c r="B128" s="58"/>
      <c r="C128" s="77" t="s">
        <v>121</v>
      </c>
      <c r="D128" s="208">
        <f>Varcosts4_36MoPr(VarCostByProduct,B127)</f>
        <v>0.94</v>
      </c>
      <c r="E128" s="100"/>
      <c r="F128" s="100"/>
      <c r="G128" s="100"/>
      <c r="H128" s="100"/>
      <c r="I128" s="100"/>
      <c r="J128" s="100"/>
      <c r="K128" s="100"/>
      <c r="L128" s="100"/>
      <c r="M128" s="100"/>
      <c r="N128" s="100"/>
      <c r="O128" s="100"/>
      <c r="P128" s="95"/>
      <c r="Q128" s="14"/>
      <c r="R128" s="14"/>
      <c r="S128" s="14"/>
      <c r="T128" s="14"/>
      <c r="U128" s="14"/>
      <c r="V128" s="14"/>
      <c r="W128" s="14"/>
      <c r="AW128" s="87"/>
    </row>
    <row r="129" spans="1:49" s="110" customFormat="1">
      <c r="A129" s="9"/>
      <c r="B129" s="58"/>
      <c r="C129" s="205" t="s">
        <v>114</v>
      </c>
      <c r="D129" s="113">
        <f>Sales4_36MoPr(SalesJan,"FY-1",$B127)</f>
        <v>252.24184447679909</v>
      </c>
      <c r="E129" s="117">
        <f>Sales4_36MoPr(SalesFeb,"FY-1",$B127)</f>
        <v>658.92461418111634</v>
      </c>
      <c r="F129" s="117">
        <f>Sales4_36MoPr(SalesMar,"FY-1",$B127)</f>
        <v>0</v>
      </c>
      <c r="G129" s="117">
        <f>Sales4_36MoPr(SalesApr,"FY-1",$B127)</f>
        <v>119.84825102656032</v>
      </c>
      <c r="H129" s="117">
        <f>Sales4_36MoPr(SalesMay,"FY-1",$B127)</f>
        <v>266.81414234559998</v>
      </c>
      <c r="I129" s="117">
        <f>Sales4_36MoPr(SalesJun,"FY-1",$B127)</f>
        <v>658.92461418111634</v>
      </c>
      <c r="J129" s="117">
        <f>Sales4_36MoPr(SalesJul,"FY-1",$B127)</f>
        <v>658.92461418111634</v>
      </c>
      <c r="K129" s="117">
        <f>Sales4_36MoPr(SalesAug,"FY-1",$B127)</f>
        <v>154.4409252275218</v>
      </c>
      <c r="L129" s="117">
        <f>Sales4_36MoPr(SalesSep,"FY-1",$B127)</f>
        <v>154.4409252275218</v>
      </c>
      <c r="M129" s="117">
        <f>Sales4_36MoPr(SalesOct,"FY-1",$B127)</f>
        <v>266.81414234559998</v>
      </c>
      <c r="N129" s="117">
        <f>Sales4_36MoPr(SalesNov,"FY-1",$B127)</f>
        <v>0</v>
      </c>
      <c r="O129" s="117">
        <f>Sales4_36MoPr(SalesDec,"FY-1",$B127)</f>
        <v>0</v>
      </c>
      <c r="P129" s="1265">
        <f>SUM(D129:O129)</f>
        <v>3191.374073192952</v>
      </c>
      <c r="Q129" s="112"/>
      <c r="R129" s="112"/>
      <c r="S129" s="112"/>
      <c r="T129" s="112"/>
      <c r="U129" s="112"/>
      <c r="V129" s="112"/>
      <c r="W129" s="112"/>
      <c r="AW129" s="111"/>
    </row>
    <row r="130" spans="1:49" s="9" customFormat="1">
      <c r="B130" s="206"/>
      <c r="C130" s="77" t="s">
        <v>113</v>
      </c>
      <c r="D130" s="197">
        <f t="shared" ref="D130:O130" si="24">D129*$D127</f>
        <v>501.96127050883018</v>
      </c>
      <c r="E130" s="84">
        <f t="shared" si="24"/>
        <v>1311.2599822204215</v>
      </c>
      <c r="F130" s="84">
        <f t="shared" si="24"/>
        <v>0</v>
      </c>
      <c r="G130" s="84">
        <f t="shared" si="24"/>
        <v>238.49801954285505</v>
      </c>
      <c r="H130" s="84">
        <f t="shared" si="24"/>
        <v>530.960143267744</v>
      </c>
      <c r="I130" s="84">
        <f t="shared" si="24"/>
        <v>1311.2599822204215</v>
      </c>
      <c r="J130" s="84">
        <f t="shared" si="24"/>
        <v>1311.2599822204215</v>
      </c>
      <c r="K130" s="84">
        <f t="shared" si="24"/>
        <v>307.33744120276839</v>
      </c>
      <c r="L130" s="84">
        <f t="shared" si="24"/>
        <v>307.33744120276839</v>
      </c>
      <c r="M130" s="84">
        <f t="shared" si="24"/>
        <v>530.960143267744</v>
      </c>
      <c r="N130" s="84">
        <f t="shared" si="24"/>
        <v>0</v>
      </c>
      <c r="O130" s="84">
        <f t="shared" si="24"/>
        <v>0</v>
      </c>
      <c r="P130" s="95">
        <f>SUM(D130:O130)</f>
        <v>6350.8344056539754</v>
      </c>
      <c r="Q130" s="14"/>
      <c r="R130" s="14"/>
      <c r="S130" s="14"/>
      <c r="T130" s="14"/>
      <c r="U130" s="14"/>
      <c r="V130" s="14"/>
      <c r="W130" s="14"/>
      <c r="AW130" s="87"/>
    </row>
    <row r="131" spans="1:49" s="9" customFormat="1">
      <c r="B131" s="58"/>
      <c r="C131" s="77" t="s">
        <v>112</v>
      </c>
      <c r="D131" s="197">
        <f>D129*$D$80</f>
        <v>234.58491536342316</v>
      </c>
      <c r="E131" s="84">
        <f>E129*$D$80</f>
        <v>612.79989118843821</v>
      </c>
      <c r="F131" s="84">
        <f t="shared" ref="F131:O131" si="25">F129*$D128</f>
        <v>0</v>
      </c>
      <c r="G131" s="84">
        <f t="shared" si="25"/>
        <v>112.6573559649667</v>
      </c>
      <c r="H131" s="84">
        <f t="shared" si="25"/>
        <v>250.80529380486396</v>
      </c>
      <c r="I131" s="84">
        <f t="shared" si="25"/>
        <v>619.38913733024935</v>
      </c>
      <c r="J131" s="84">
        <f t="shared" si="25"/>
        <v>619.38913733024935</v>
      </c>
      <c r="K131" s="84">
        <f t="shared" si="25"/>
        <v>145.17446971387048</v>
      </c>
      <c r="L131" s="84">
        <f t="shared" si="25"/>
        <v>145.17446971387048</v>
      </c>
      <c r="M131" s="84">
        <f t="shared" si="25"/>
        <v>250.80529380486396</v>
      </c>
      <c r="N131" s="84">
        <f t="shared" si="25"/>
        <v>0</v>
      </c>
      <c r="O131" s="84">
        <f t="shared" si="25"/>
        <v>0</v>
      </c>
      <c r="P131" s="95">
        <f>SUM(D131:O131)</f>
        <v>2990.7799642147961</v>
      </c>
      <c r="Q131" s="14"/>
      <c r="R131" s="14"/>
      <c r="S131" s="14"/>
      <c r="T131" s="14"/>
      <c r="U131" s="14"/>
      <c r="V131" s="14"/>
      <c r="W131" s="14"/>
      <c r="AW131" s="87"/>
    </row>
    <row r="132" spans="1:49" s="9" customFormat="1">
      <c r="B132" s="58"/>
      <c r="C132" s="77" t="s">
        <v>111</v>
      </c>
      <c r="D132" s="197">
        <f>D130-D131</f>
        <v>267.37635514540705</v>
      </c>
      <c r="E132" s="84">
        <f t="shared" ref="E132:O132" si="26">E130-E131</f>
        <v>698.46009103198332</v>
      </c>
      <c r="F132" s="84">
        <f t="shared" si="26"/>
        <v>0</v>
      </c>
      <c r="G132" s="84">
        <f t="shared" si="26"/>
        <v>125.84066357788835</v>
      </c>
      <c r="H132" s="84">
        <f t="shared" si="26"/>
        <v>280.15484946288007</v>
      </c>
      <c r="I132" s="84">
        <f t="shared" si="26"/>
        <v>691.87084489017218</v>
      </c>
      <c r="J132" s="84">
        <f t="shared" si="26"/>
        <v>691.87084489017218</v>
      </c>
      <c r="K132" s="84">
        <f t="shared" si="26"/>
        <v>162.16297148889791</v>
      </c>
      <c r="L132" s="84">
        <f t="shared" si="26"/>
        <v>162.16297148889791</v>
      </c>
      <c r="M132" s="84">
        <f t="shared" si="26"/>
        <v>280.15484946288007</v>
      </c>
      <c r="N132" s="84">
        <f t="shared" si="26"/>
        <v>0</v>
      </c>
      <c r="O132" s="84">
        <f t="shared" si="26"/>
        <v>0</v>
      </c>
      <c r="P132" s="95">
        <f>SUM(D132:O132)</f>
        <v>3360.0544414391784</v>
      </c>
      <c r="Q132" s="14"/>
      <c r="R132" s="14"/>
      <c r="S132" s="14"/>
      <c r="T132" s="14"/>
      <c r="U132" s="14"/>
      <c r="V132" s="14"/>
      <c r="W132" s="14"/>
      <c r="AW132" s="87"/>
    </row>
    <row r="133" spans="1:49" s="9" customFormat="1">
      <c r="B133" s="58"/>
      <c r="C133" s="77"/>
      <c r="D133" s="197"/>
      <c r="E133" s="98"/>
      <c r="F133" s="98"/>
      <c r="G133" s="98"/>
      <c r="H133" s="98"/>
      <c r="I133" s="98"/>
      <c r="J133" s="98"/>
      <c r="K133" s="98"/>
      <c r="L133" s="98"/>
      <c r="M133" s="98"/>
      <c r="N133" s="98"/>
      <c r="O133" s="98"/>
      <c r="P133" s="95"/>
      <c r="Q133" s="14"/>
      <c r="R133" s="14"/>
      <c r="S133" s="14"/>
      <c r="T133" s="14"/>
      <c r="U133" s="14"/>
      <c r="V133" s="14"/>
      <c r="W133" s="14"/>
      <c r="AW133" s="87"/>
    </row>
    <row r="134" spans="1:49" s="9" customFormat="1">
      <c r="B134" s="58"/>
      <c r="C134" s="77" t="s">
        <v>110</v>
      </c>
      <c r="D134" s="210">
        <f t="shared" ref="D134:O134" si="27">SUMIF($C79:$C133,"Revenue",D79:D133)</f>
        <v>38716.472955657024</v>
      </c>
      <c r="E134" s="103">
        <f t="shared" si="27"/>
        <v>39255.468188464103</v>
      </c>
      <c r="F134" s="103">
        <f t="shared" si="27"/>
        <v>39809.520948389814</v>
      </c>
      <c r="G134" s="103">
        <f t="shared" si="27"/>
        <v>77783.506945719113</v>
      </c>
      <c r="H134" s="103">
        <f t="shared" si="27"/>
        <v>91438.15622441475</v>
      </c>
      <c r="I134" s="103">
        <f t="shared" si="27"/>
        <v>126636.26242489793</v>
      </c>
      <c r="J134" s="103">
        <f t="shared" si="27"/>
        <v>126636.26242489793</v>
      </c>
      <c r="K134" s="103">
        <f t="shared" si="27"/>
        <v>118131.20550680565</v>
      </c>
      <c r="L134" s="103">
        <f t="shared" si="27"/>
        <v>118131.20550680565</v>
      </c>
      <c r="M134" s="103">
        <f t="shared" si="27"/>
        <v>114596.0679476519</v>
      </c>
      <c r="N134" s="103">
        <f t="shared" si="27"/>
        <v>47085.243907880635</v>
      </c>
      <c r="O134" s="103">
        <f t="shared" si="27"/>
        <v>40007.340428976124</v>
      </c>
      <c r="P134" s="95">
        <f>SUM(D134:O134)</f>
        <v>978226.71341056062</v>
      </c>
      <c r="Q134" s="14"/>
      <c r="R134" s="14"/>
      <c r="S134" s="14"/>
      <c r="T134" s="14"/>
      <c r="U134" s="14"/>
      <c r="V134" s="14"/>
      <c r="W134" s="14"/>
      <c r="AW134" s="87"/>
    </row>
    <row r="135" spans="1:49" s="96" customFormat="1">
      <c r="A135" s="9"/>
      <c r="B135" s="58"/>
      <c r="C135" s="77" t="s">
        <v>124</v>
      </c>
      <c r="D135" s="210">
        <f t="shared" ref="D135:O135" si="28">SUMIF($C79:$C133,"Expenses",D79:D133)</f>
        <v>8072.4000000000005</v>
      </c>
      <c r="E135" s="103">
        <f t="shared" si="28"/>
        <v>8450.6149758250158</v>
      </c>
      <c r="F135" s="103">
        <f t="shared" si="28"/>
        <v>8221.2000000000007</v>
      </c>
      <c r="G135" s="103">
        <f t="shared" si="28"/>
        <v>21205.198482510266</v>
      </c>
      <c r="H135" s="103">
        <f t="shared" si="28"/>
        <v>23571.742701173389</v>
      </c>
      <c r="I135" s="103">
        <f t="shared" si="28"/>
        <v>31791.918387703485</v>
      </c>
      <c r="J135" s="103">
        <f t="shared" si="28"/>
        <v>31791.918387703485</v>
      </c>
      <c r="K135" s="103">
        <f t="shared" si="28"/>
        <v>28234.800000000003</v>
      </c>
      <c r="L135" s="103">
        <f t="shared" si="28"/>
        <v>28234.800000000003</v>
      </c>
      <c r="M135" s="103">
        <f t="shared" si="28"/>
        <v>27080.94270117339</v>
      </c>
      <c r="N135" s="103">
        <f t="shared" si="28"/>
        <v>9386.7999999999993</v>
      </c>
      <c r="O135" s="103">
        <f t="shared" si="28"/>
        <v>8221.2000000000007</v>
      </c>
      <c r="P135" s="95">
        <f>SUM(D135:O135)</f>
        <v>234263.53563608901</v>
      </c>
      <c r="Q135" s="108"/>
      <c r="R135" s="108"/>
      <c r="S135" s="108"/>
      <c r="T135" s="108"/>
      <c r="U135" s="108"/>
      <c r="V135" s="108"/>
      <c r="W135" s="108"/>
      <c r="AW135" s="109"/>
    </row>
    <row r="136" spans="1:49" s="9" customFormat="1">
      <c r="B136" s="58"/>
      <c r="C136" s="77" t="s">
        <v>506</v>
      </c>
      <c r="D136" s="210">
        <f t="shared" ref="D136:O136" si="29">SUMIF($C79:$C133,"Contribution",D79:D133)</f>
        <v>30644.072955657022</v>
      </c>
      <c r="E136" s="103">
        <f t="shared" si="29"/>
        <v>30804.853212639082</v>
      </c>
      <c r="F136" s="103">
        <f t="shared" si="29"/>
        <v>31588.320948389821</v>
      </c>
      <c r="G136" s="103">
        <f t="shared" si="29"/>
        <v>56578.308463208858</v>
      </c>
      <c r="H136" s="103">
        <f t="shared" si="29"/>
        <v>67866.413523241368</v>
      </c>
      <c r="I136" s="103">
        <f t="shared" si="29"/>
        <v>94844.344037194431</v>
      </c>
      <c r="J136" s="103">
        <f t="shared" si="29"/>
        <v>94844.344037194431</v>
      </c>
      <c r="K136" s="103">
        <f t="shared" si="29"/>
        <v>89896.405506805648</v>
      </c>
      <c r="L136" s="103">
        <f t="shared" si="29"/>
        <v>89896.405506805648</v>
      </c>
      <c r="M136" s="103">
        <f t="shared" si="29"/>
        <v>87515.125246478507</v>
      </c>
      <c r="N136" s="103">
        <f t="shared" si="29"/>
        <v>37698.443907880646</v>
      </c>
      <c r="O136" s="103">
        <f t="shared" si="29"/>
        <v>31786.140428976123</v>
      </c>
      <c r="P136" s="95">
        <f>SUM(D136:O136)</f>
        <v>743963.1777744717</v>
      </c>
      <c r="Q136" s="14"/>
      <c r="R136" s="14"/>
      <c r="S136" s="14"/>
      <c r="T136" s="14"/>
      <c r="U136" s="14"/>
      <c r="V136" s="14"/>
      <c r="W136" s="14"/>
      <c r="AW136" s="87"/>
    </row>
    <row r="137" spans="1:49" s="9" customFormat="1">
      <c r="B137" s="58"/>
      <c r="C137" s="77"/>
      <c r="D137" s="198"/>
      <c r="E137" s="100"/>
      <c r="F137" s="100"/>
      <c r="G137" s="100"/>
      <c r="H137" s="100"/>
      <c r="I137" s="100"/>
      <c r="J137" s="100"/>
      <c r="K137" s="100"/>
      <c r="L137" s="100"/>
      <c r="M137" s="100"/>
      <c r="N137" s="100"/>
      <c r="O137" s="100"/>
      <c r="P137" s="95"/>
      <c r="Q137" s="14"/>
      <c r="R137" s="14"/>
      <c r="S137" s="14"/>
      <c r="T137" s="14"/>
      <c r="U137" s="14"/>
      <c r="V137" s="14"/>
      <c r="W137" s="14"/>
      <c r="AW137" s="87"/>
    </row>
    <row r="138" spans="1:49" s="9" customFormat="1">
      <c r="A138" s="110"/>
      <c r="B138" s="58" t="s">
        <v>120</v>
      </c>
      <c r="C138" s="49" t="s">
        <v>127</v>
      </c>
      <c r="D138" s="198"/>
      <c r="E138" s="100"/>
      <c r="F138" s="100"/>
      <c r="G138" s="100"/>
      <c r="H138" s="100"/>
      <c r="I138" s="100"/>
      <c r="J138" s="100"/>
      <c r="K138" s="100"/>
      <c r="L138" s="100"/>
      <c r="M138" s="100"/>
      <c r="N138" s="100"/>
      <c r="O138" s="100"/>
      <c r="P138" s="95"/>
      <c r="Q138" s="14"/>
      <c r="R138" s="14"/>
      <c r="S138" s="14"/>
      <c r="T138" s="14"/>
      <c r="U138" s="14"/>
      <c r="V138" s="14"/>
      <c r="W138" s="14"/>
      <c r="AW138" s="87"/>
    </row>
    <row r="139" spans="1:49" s="9" customFormat="1">
      <c r="B139" s="87"/>
      <c r="C139" s="56" t="s">
        <v>370</v>
      </c>
      <c r="D139" s="197">
        <f>C65/12</f>
        <v>7000</v>
      </c>
      <c r="E139" s="84">
        <f t="shared" ref="E139:O142" si="30">$D139</f>
        <v>7000</v>
      </c>
      <c r="F139" s="84">
        <f t="shared" si="30"/>
        <v>7000</v>
      </c>
      <c r="G139" s="84">
        <f t="shared" si="30"/>
        <v>7000</v>
      </c>
      <c r="H139" s="84">
        <f t="shared" si="30"/>
        <v>7000</v>
      </c>
      <c r="I139" s="84">
        <f t="shared" si="30"/>
        <v>7000</v>
      </c>
      <c r="J139" s="84">
        <f t="shared" si="30"/>
        <v>7000</v>
      </c>
      <c r="K139" s="84">
        <f t="shared" si="30"/>
        <v>7000</v>
      </c>
      <c r="L139" s="84">
        <f t="shared" si="30"/>
        <v>7000</v>
      </c>
      <c r="M139" s="84">
        <f t="shared" si="30"/>
        <v>7000</v>
      </c>
      <c r="N139" s="84">
        <f t="shared" si="30"/>
        <v>7000</v>
      </c>
      <c r="O139" s="84">
        <f t="shared" si="30"/>
        <v>7000</v>
      </c>
      <c r="P139" s="95">
        <f>SUM(D139:O139)</f>
        <v>84000</v>
      </c>
      <c r="Q139" s="14"/>
      <c r="R139" s="14"/>
      <c r="S139" s="14"/>
      <c r="T139" s="14"/>
      <c r="U139" s="14"/>
      <c r="V139" s="14"/>
      <c r="W139" s="14"/>
      <c r="AW139" s="87"/>
    </row>
    <row r="140" spans="1:49" s="9" customFormat="1">
      <c r="B140" s="87"/>
      <c r="C140" s="56" t="s">
        <v>388</v>
      </c>
      <c r="D140" s="211">
        <f>C66/12</f>
        <v>1708.3333333333333</v>
      </c>
      <c r="E140" s="84">
        <f t="shared" si="30"/>
        <v>1708.3333333333333</v>
      </c>
      <c r="F140" s="84">
        <f t="shared" si="30"/>
        <v>1708.3333333333333</v>
      </c>
      <c r="G140" s="84">
        <f t="shared" si="30"/>
        <v>1708.3333333333333</v>
      </c>
      <c r="H140" s="84">
        <f t="shared" si="30"/>
        <v>1708.3333333333333</v>
      </c>
      <c r="I140" s="84">
        <f t="shared" si="30"/>
        <v>1708.3333333333333</v>
      </c>
      <c r="J140" s="84">
        <f t="shared" si="30"/>
        <v>1708.3333333333333</v>
      </c>
      <c r="K140" s="84">
        <f t="shared" si="30"/>
        <v>1708.3333333333333</v>
      </c>
      <c r="L140" s="84">
        <f t="shared" si="30"/>
        <v>1708.3333333333333</v>
      </c>
      <c r="M140" s="84">
        <f t="shared" si="30"/>
        <v>1708.3333333333333</v>
      </c>
      <c r="N140" s="84">
        <f t="shared" si="30"/>
        <v>1708.3333333333333</v>
      </c>
      <c r="O140" s="84">
        <f t="shared" si="30"/>
        <v>1708.3333333333333</v>
      </c>
      <c r="P140" s="95">
        <f>SUM(D140:O140)</f>
        <v>20500</v>
      </c>
      <c r="Q140" s="14"/>
      <c r="R140" s="14"/>
      <c r="S140" s="14"/>
      <c r="T140" s="14"/>
      <c r="U140" s="14"/>
      <c r="V140" s="14"/>
      <c r="W140" s="14"/>
      <c r="AW140" s="87"/>
    </row>
    <row r="141" spans="1:49" s="9" customFormat="1">
      <c r="B141" s="87"/>
      <c r="C141" s="56" t="s">
        <v>366</v>
      </c>
      <c r="D141" s="211">
        <f>C67/12</f>
        <v>7241.666666666667</v>
      </c>
      <c r="E141" s="84">
        <f t="shared" si="30"/>
        <v>7241.666666666667</v>
      </c>
      <c r="F141" s="84">
        <f t="shared" si="30"/>
        <v>7241.666666666667</v>
      </c>
      <c r="G141" s="84">
        <f t="shared" si="30"/>
        <v>7241.666666666667</v>
      </c>
      <c r="H141" s="84">
        <f t="shared" si="30"/>
        <v>7241.666666666667</v>
      </c>
      <c r="I141" s="84">
        <f t="shared" si="30"/>
        <v>7241.666666666667</v>
      </c>
      <c r="J141" s="84">
        <f t="shared" si="30"/>
        <v>7241.666666666667</v>
      </c>
      <c r="K141" s="84">
        <f t="shared" si="30"/>
        <v>7241.666666666667</v>
      </c>
      <c r="L141" s="84">
        <f t="shared" si="30"/>
        <v>7241.666666666667</v>
      </c>
      <c r="M141" s="84">
        <f t="shared" si="30"/>
        <v>7241.666666666667</v>
      </c>
      <c r="N141" s="84">
        <f t="shared" si="30"/>
        <v>7241.666666666667</v>
      </c>
      <c r="O141" s="84">
        <f t="shared" si="30"/>
        <v>7241.666666666667</v>
      </c>
      <c r="P141" s="95">
        <f>SUM(D141:O141)</f>
        <v>86900</v>
      </c>
      <c r="Q141" s="14"/>
      <c r="R141" s="14"/>
      <c r="S141" s="14"/>
      <c r="T141" s="14"/>
      <c r="U141" s="14"/>
      <c r="V141" s="14"/>
      <c r="W141" s="14"/>
      <c r="AW141" s="87"/>
    </row>
    <row r="142" spans="1:49" s="9" customFormat="1">
      <c r="B142" s="87"/>
      <c r="C142" s="56" t="s">
        <v>83</v>
      </c>
      <c r="D142" s="211">
        <f>C68/12</f>
        <v>5625</v>
      </c>
      <c r="E142" s="84">
        <f>$D142</f>
        <v>5625</v>
      </c>
      <c r="F142" s="84">
        <f t="shared" si="30"/>
        <v>5625</v>
      </c>
      <c r="G142" s="84">
        <f t="shared" si="30"/>
        <v>5625</v>
      </c>
      <c r="H142" s="84">
        <f t="shared" si="30"/>
        <v>5625</v>
      </c>
      <c r="I142" s="84">
        <f t="shared" si="30"/>
        <v>5625</v>
      </c>
      <c r="J142" s="84">
        <f t="shared" si="30"/>
        <v>5625</v>
      </c>
      <c r="K142" s="84">
        <f t="shared" si="30"/>
        <v>5625</v>
      </c>
      <c r="L142" s="84">
        <f t="shared" si="30"/>
        <v>5625</v>
      </c>
      <c r="M142" s="84">
        <f t="shared" si="30"/>
        <v>5625</v>
      </c>
      <c r="N142" s="84">
        <f t="shared" si="30"/>
        <v>5625</v>
      </c>
      <c r="O142" s="84">
        <f t="shared" si="30"/>
        <v>5625</v>
      </c>
      <c r="P142" s="95">
        <f>SUM(D142:O142)</f>
        <v>67500</v>
      </c>
      <c r="Q142" s="14"/>
      <c r="R142" s="14"/>
      <c r="S142" s="14"/>
      <c r="T142" s="14"/>
      <c r="U142" s="14"/>
      <c r="V142" s="14"/>
      <c r="W142" s="14"/>
      <c r="AW142" s="87"/>
    </row>
    <row r="143" spans="1:49" s="9" customFormat="1">
      <c r="B143" s="87"/>
      <c r="C143" s="77"/>
      <c r="D143" s="209"/>
      <c r="E143" s="98"/>
      <c r="F143" s="98"/>
      <c r="G143" s="98"/>
      <c r="H143" s="98"/>
      <c r="I143" s="98"/>
      <c r="J143" s="98"/>
      <c r="K143" s="98"/>
      <c r="L143" s="98"/>
      <c r="M143" s="98"/>
      <c r="N143" s="98"/>
      <c r="O143" s="98"/>
      <c r="P143" s="95"/>
      <c r="Q143" s="14"/>
      <c r="R143" s="14"/>
      <c r="S143" s="14"/>
      <c r="T143" s="14"/>
      <c r="U143" s="14"/>
      <c r="V143" s="14"/>
      <c r="W143" s="14"/>
      <c r="AW143" s="87"/>
    </row>
    <row r="144" spans="1:49" s="9" customFormat="1">
      <c r="B144" s="87"/>
      <c r="C144" s="199" t="s">
        <v>108</v>
      </c>
      <c r="D144" s="197">
        <f>debtMonthlyPaymentsFY1(CycleInCalculation,1)</f>
        <v>1179.6873482711903</v>
      </c>
      <c r="E144" s="84">
        <f>debtMonthlyPaymentsFY1(CycleInCalculation,2)</f>
        <v>1179.6873482711903</v>
      </c>
      <c r="F144" s="84">
        <f>debtMonthlyPaymentsFY1(CycleInCalculation,3)</f>
        <v>1179.6873482711903</v>
      </c>
      <c r="G144" s="84">
        <f>debtMonthlyPaymentsFY1(CycleInCalculation,4)</f>
        <v>1179.6873482711903</v>
      </c>
      <c r="H144" s="84">
        <f>debtMonthlyPaymentsFY1(CycleInCalculation,5)</f>
        <v>1179.6873482711903</v>
      </c>
      <c r="I144" s="84">
        <f>debtMonthlyPaymentsFY1(CycleInCalculation,6)</f>
        <v>1179.6873482711903</v>
      </c>
      <c r="J144" s="84">
        <f>debtMonthlyPaymentsFY1(CycleInCalculation,7)</f>
        <v>1179.6873482711903</v>
      </c>
      <c r="K144" s="84">
        <f>debtMonthlyPaymentsFY1(CycleInCalculation,8)</f>
        <v>1179.6873482711903</v>
      </c>
      <c r="L144" s="84">
        <f>debtMonthlyPaymentsFY1(CycleInCalculation,9)</f>
        <v>1179.6873482711903</v>
      </c>
      <c r="M144" s="84">
        <f>debtMonthlyPaymentsFY1(CycleInCalculation,10)</f>
        <v>1179.6873482711903</v>
      </c>
      <c r="N144" s="84">
        <f>debtMonthlyPaymentsFY1(CycleInCalculation,11)</f>
        <v>1179.6873482711903</v>
      </c>
      <c r="O144" s="84">
        <f>debtMonthlyPaymentsFY1(CycleInCalculation,12)</f>
        <v>1179.6873482711903</v>
      </c>
      <c r="P144" s="95">
        <f>SUM(D144:O144)</f>
        <v>14156.248179254288</v>
      </c>
      <c r="Q144" s="14"/>
      <c r="R144" s="14"/>
      <c r="S144" s="14"/>
      <c r="T144" s="14"/>
      <c r="U144" s="14"/>
      <c r="V144" s="14"/>
      <c r="W144" s="14"/>
      <c r="AW144" s="87"/>
    </row>
    <row r="145" spans="1:49" s="9" customFormat="1">
      <c r="B145" s="87"/>
      <c r="C145" s="49"/>
      <c r="D145" s="198"/>
      <c r="E145" s="100"/>
      <c r="F145" s="100"/>
      <c r="G145" s="100"/>
      <c r="H145" s="100"/>
      <c r="I145" s="100"/>
      <c r="J145" s="100"/>
      <c r="K145" s="100"/>
      <c r="L145" s="100"/>
      <c r="M145" s="100"/>
      <c r="N145" s="100"/>
      <c r="O145" s="100"/>
      <c r="P145" s="83"/>
      <c r="Q145" s="14"/>
      <c r="R145" s="14"/>
      <c r="S145" s="14"/>
      <c r="T145" s="14"/>
      <c r="U145" s="14"/>
      <c r="V145" s="14"/>
      <c r="W145" s="14"/>
      <c r="AW145" s="87"/>
    </row>
    <row r="146" spans="1:49" s="9" customFormat="1">
      <c r="B146" s="58"/>
      <c r="C146" s="77" t="s">
        <v>107</v>
      </c>
      <c r="D146" s="197">
        <f>SUM(D139:D145)+D148</f>
        <v>23379.687348271189</v>
      </c>
      <c r="E146" s="197">
        <f t="shared" ref="E146:O146" si="31">SUM(E139:E145)+E148</f>
        <v>23379.687348271189</v>
      </c>
      <c r="F146" s="197">
        <f t="shared" si="31"/>
        <v>23379.687348271189</v>
      </c>
      <c r="G146" s="197">
        <f t="shared" si="31"/>
        <v>23379.687348271189</v>
      </c>
      <c r="H146" s="197">
        <f t="shared" si="31"/>
        <v>23379.687348271189</v>
      </c>
      <c r="I146" s="197">
        <f t="shared" si="31"/>
        <v>23379.687348271189</v>
      </c>
      <c r="J146" s="197">
        <f t="shared" si="31"/>
        <v>23379.687348271189</v>
      </c>
      <c r="K146" s="197">
        <f t="shared" si="31"/>
        <v>23379.687348271189</v>
      </c>
      <c r="L146" s="197">
        <f t="shared" si="31"/>
        <v>23379.687348271189</v>
      </c>
      <c r="M146" s="197">
        <f t="shared" si="31"/>
        <v>23379.687348271189</v>
      </c>
      <c r="N146" s="197">
        <f t="shared" si="31"/>
        <v>23379.687348271189</v>
      </c>
      <c r="O146" s="197">
        <f t="shared" si="31"/>
        <v>23379.687348271189</v>
      </c>
      <c r="P146" s="216">
        <f>SUM(D146:O146)</f>
        <v>280556.2481792543</v>
      </c>
      <c r="Q146" s="14"/>
      <c r="R146" s="14"/>
      <c r="S146" s="14"/>
      <c r="T146" s="14"/>
      <c r="U146" s="14"/>
      <c r="V146" s="14"/>
      <c r="W146" s="14"/>
      <c r="AW146" s="87"/>
    </row>
    <row r="147" spans="1:49" s="9" customFormat="1">
      <c r="B147" s="50"/>
      <c r="C147" s="49"/>
      <c r="D147" s="198"/>
      <c r="E147" s="100"/>
      <c r="F147" s="100"/>
      <c r="G147" s="100"/>
      <c r="H147" s="100"/>
      <c r="I147" s="100"/>
      <c r="J147" s="100"/>
      <c r="K147" s="100"/>
      <c r="L147" s="100"/>
      <c r="M147" s="100"/>
      <c r="N147" s="100"/>
      <c r="O147" s="100"/>
      <c r="P147" s="83"/>
      <c r="Q147" s="14"/>
      <c r="R147" s="14"/>
      <c r="S147" s="14"/>
      <c r="T147" s="14"/>
      <c r="U147" s="14"/>
      <c r="V147" s="14"/>
      <c r="W147" s="14"/>
      <c r="AW147" s="87"/>
    </row>
    <row r="148" spans="1:49" s="9" customFormat="1">
      <c r="B148" s="87"/>
      <c r="C148" s="49" t="s">
        <v>76</v>
      </c>
      <c r="D148" s="546">
        <f>P148/12</f>
        <v>625</v>
      </c>
      <c r="E148" s="546">
        <f>P148/12</f>
        <v>625</v>
      </c>
      <c r="F148" s="546">
        <f>P148/12</f>
        <v>625</v>
      </c>
      <c r="G148" s="546">
        <f>P148/12</f>
        <v>625</v>
      </c>
      <c r="H148" s="546">
        <f>P148/12</f>
        <v>625</v>
      </c>
      <c r="I148" s="546">
        <f>P148/12</f>
        <v>625</v>
      </c>
      <c r="J148" s="546">
        <f>P148/12</f>
        <v>625</v>
      </c>
      <c r="K148" s="546">
        <f>P148/12</f>
        <v>625</v>
      </c>
      <c r="L148" s="546">
        <f>P148/12</f>
        <v>625</v>
      </c>
      <c r="M148" s="546">
        <f>P148/12</f>
        <v>625</v>
      </c>
      <c r="N148" s="546">
        <f>P148/12</f>
        <v>625</v>
      </c>
      <c r="O148" s="546">
        <f>P148/12</f>
        <v>625</v>
      </c>
      <c r="P148" s="1249">
        <f>VLOOKUP(2.701,'Sim-Report'!1:1048576,3+CycleInCalculation,FALSE)*'Project-Start'!D36</f>
        <v>7500</v>
      </c>
      <c r="Q148" s="14"/>
      <c r="R148" s="14"/>
      <c r="S148" s="14"/>
      <c r="T148" s="14"/>
      <c r="U148" s="14"/>
      <c r="V148" s="14"/>
      <c r="W148" s="14"/>
    </row>
    <row r="149" spans="1:49" s="9" customFormat="1">
      <c r="B149" s="58"/>
      <c r="C149" s="77" t="s">
        <v>126</v>
      </c>
      <c r="D149" s="197">
        <f t="shared" ref="D149:O149" si="32">D136-D146</f>
        <v>7264.3856073858333</v>
      </c>
      <c r="E149" s="84">
        <f t="shared" si="32"/>
        <v>7425.1658643678929</v>
      </c>
      <c r="F149" s="84">
        <f t="shared" si="32"/>
        <v>8208.6336001186319</v>
      </c>
      <c r="G149" s="84">
        <f t="shared" si="32"/>
        <v>33198.621114937669</v>
      </c>
      <c r="H149" s="84">
        <f t="shared" si="32"/>
        <v>44486.726174970179</v>
      </c>
      <c r="I149" s="84">
        <f t="shared" si="32"/>
        <v>71464.656688923249</v>
      </c>
      <c r="J149" s="84">
        <f t="shared" si="32"/>
        <v>71464.656688923249</v>
      </c>
      <c r="K149" s="84">
        <f t="shared" si="32"/>
        <v>66516.718158534466</v>
      </c>
      <c r="L149" s="84">
        <f t="shared" si="32"/>
        <v>66516.718158534466</v>
      </c>
      <c r="M149" s="84">
        <f t="shared" si="32"/>
        <v>64135.437898207318</v>
      </c>
      <c r="N149" s="84">
        <f t="shared" si="32"/>
        <v>14318.756559609457</v>
      </c>
      <c r="O149" s="84">
        <f t="shared" si="32"/>
        <v>8406.4530807049341</v>
      </c>
      <c r="P149" s="216">
        <f>SUM(D149:O149)</f>
        <v>463406.9295952174</v>
      </c>
      <c r="Q149" s="14"/>
      <c r="R149" s="14"/>
      <c r="S149" s="14"/>
      <c r="T149" s="14"/>
      <c r="U149" s="14"/>
      <c r="V149" s="14"/>
      <c r="W149" s="14"/>
      <c r="AW149" s="87"/>
    </row>
    <row r="150" spans="1:49" s="9" customFormat="1">
      <c r="C150" s="77" t="s">
        <v>392</v>
      </c>
      <c r="D150" s="89">
        <f>VLOOKUP(3.11,'Sim-Report'!1:1048576,3+CycleInCalculation,FALSE)</f>
        <v>0.25</v>
      </c>
      <c r="E150" s="98"/>
      <c r="F150" s="98"/>
      <c r="G150" s="98"/>
      <c r="H150" s="98"/>
      <c r="I150" s="98"/>
      <c r="J150" s="98"/>
      <c r="K150" s="98"/>
      <c r="L150" s="98"/>
      <c r="M150" s="98"/>
      <c r="N150" s="98"/>
      <c r="O150" s="98"/>
      <c r="P150" s="83"/>
      <c r="Q150" s="14"/>
      <c r="R150" s="14"/>
      <c r="S150" s="14"/>
      <c r="T150" s="14"/>
      <c r="U150" s="14"/>
      <c r="V150" s="14"/>
      <c r="W150" s="14"/>
      <c r="AW150" s="87"/>
    </row>
    <row r="151" spans="1:49" s="9" customFormat="1">
      <c r="B151" s="58"/>
      <c r="C151" s="77" t="s">
        <v>117</v>
      </c>
      <c r="D151" s="197">
        <f>D149</f>
        <v>7264.3856073858333</v>
      </c>
      <c r="E151" s="84">
        <f t="shared" ref="E151:O151" si="33">D151+E149</f>
        <v>14689.551471753726</v>
      </c>
      <c r="F151" s="84">
        <f t="shared" si="33"/>
        <v>22898.185071872358</v>
      </c>
      <c r="G151" s="84">
        <f t="shared" si="33"/>
        <v>56096.806186810027</v>
      </c>
      <c r="H151" s="84">
        <f t="shared" si="33"/>
        <v>100583.53236178021</v>
      </c>
      <c r="I151" s="84">
        <f t="shared" si="33"/>
        <v>172048.18905070345</v>
      </c>
      <c r="J151" s="84">
        <f t="shared" si="33"/>
        <v>243512.8457396267</v>
      </c>
      <c r="K151" s="84">
        <f t="shared" si="33"/>
        <v>310029.56389816117</v>
      </c>
      <c r="L151" s="84">
        <f t="shared" si="33"/>
        <v>376546.28205669567</v>
      </c>
      <c r="M151" s="84">
        <f t="shared" si="33"/>
        <v>440681.719954903</v>
      </c>
      <c r="N151" s="84">
        <f t="shared" si="33"/>
        <v>455000.47651451244</v>
      </c>
      <c r="O151" s="84">
        <f t="shared" si="33"/>
        <v>463406.9295952174</v>
      </c>
      <c r="P151" s="83"/>
      <c r="Q151" s="14"/>
      <c r="R151" s="14"/>
      <c r="S151" s="14"/>
      <c r="T151" s="14"/>
      <c r="U151" s="14"/>
      <c r="V151" s="14"/>
      <c r="W151" s="14"/>
      <c r="AW151" s="87"/>
    </row>
    <row r="152" spans="1:49" s="9" customFormat="1">
      <c r="B152" s="58"/>
      <c r="C152" s="77" t="s">
        <v>684</v>
      </c>
      <c r="D152" s="197"/>
      <c r="E152" s="84"/>
      <c r="F152" s="84"/>
      <c r="G152" s="84"/>
      <c r="H152" s="84"/>
      <c r="I152" s="84"/>
      <c r="J152" s="84"/>
      <c r="K152" s="84"/>
      <c r="L152" s="84"/>
      <c r="M152" s="84"/>
      <c r="N152" s="84"/>
      <c r="O152" s="84"/>
      <c r="P152" s="95">
        <f>P153-C74</f>
        <v>197555.19734999997</v>
      </c>
      <c r="Q152" s="14"/>
      <c r="R152" s="14"/>
      <c r="S152" s="14"/>
      <c r="T152" s="14"/>
      <c r="U152" s="14"/>
      <c r="V152" s="14"/>
      <c r="W152" s="14"/>
      <c r="AW152" s="87"/>
    </row>
    <row r="153" spans="1:49" s="9" customFormat="1" ht="12" thickBot="1">
      <c r="B153" s="77"/>
      <c r="C153" s="58" t="s">
        <v>105</v>
      </c>
      <c r="D153" s="109">
        <f>ProfitAfterTaxes(D149,D151,D150)</f>
        <v>5448.2892000000002</v>
      </c>
      <c r="E153" s="96">
        <f>ProfitAfterTaxes(E149,E151,D150)</f>
        <v>5568.874425</v>
      </c>
      <c r="F153" s="96">
        <f>ProfitAfterTaxes(F149,F151,D150)</f>
        <v>6156.4751999999989</v>
      </c>
      <c r="G153" s="96">
        <f>ProfitAfterTaxes(G149,G151,D150)</f>
        <v>24898.965824999999</v>
      </c>
      <c r="H153" s="96">
        <f>ProfitAfterTaxes(H149,H151,D150)</f>
        <v>33365.044649999996</v>
      </c>
      <c r="I153" s="96">
        <f>ProfitAfterTaxes(I149,I151,D150)</f>
        <v>53598.492525000009</v>
      </c>
      <c r="J153" s="96">
        <f>ProfitAfterTaxes(J149,J151,D150)</f>
        <v>53598.492525000009</v>
      </c>
      <c r="K153" s="96">
        <f>ProfitAfterTaxes(K149,K151,D150)</f>
        <v>49887.538650000002</v>
      </c>
      <c r="L153" s="96">
        <f>ProfitAfterTaxes(L149,L151,D150)</f>
        <v>49887.538650000002</v>
      </c>
      <c r="M153" s="96">
        <f>ProfitAfterTaxes(M149,M151,D150)</f>
        <v>48101.578425</v>
      </c>
      <c r="N153" s="96">
        <f>ProfitAfterTaxes(N149,N151,D150)</f>
        <v>10739.06745</v>
      </c>
      <c r="O153" s="96">
        <f>ProfitAfterTaxes(O149,O151,D150)</f>
        <v>6304.8398250000009</v>
      </c>
      <c r="P153" s="216">
        <f>SUM(D153:O153)</f>
        <v>347555.19734999997</v>
      </c>
      <c r="Q153" s="14"/>
      <c r="R153" s="14"/>
      <c r="S153" s="14"/>
      <c r="T153" s="14"/>
      <c r="U153" s="14"/>
      <c r="V153" s="14"/>
      <c r="W153" s="14"/>
      <c r="AW153" s="87"/>
    </row>
    <row r="154" spans="1:49" s="9" customFormat="1" ht="12" thickBot="1">
      <c r="B154" s="15"/>
      <c r="C154" s="17" t="s">
        <v>116</v>
      </c>
      <c r="D154" s="76" t="s">
        <v>35</v>
      </c>
      <c r="E154" s="76" t="s">
        <v>35</v>
      </c>
      <c r="F154" s="76" t="s">
        <v>35</v>
      </c>
      <c r="G154" s="76" t="s">
        <v>35</v>
      </c>
      <c r="H154" s="76" t="s">
        <v>35</v>
      </c>
      <c r="I154" s="76" t="s">
        <v>35</v>
      </c>
      <c r="J154" s="76" t="s">
        <v>35</v>
      </c>
      <c r="K154" s="76" t="s">
        <v>35</v>
      </c>
      <c r="L154" s="76" t="s">
        <v>35</v>
      </c>
      <c r="M154" s="76" t="s">
        <v>35</v>
      </c>
      <c r="N154" s="76" t="s">
        <v>35</v>
      </c>
      <c r="O154" s="76" t="s">
        <v>35</v>
      </c>
      <c r="P154" s="88" t="s">
        <v>35</v>
      </c>
      <c r="Q154" s="14"/>
      <c r="R154" s="14"/>
      <c r="S154" s="14"/>
      <c r="T154" s="14"/>
      <c r="U154" s="14"/>
      <c r="V154" s="14"/>
      <c r="W154" s="14"/>
      <c r="AW154" s="87"/>
    </row>
    <row r="155" spans="1:49" s="9" customFormat="1" ht="12" thickBot="1">
      <c r="B155" s="15"/>
      <c r="C155" s="17" t="s">
        <v>115</v>
      </c>
      <c r="D155" s="252" t="s">
        <v>47</v>
      </c>
      <c r="E155" s="252" t="s">
        <v>46</v>
      </c>
      <c r="F155" s="252" t="s">
        <v>45</v>
      </c>
      <c r="G155" s="252" t="s">
        <v>44</v>
      </c>
      <c r="H155" s="252" t="s">
        <v>43</v>
      </c>
      <c r="I155" s="252" t="s">
        <v>42</v>
      </c>
      <c r="J155" s="252" t="s">
        <v>41</v>
      </c>
      <c r="K155" s="252" t="s">
        <v>40</v>
      </c>
      <c r="L155" s="252" t="s">
        <v>39</v>
      </c>
      <c r="M155" s="252" t="s">
        <v>38</v>
      </c>
      <c r="N155" s="252" t="s">
        <v>37</v>
      </c>
      <c r="O155" s="252" t="s">
        <v>36</v>
      </c>
      <c r="P155" s="88" t="s">
        <v>101</v>
      </c>
      <c r="Q155" s="14"/>
      <c r="R155" s="14"/>
      <c r="S155" s="14"/>
      <c r="T155" s="14"/>
      <c r="U155" s="14"/>
      <c r="V155" s="14"/>
      <c r="W155" s="14"/>
      <c r="AW155" s="87"/>
    </row>
    <row r="156" spans="1:49" s="9" customFormat="1">
      <c r="B156" s="85"/>
      <c r="C156" s="85"/>
      <c r="D156" s="108"/>
      <c r="E156" s="108"/>
      <c r="F156" s="108"/>
      <c r="G156" s="108"/>
      <c r="H156" s="108"/>
      <c r="I156" s="108"/>
      <c r="J156" s="108"/>
      <c r="K156" s="108"/>
      <c r="L156" s="108"/>
      <c r="M156" s="108"/>
      <c r="N156" s="108"/>
      <c r="O156" s="108"/>
      <c r="P156" s="14"/>
      <c r="Q156" s="14"/>
      <c r="R156" s="14"/>
      <c r="S156" s="14"/>
      <c r="T156" s="14"/>
      <c r="U156" s="14"/>
      <c r="V156" s="14"/>
      <c r="W156" s="14"/>
      <c r="AR156" s="87"/>
      <c r="AS156" s="87"/>
      <c r="AT156" s="87"/>
      <c r="AU156" s="87"/>
      <c r="AV156" s="87"/>
      <c r="AW156" s="87"/>
    </row>
    <row r="157" spans="1:49" s="9" customFormat="1" ht="16.5" thickBot="1">
      <c r="A157" s="228">
        <v>5</v>
      </c>
      <c r="B157" s="165" t="s">
        <v>401</v>
      </c>
      <c r="C157" s="228"/>
      <c r="D157" s="108"/>
      <c r="E157" s="108"/>
      <c r="F157" s="108"/>
      <c r="G157" s="108"/>
      <c r="H157" s="108"/>
      <c r="I157" s="108"/>
      <c r="J157" s="108"/>
      <c r="K157" s="108"/>
      <c r="L157" s="108"/>
      <c r="M157" s="108"/>
      <c r="N157" s="108"/>
      <c r="O157" s="108"/>
      <c r="P157" s="14"/>
      <c r="Q157" s="14"/>
      <c r="R157" s="14"/>
      <c r="S157" s="14"/>
      <c r="T157" s="14"/>
      <c r="U157" s="14"/>
      <c r="V157" s="14"/>
      <c r="W157" s="14"/>
      <c r="AR157" s="87"/>
      <c r="AS157" s="87"/>
      <c r="AT157" s="87"/>
      <c r="AU157" s="87"/>
      <c r="AV157" s="87"/>
      <c r="AW157" s="87"/>
    </row>
    <row r="158" spans="1:49" s="9" customFormat="1" ht="12" thickBot="1">
      <c r="B158" s="15" t="s">
        <v>116</v>
      </c>
      <c r="C158" s="15"/>
      <c r="D158" s="76" t="s">
        <v>34</v>
      </c>
      <c r="E158" s="76" t="s">
        <v>34</v>
      </c>
      <c r="F158" s="76" t="s">
        <v>34</v>
      </c>
      <c r="G158" s="76" t="s">
        <v>34</v>
      </c>
      <c r="H158" s="76" t="s">
        <v>34</v>
      </c>
      <c r="I158" s="76" t="s">
        <v>34</v>
      </c>
      <c r="J158" s="76" t="s">
        <v>34</v>
      </c>
      <c r="K158" s="76" t="s">
        <v>34</v>
      </c>
      <c r="L158" s="76" t="s">
        <v>34</v>
      </c>
      <c r="M158" s="76" t="s">
        <v>34</v>
      </c>
      <c r="N158" s="76" t="s">
        <v>34</v>
      </c>
      <c r="O158" s="76" t="s">
        <v>34</v>
      </c>
      <c r="P158" s="88" t="s">
        <v>125</v>
      </c>
      <c r="Q158" s="14"/>
      <c r="R158" s="14"/>
      <c r="S158" s="14"/>
      <c r="T158" s="14"/>
      <c r="U158" s="14"/>
      <c r="V158" s="14"/>
      <c r="W158" s="14"/>
      <c r="AV158" s="87"/>
      <c r="AW158" s="87"/>
    </row>
    <row r="159" spans="1:49" s="9" customFormat="1" ht="12" thickBot="1">
      <c r="B159" s="15" t="s">
        <v>115</v>
      </c>
      <c r="C159" s="15"/>
      <c r="D159" s="252" t="s">
        <v>47</v>
      </c>
      <c r="E159" s="252" t="s">
        <v>46</v>
      </c>
      <c r="F159" s="252" t="s">
        <v>45</v>
      </c>
      <c r="G159" s="252" t="s">
        <v>44</v>
      </c>
      <c r="H159" s="252" t="s">
        <v>43</v>
      </c>
      <c r="I159" s="252" t="s">
        <v>42</v>
      </c>
      <c r="J159" s="252" t="s">
        <v>41</v>
      </c>
      <c r="K159" s="252" t="s">
        <v>40</v>
      </c>
      <c r="L159" s="252" t="s">
        <v>39</v>
      </c>
      <c r="M159" s="252" t="s">
        <v>38</v>
      </c>
      <c r="N159" s="252" t="s">
        <v>37</v>
      </c>
      <c r="O159" s="252" t="s">
        <v>36</v>
      </c>
      <c r="P159" s="88" t="s">
        <v>101</v>
      </c>
      <c r="Q159" s="14"/>
      <c r="R159" s="14"/>
      <c r="S159" s="14"/>
      <c r="T159" s="14"/>
      <c r="U159" s="14"/>
      <c r="V159" s="14"/>
      <c r="W159" s="14"/>
      <c r="AV159" s="87"/>
      <c r="AW159" s="87"/>
    </row>
    <row r="160" spans="1:49" s="9" customFormat="1">
      <c r="B160" s="107" t="s">
        <v>699</v>
      </c>
      <c r="C160" s="77" t="s">
        <v>391</v>
      </c>
      <c r="D160" s="116">
        <f>Price4_36MoPr(VarCostByProduct,B160)</f>
        <v>4.49</v>
      </c>
      <c r="E160" s="106"/>
      <c r="F160" s="106"/>
      <c r="G160" s="106"/>
      <c r="H160" s="105"/>
      <c r="I160" s="100"/>
      <c r="J160" s="100"/>
      <c r="K160" s="100"/>
      <c r="L160" s="100"/>
      <c r="M160" s="100"/>
      <c r="N160" s="100"/>
      <c r="O160" s="100"/>
      <c r="P160" s="1250"/>
      <c r="Q160" s="14"/>
      <c r="R160" s="14"/>
      <c r="S160" s="14"/>
      <c r="T160" s="14"/>
      <c r="U160" s="14"/>
      <c r="V160" s="14"/>
      <c r="W160" s="14"/>
      <c r="AV160" s="87"/>
      <c r="AW160" s="87"/>
    </row>
    <row r="161" spans="2:49" s="9" customFormat="1">
      <c r="B161" s="58"/>
      <c r="C161" s="77" t="s">
        <v>121</v>
      </c>
      <c r="D161" s="115">
        <f>Varcosts4_36MoPr(VarCostByProduct,B160)</f>
        <v>0.93</v>
      </c>
      <c r="E161" s="100"/>
      <c r="F161" s="100"/>
      <c r="G161" s="100"/>
      <c r="H161" s="100"/>
      <c r="I161" s="100"/>
      <c r="J161" s="100"/>
      <c r="K161" s="100"/>
      <c r="L161" s="100"/>
      <c r="M161" s="100"/>
      <c r="N161" s="100"/>
      <c r="O161" s="100"/>
      <c r="P161" s="1250"/>
      <c r="Q161" s="14"/>
      <c r="R161" s="14"/>
      <c r="S161" s="14"/>
      <c r="T161" s="14"/>
      <c r="U161" s="14"/>
      <c r="V161" s="14"/>
      <c r="W161" s="14"/>
      <c r="AV161" s="87"/>
      <c r="AW161" s="87"/>
    </row>
    <row r="162" spans="2:49" s="9" customFormat="1">
      <c r="B162" s="58"/>
      <c r="C162" s="205" t="s">
        <v>114</v>
      </c>
      <c r="D162" s="117">
        <f>Sales4_36MoPr(SalesJan,"FY-2",$B160)</f>
        <v>391.18490566037747</v>
      </c>
      <c r="E162" s="117">
        <f>Sales4_36MoPr(SalesFeb,"FY-2",$B160)</f>
        <v>391.18490566037747</v>
      </c>
      <c r="F162" s="117">
        <f>Sales4_36MoPr(SalesMar,"FY-2",$B160)</f>
        <v>391.18490566037747</v>
      </c>
      <c r="G162" s="117">
        <f>Sales4_36MoPr(SalesApr,"FY-2",$B160)</f>
        <v>470.79802167552015</v>
      </c>
      <c r="H162" s="117">
        <f>Sales4_36MoPr(SalesMay,"FY-2",$B160)</f>
        <v>1318.0419580419582</v>
      </c>
      <c r="I162" s="117">
        <f>Sales4_36MoPr(SalesJun,"FY-2",$B160)</f>
        <v>1332.4421593830334</v>
      </c>
      <c r="J162" s="117">
        <f>Sales4_36MoPr(SalesJul,"FY-2",$B160)</f>
        <v>1332.4421593830334</v>
      </c>
      <c r="K162" s="117">
        <f>Sales4_36MoPr(SalesAug,"FY-2",$B160)</f>
        <v>1374.4490276959343</v>
      </c>
      <c r="L162" s="117">
        <f>Sales4_36MoPr(SalesSep,"FY-2",$B160)</f>
        <v>1374.4490276959343</v>
      </c>
      <c r="M162" s="117">
        <f>Sales4_36MoPr(SalesOct,"FY-2",$B160)</f>
        <v>1123.2419547079858</v>
      </c>
      <c r="N162" s="117">
        <f>Sales4_36MoPr(SalesNov,"FY-2",$B160)</f>
        <v>612.15454698835845</v>
      </c>
      <c r="O162" s="117">
        <f>Sales4_36MoPr(SalesDec,"FY-2",$B160)</f>
        <v>612.15454698835845</v>
      </c>
      <c r="P162" s="1265">
        <f>SUM(D162:O162)</f>
        <v>10723.728119541249</v>
      </c>
      <c r="Q162" s="14"/>
      <c r="R162" s="14"/>
      <c r="S162" s="14"/>
      <c r="T162" s="14"/>
      <c r="U162" s="14"/>
      <c r="V162" s="14"/>
      <c r="W162" s="14"/>
      <c r="AV162" s="87"/>
      <c r="AW162" s="87"/>
    </row>
    <row r="163" spans="2:49" s="9" customFormat="1">
      <c r="B163" s="206"/>
      <c r="C163" s="77" t="s">
        <v>113</v>
      </c>
      <c r="D163" s="84">
        <f t="shared" ref="D163:O163" si="34">D162*$D160</f>
        <v>1756.4202264150949</v>
      </c>
      <c r="E163" s="84">
        <f t="shared" si="34"/>
        <v>1756.4202264150949</v>
      </c>
      <c r="F163" s="84">
        <f t="shared" si="34"/>
        <v>1756.4202264150949</v>
      </c>
      <c r="G163" s="84">
        <f t="shared" si="34"/>
        <v>2113.8831173230856</v>
      </c>
      <c r="H163" s="84">
        <f t="shared" si="34"/>
        <v>5918.0083916083922</v>
      </c>
      <c r="I163" s="84">
        <f t="shared" si="34"/>
        <v>5982.6652956298203</v>
      </c>
      <c r="J163" s="84">
        <f t="shared" si="34"/>
        <v>5982.6652956298203</v>
      </c>
      <c r="K163" s="84">
        <f t="shared" si="34"/>
        <v>6171.2761343547454</v>
      </c>
      <c r="L163" s="84">
        <f t="shared" si="34"/>
        <v>6171.2761343547454</v>
      </c>
      <c r="M163" s="84">
        <f t="shared" si="34"/>
        <v>5043.3563766388561</v>
      </c>
      <c r="N163" s="84">
        <f t="shared" si="34"/>
        <v>2748.5739159777295</v>
      </c>
      <c r="O163" s="84">
        <f t="shared" si="34"/>
        <v>2748.5739159777295</v>
      </c>
      <c r="P163" s="1252">
        <f>SUM(D163:O163)</f>
        <v>48149.539256740209</v>
      </c>
      <c r="Q163" s="14"/>
      <c r="R163" s="14"/>
      <c r="S163" s="14"/>
      <c r="T163" s="14"/>
      <c r="U163" s="14"/>
      <c r="V163" s="14"/>
      <c r="W163" s="14"/>
      <c r="AV163" s="87"/>
      <c r="AW163" s="87"/>
    </row>
    <row r="164" spans="2:49" s="9" customFormat="1">
      <c r="B164" s="58"/>
      <c r="C164" s="77" t="s">
        <v>112</v>
      </c>
      <c r="D164" s="84">
        <f>D162*$D$80</f>
        <v>363.80196226415109</v>
      </c>
      <c r="E164" s="84">
        <f>E162*$D$80</f>
        <v>363.80196226415109</v>
      </c>
      <c r="F164" s="84">
        <f t="shared" ref="F164:O164" si="35">F162*$D161</f>
        <v>363.80196226415109</v>
      </c>
      <c r="G164" s="84">
        <f t="shared" si="35"/>
        <v>437.84216015823375</v>
      </c>
      <c r="H164" s="84">
        <f t="shared" si="35"/>
        <v>1225.7790209790212</v>
      </c>
      <c r="I164" s="84">
        <f t="shared" si="35"/>
        <v>1239.1712082262211</v>
      </c>
      <c r="J164" s="84">
        <f t="shared" si="35"/>
        <v>1239.1712082262211</v>
      </c>
      <c r="K164" s="84">
        <f t="shared" si="35"/>
        <v>1278.237595757219</v>
      </c>
      <c r="L164" s="84">
        <f t="shared" si="35"/>
        <v>1278.237595757219</v>
      </c>
      <c r="M164" s="84">
        <f t="shared" si="35"/>
        <v>1044.6150178784269</v>
      </c>
      <c r="N164" s="84">
        <f t="shared" si="35"/>
        <v>569.30372869917335</v>
      </c>
      <c r="O164" s="84">
        <f t="shared" si="35"/>
        <v>569.30372869917335</v>
      </c>
      <c r="P164" s="1252">
        <f>SUM(D164:O164)</f>
        <v>9973.0671511733599</v>
      </c>
      <c r="Q164" s="14"/>
      <c r="R164" s="14"/>
      <c r="S164" s="14"/>
      <c r="T164" s="14"/>
      <c r="U164" s="14"/>
      <c r="V164" s="14"/>
      <c r="W164" s="14"/>
      <c r="AV164" s="87"/>
      <c r="AW164" s="87"/>
    </row>
    <row r="165" spans="2:49" s="9" customFormat="1">
      <c r="B165" s="58"/>
      <c r="C165" s="77" t="s">
        <v>111</v>
      </c>
      <c r="D165" s="84">
        <f>D163-D164</f>
        <v>1392.6182641509438</v>
      </c>
      <c r="E165" s="84">
        <f t="shared" ref="E165:O165" si="36">E163-E164</f>
        <v>1392.6182641509438</v>
      </c>
      <c r="F165" s="84">
        <f t="shared" si="36"/>
        <v>1392.6182641509438</v>
      </c>
      <c r="G165" s="84">
        <f t="shared" si="36"/>
        <v>1676.0409571648518</v>
      </c>
      <c r="H165" s="84">
        <f t="shared" si="36"/>
        <v>4692.2293706293713</v>
      </c>
      <c r="I165" s="84">
        <f t="shared" si="36"/>
        <v>4743.4940874035992</v>
      </c>
      <c r="J165" s="84">
        <f t="shared" si="36"/>
        <v>4743.4940874035992</v>
      </c>
      <c r="K165" s="84">
        <f t="shared" si="36"/>
        <v>4893.038538597526</v>
      </c>
      <c r="L165" s="84">
        <f t="shared" si="36"/>
        <v>4893.038538597526</v>
      </c>
      <c r="M165" s="84">
        <f t="shared" si="36"/>
        <v>3998.7413587604292</v>
      </c>
      <c r="N165" s="84">
        <f t="shared" si="36"/>
        <v>2179.270187278556</v>
      </c>
      <c r="O165" s="84">
        <f t="shared" si="36"/>
        <v>2179.270187278556</v>
      </c>
      <c r="P165" s="1252">
        <f>SUM(D165:O165)</f>
        <v>38176.472105566841</v>
      </c>
      <c r="Q165" s="14"/>
      <c r="R165" s="14"/>
      <c r="S165" s="14"/>
      <c r="T165" s="14"/>
      <c r="U165" s="14"/>
      <c r="V165" s="14"/>
      <c r="W165" s="14"/>
      <c r="AV165" s="87"/>
      <c r="AW165" s="87"/>
    </row>
    <row r="166" spans="2:49" s="9" customFormat="1">
      <c r="B166" s="107" t="s">
        <v>700</v>
      </c>
      <c r="C166" s="77" t="s">
        <v>391</v>
      </c>
      <c r="D166" s="116">
        <f>Price4_36MoPr(VarCostByProduct,B166)</f>
        <v>6.99</v>
      </c>
      <c r="E166" s="106"/>
      <c r="F166" s="106"/>
      <c r="G166" s="106"/>
      <c r="H166" s="105"/>
      <c r="I166" s="100"/>
      <c r="J166" s="100"/>
      <c r="K166" s="100"/>
      <c r="L166" s="100"/>
      <c r="M166" s="100"/>
      <c r="N166" s="100"/>
      <c r="O166" s="100"/>
      <c r="P166" s="1252"/>
      <c r="Q166" s="14"/>
      <c r="R166" s="14"/>
      <c r="S166" s="14"/>
      <c r="T166" s="14"/>
      <c r="U166" s="14"/>
      <c r="V166" s="14"/>
      <c r="W166" s="14"/>
      <c r="AV166" s="87"/>
      <c r="AW166" s="87"/>
    </row>
    <row r="167" spans="2:49" s="9" customFormat="1">
      <c r="B167" s="58"/>
      <c r="C167" s="77" t="s">
        <v>121</v>
      </c>
      <c r="D167" s="115">
        <f>Varcosts4_36MoPr(VarCostByProduct,B166)</f>
        <v>0.97</v>
      </c>
      <c r="E167" s="100"/>
      <c r="F167" s="100"/>
      <c r="G167" s="100"/>
      <c r="H167" s="100"/>
      <c r="I167" s="100"/>
      <c r="J167" s="100"/>
      <c r="K167" s="100"/>
      <c r="L167" s="100"/>
      <c r="M167" s="100"/>
      <c r="N167" s="100"/>
      <c r="O167" s="100"/>
      <c r="P167" s="1252"/>
      <c r="Q167" s="14"/>
      <c r="R167" s="14"/>
      <c r="S167" s="14"/>
      <c r="T167" s="14"/>
      <c r="U167" s="14"/>
      <c r="V167" s="14"/>
      <c r="W167" s="14"/>
      <c r="AV167" s="87"/>
      <c r="AW167" s="87"/>
    </row>
    <row r="168" spans="2:49" s="9" customFormat="1">
      <c r="B168" s="58"/>
      <c r="C168" s="205" t="s">
        <v>114</v>
      </c>
      <c r="D168" s="117">
        <f>Sales4_36MoPr(SalesJan,"FY-2",$B166)</f>
        <v>510.66009852216746</v>
      </c>
      <c r="E168" s="117">
        <f>Sales4_36MoPr(SalesFeb,"FY-2",$B166)</f>
        <v>440.67335487162052</v>
      </c>
      <c r="F168" s="117">
        <f>Sales4_36MoPr(SalesMar,"FY-2",$B166)</f>
        <v>510.66009852216746</v>
      </c>
      <c r="G168" s="117">
        <f>Sales4_36MoPr(SalesApr,"FY-2",$B166)</f>
        <v>655.20278099652364</v>
      </c>
      <c r="H168" s="117">
        <f>Sales4_36MoPr(SalesMay,"FY-2",$B166)</f>
        <v>1280.8566721581549</v>
      </c>
      <c r="I168" s="117">
        <f>Sales4_36MoPr(SalesJun,"FY-2",$B166)</f>
        <v>1261.0431495556359</v>
      </c>
      <c r="J168" s="117">
        <f>Sales4_36MoPr(SalesJul,"FY-2",$B166)</f>
        <v>1261.0431495556359</v>
      </c>
      <c r="K168" s="117">
        <f>Sales4_36MoPr(SalesAug,"FY-2",$B166)</f>
        <v>1294.6945596076805</v>
      </c>
      <c r="L168" s="117">
        <f>Sales4_36MoPr(SalesSep,"FY-2",$B166)</f>
        <v>1294.6945596076805</v>
      </c>
      <c r="M168" s="117">
        <f>Sales4_36MoPr(SalesOct,"FY-2",$B166)</f>
        <v>1280.8566721581549</v>
      </c>
      <c r="N168" s="117">
        <f>Sales4_36MoPr(SalesNov,"FY-2",$B166)</f>
        <v>510.66009852216746</v>
      </c>
      <c r="O168" s="117">
        <f>Sales4_36MoPr(SalesDec,"FY-2",$B166)</f>
        <v>440.67335487162052</v>
      </c>
      <c r="P168" s="1265">
        <f>SUM(D168:O168)</f>
        <v>10741.718548949209</v>
      </c>
      <c r="Q168" s="14"/>
      <c r="R168" s="14"/>
      <c r="S168" s="14"/>
      <c r="T168" s="14"/>
      <c r="U168" s="14"/>
      <c r="V168" s="14"/>
      <c r="W168" s="14"/>
      <c r="AV168" s="87"/>
      <c r="AW168" s="87"/>
    </row>
    <row r="169" spans="2:49" s="9" customFormat="1">
      <c r="B169" s="206"/>
      <c r="C169" s="77" t="s">
        <v>113</v>
      </c>
      <c r="D169" s="84">
        <f t="shared" ref="D169:O169" si="37">D168*$D166</f>
        <v>3569.5140886699505</v>
      </c>
      <c r="E169" s="84">
        <f t="shared" si="37"/>
        <v>3080.3067505526274</v>
      </c>
      <c r="F169" s="84">
        <f t="shared" si="37"/>
        <v>3569.5140886699505</v>
      </c>
      <c r="G169" s="84">
        <f t="shared" si="37"/>
        <v>4579.8674391657005</v>
      </c>
      <c r="H169" s="84">
        <f t="shared" si="37"/>
        <v>8953.1881383855034</v>
      </c>
      <c r="I169" s="84">
        <f t="shared" si="37"/>
        <v>8814.6916153938946</v>
      </c>
      <c r="J169" s="84">
        <f t="shared" si="37"/>
        <v>8814.6916153938946</v>
      </c>
      <c r="K169" s="84">
        <f t="shared" si="37"/>
        <v>9049.9149716576867</v>
      </c>
      <c r="L169" s="84">
        <f t="shared" si="37"/>
        <v>9049.9149716576867</v>
      </c>
      <c r="M169" s="84">
        <f t="shared" si="37"/>
        <v>8953.1881383855034</v>
      </c>
      <c r="N169" s="84">
        <f t="shared" si="37"/>
        <v>3569.5140886699505</v>
      </c>
      <c r="O169" s="84">
        <f t="shared" si="37"/>
        <v>3080.3067505526274</v>
      </c>
      <c r="P169" s="1252">
        <f>SUM(D169:O169)</f>
        <v>75084.612657154983</v>
      </c>
      <c r="Q169" s="14"/>
      <c r="R169" s="14"/>
      <c r="S169" s="14"/>
      <c r="T169" s="14"/>
      <c r="U169" s="14"/>
      <c r="V169" s="14"/>
      <c r="W169" s="14"/>
      <c r="AV169" s="87"/>
      <c r="AW169" s="87"/>
    </row>
    <row r="170" spans="2:49" s="9" customFormat="1">
      <c r="B170" s="58"/>
      <c r="C170" s="77" t="s">
        <v>112</v>
      </c>
      <c r="D170" s="84">
        <f>D168*$D$80</f>
        <v>474.91389162561575</v>
      </c>
      <c r="E170" s="84">
        <f>E168*$D$80</f>
        <v>409.82622003060709</v>
      </c>
      <c r="F170" s="84">
        <f t="shared" ref="F170:O170" si="38">F168*$D167</f>
        <v>495.34029556650245</v>
      </c>
      <c r="G170" s="84">
        <f t="shared" si="38"/>
        <v>635.54669756662793</v>
      </c>
      <c r="H170" s="84">
        <f t="shared" si="38"/>
        <v>1242.4309719934101</v>
      </c>
      <c r="I170" s="84">
        <f t="shared" si="38"/>
        <v>1223.2118550689668</v>
      </c>
      <c r="J170" s="84">
        <f t="shared" si="38"/>
        <v>1223.2118550689668</v>
      </c>
      <c r="K170" s="84">
        <f t="shared" si="38"/>
        <v>1255.85372281945</v>
      </c>
      <c r="L170" s="84">
        <f t="shared" si="38"/>
        <v>1255.85372281945</v>
      </c>
      <c r="M170" s="84">
        <f t="shared" si="38"/>
        <v>1242.4309719934101</v>
      </c>
      <c r="N170" s="84">
        <f t="shared" si="38"/>
        <v>495.34029556650245</v>
      </c>
      <c r="O170" s="84">
        <f t="shared" si="38"/>
        <v>427.45315422547191</v>
      </c>
      <c r="P170" s="1252">
        <f>SUM(D170:O170)</f>
        <v>10381.41365434498</v>
      </c>
      <c r="Q170" s="14"/>
      <c r="R170" s="14"/>
      <c r="S170" s="14"/>
      <c r="T170" s="14"/>
      <c r="U170" s="14"/>
      <c r="V170" s="14"/>
      <c r="W170" s="14"/>
      <c r="AV170" s="87"/>
      <c r="AW170" s="87"/>
    </row>
    <row r="171" spans="2:49" s="9" customFormat="1">
      <c r="B171" s="58"/>
      <c r="C171" s="77" t="s">
        <v>111</v>
      </c>
      <c r="D171" s="84">
        <f>D169-D170</f>
        <v>3094.6001970443349</v>
      </c>
      <c r="E171" s="84">
        <f t="shared" ref="E171:O171" si="39">E169-E170</f>
        <v>2670.4805305220202</v>
      </c>
      <c r="F171" s="84">
        <f t="shared" si="39"/>
        <v>3074.1737931034481</v>
      </c>
      <c r="G171" s="84">
        <f t="shared" si="39"/>
        <v>3944.3207415990728</v>
      </c>
      <c r="H171" s="84">
        <f t="shared" si="39"/>
        <v>7710.7571663920935</v>
      </c>
      <c r="I171" s="84">
        <f t="shared" si="39"/>
        <v>7591.4797603249281</v>
      </c>
      <c r="J171" s="84">
        <f t="shared" si="39"/>
        <v>7591.4797603249281</v>
      </c>
      <c r="K171" s="84">
        <f t="shared" si="39"/>
        <v>7794.0612488382367</v>
      </c>
      <c r="L171" s="84">
        <f t="shared" si="39"/>
        <v>7794.0612488382367</v>
      </c>
      <c r="M171" s="84">
        <f t="shared" si="39"/>
        <v>7710.7571663920935</v>
      </c>
      <c r="N171" s="84">
        <f t="shared" si="39"/>
        <v>3074.1737931034481</v>
      </c>
      <c r="O171" s="84">
        <f t="shared" si="39"/>
        <v>2652.8535963271556</v>
      </c>
      <c r="P171" s="1252">
        <f>SUM(D171:O171)</f>
        <v>64703.199002810004</v>
      </c>
      <c r="Q171" s="14"/>
      <c r="R171" s="14"/>
      <c r="S171" s="14"/>
      <c r="T171" s="14"/>
      <c r="U171" s="14"/>
      <c r="V171" s="14"/>
      <c r="W171" s="14"/>
      <c r="AV171" s="87"/>
      <c r="AW171" s="87"/>
    </row>
    <row r="172" spans="2:49" s="9" customFormat="1">
      <c r="B172" s="107" t="s">
        <v>701</v>
      </c>
      <c r="C172" s="77" t="s">
        <v>391</v>
      </c>
      <c r="D172" s="116">
        <f>Price4_36MoPr(VarCostByProduct,B172)</f>
        <v>5.49</v>
      </c>
      <c r="E172" s="106"/>
      <c r="F172" s="106"/>
      <c r="G172" s="106"/>
      <c r="H172" s="105"/>
      <c r="I172" s="100"/>
      <c r="J172" s="100"/>
      <c r="K172" s="100"/>
      <c r="L172" s="100"/>
      <c r="M172" s="100"/>
      <c r="N172" s="100"/>
      <c r="O172" s="100"/>
      <c r="P172" s="1252"/>
      <c r="Q172" s="14"/>
      <c r="R172" s="14"/>
      <c r="S172" s="14"/>
      <c r="T172" s="14"/>
      <c r="U172" s="14"/>
      <c r="V172" s="14"/>
      <c r="W172" s="14"/>
      <c r="AV172" s="87"/>
      <c r="AW172" s="87"/>
    </row>
    <row r="173" spans="2:49" s="9" customFormat="1">
      <c r="B173" s="58"/>
      <c r="C173" s="77" t="s">
        <v>121</v>
      </c>
      <c r="D173" s="115">
        <f>Varcosts4_36MoPr(VarCostByProduct,B172)</f>
        <v>0.94</v>
      </c>
      <c r="E173" s="100"/>
      <c r="F173" s="100"/>
      <c r="G173" s="100"/>
      <c r="H173" s="100"/>
      <c r="I173" s="100"/>
      <c r="J173" s="100"/>
      <c r="K173" s="100"/>
      <c r="L173" s="100"/>
      <c r="M173" s="100"/>
      <c r="N173" s="100"/>
      <c r="O173" s="100"/>
      <c r="P173" s="1252"/>
      <c r="Q173" s="14"/>
      <c r="R173" s="14"/>
      <c r="S173" s="14"/>
      <c r="T173" s="14"/>
      <c r="U173" s="14"/>
      <c r="V173" s="14"/>
      <c r="W173" s="14"/>
      <c r="AV173" s="87"/>
      <c r="AW173" s="87"/>
    </row>
    <row r="174" spans="2:49" s="9" customFormat="1">
      <c r="B174" s="58"/>
      <c r="C174" s="205" t="s">
        <v>114</v>
      </c>
      <c r="D174" s="117">
        <f>Sales4_36MoPr(SalesJan,"FY-2",$B172)</f>
        <v>0</v>
      </c>
      <c r="E174" s="117">
        <f>Sales4_36MoPr(SalesFeb,"FY-2",$B172)</f>
        <v>0</v>
      </c>
      <c r="F174" s="117">
        <f>Sales4_36MoPr(SalesMar,"FY-2",$B172)</f>
        <v>0</v>
      </c>
      <c r="G174" s="117">
        <f>Sales4_36MoPr(SalesApr,"FY-2",$B172)</f>
        <v>0</v>
      </c>
      <c r="H174" s="117">
        <f>Sales4_36MoPr(SalesMay,"FY-2",$B172)</f>
        <v>1059.2955487699203</v>
      </c>
      <c r="I174" s="117">
        <f>Sales4_36MoPr(SalesJun,"FY-2",$B172)</f>
        <v>1155.5951441126401</v>
      </c>
      <c r="J174" s="117">
        <f>Sales4_36MoPr(SalesJul,"FY-2",$B172)</f>
        <v>1155.5951441126401</v>
      </c>
      <c r="K174" s="117">
        <f>Sales4_36MoPr(SalesAug,"FY-2",$B172)</f>
        <v>1155.5951441126401</v>
      </c>
      <c r="L174" s="117">
        <f>Sales4_36MoPr(SalesSep,"FY-2",$B172)</f>
        <v>1155.5951441126401</v>
      </c>
      <c r="M174" s="117">
        <f>Sales4_36MoPr(SalesOct,"FY-2",$B172)</f>
        <v>1059.2955487699203</v>
      </c>
      <c r="N174" s="117">
        <f>Sales4_36MoPr(SalesNov,"FY-2",$B172)</f>
        <v>1240</v>
      </c>
      <c r="O174" s="117">
        <f>Sales4_36MoPr(SalesDec,"FY-2",$B172)</f>
        <v>0</v>
      </c>
      <c r="P174" s="1265">
        <f>SUM(D174:O174)</f>
        <v>7980.9716739904006</v>
      </c>
      <c r="Q174" s="14"/>
      <c r="R174" s="14"/>
      <c r="S174" s="14"/>
      <c r="T174" s="14"/>
      <c r="U174" s="14"/>
      <c r="V174" s="14"/>
      <c r="W174" s="14"/>
      <c r="AV174" s="87"/>
      <c r="AW174" s="87"/>
    </row>
    <row r="175" spans="2:49" s="9" customFormat="1">
      <c r="B175" s="206"/>
      <c r="C175" s="77" t="s">
        <v>113</v>
      </c>
      <c r="D175" s="84">
        <f t="shared" ref="D175:O175" si="40">D174*$D172</f>
        <v>0</v>
      </c>
      <c r="E175" s="84">
        <f t="shared" si="40"/>
        <v>0</v>
      </c>
      <c r="F175" s="84">
        <f t="shared" si="40"/>
        <v>0</v>
      </c>
      <c r="G175" s="84">
        <f t="shared" si="40"/>
        <v>0</v>
      </c>
      <c r="H175" s="84">
        <f t="shared" si="40"/>
        <v>5815.5325627468628</v>
      </c>
      <c r="I175" s="84">
        <f t="shared" si="40"/>
        <v>6344.2173411783942</v>
      </c>
      <c r="J175" s="84">
        <f t="shared" si="40"/>
        <v>6344.2173411783942</v>
      </c>
      <c r="K175" s="84">
        <f t="shared" si="40"/>
        <v>6344.2173411783942</v>
      </c>
      <c r="L175" s="84">
        <f t="shared" si="40"/>
        <v>6344.2173411783942</v>
      </c>
      <c r="M175" s="84">
        <f t="shared" si="40"/>
        <v>5815.5325627468628</v>
      </c>
      <c r="N175" s="84">
        <f t="shared" si="40"/>
        <v>6807.6</v>
      </c>
      <c r="O175" s="84">
        <f t="shared" si="40"/>
        <v>0</v>
      </c>
      <c r="P175" s="1252">
        <f>SUM(D175:O175)</f>
        <v>43815.534490207305</v>
      </c>
      <c r="Q175" s="14"/>
      <c r="R175" s="14"/>
      <c r="S175" s="14"/>
      <c r="T175" s="14"/>
      <c r="U175" s="14"/>
      <c r="V175" s="14"/>
      <c r="W175" s="14"/>
      <c r="AV175" s="87"/>
      <c r="AW175" s="87"/>
    </row>
    <row r="176" spans="2:49" s="9" customFormat="1">
      <c r="B176" s="58"/>
      <c r="C176" s="77" t="s">
        <v>112</v>
      </c>
      <c r="D176" s="84">
        <f>D174*$D$80</f>
        <v>0</v>
      </c>
      <c r="E176" s="84">
        <f>E174*$D$80</f>
        <v>0</v>
      </c>
      <c r="F176" s="84">
        <f t="shared" ref="F176:O176" si="41">F174*$D173</f>
        <v>0</v>
      </c>
      <c r="G176" s="84">
        <f t="shared" si="41"/>
        <v>0</v>
      </c>
      <c r="H176" s="84">
        <f t="shared" si="41"/>
        <v>995.737815843725</v>
      </c>
      <c r="I176" s="84">
        <f t="shared" si="41"/>
        <v>1086.2594354658816</v>
      </c>
      <c r="J176" s="84">
        <f t="shared" si="41"/>
        <v>1086.2594354658816</v>
      </c>
      <c r="K176" s="84">
        <f t="shared" si="41"/>
        <v>1086.2594354658816</v>
      </c>
      <c r="L176" s="84">
        <f t="shared" si="41"/>
        <v>1086.2594354658816</v>
      </c>
      <c r="M176" s="84">
        <f t="shared" si="41"/>
        <v>995.737815843725</v>
      </c>
      <c r="N176" s="84">
        <f t="shared" si="41"/>
        <v>1165.5999999999999</v>
      </c>
      <c r="O176" s="84">
        <f t="shared" si="41"/>
        <v>0</v>
      </c>
      <c r="P176" s="1252">
        <f>SUM(D176:O176)</f>
        <v>7502.1133735509757</v>
      </c>
      <c r="Q176" s="14"/>
      <c r="R176" s="14"/>
      <c r="S176" s="14"/>
      <c r="T176" s="14"/>
      <c r="U176" s="14"/>
      <c r="V176" s="14"/>
      <c r="W176" s="14"/>
      <c r="AV176" s="87"/>
      <c r="AW176" s="87"/>
    </row>
    <row r="177" spans="2:49" s="9" customFormat="1">
      <c r="B177" s="58"/>
      <c r="C177" s="77" t="s">
        <v>111</v>
      </c>
      <c r="D177" s="84">
        <f>D175-D176</f>
        <v>0</v>
      </c>
      <c r="E177" s="84">
        <f t="shared" ref="E177:O177" si="42">E175-E176</f>
        <v>0</v>
      </c>
      <c r="F177" s="84">
        <f t="shared" si="42"/>
        <v>0</v>
      </c>
      <c r="G177" s="84">
        <f t="shared" si="42"/>
        <v>0</v>
      </c>
      <c r="H177" s="84">
        <f t="shared" si="42"/>
        <v>4819.7947469031378</v>
      </c>
      <c r="I177" s="84">
        <f t="shared" si="42"/>
        <v>5257.9579057125129</v>
      </c>
      <c r="J177" s="84">
        <f t="shared" si="42"/>
        <v>5257.9579057125129</v>
      </c>
      <c r="K177" s="84">
        <f t="shared" si="42"/>
        <v>5257.9579057125129</v>
      </c>
      <c r="L177" s="84">
        <f t="shared" si="42"/>
        <v>5257.9579057125129</v>
      </c>
      <c r="M177" s="84">
        <f t="shared" si="42"/>
        <v>4819.7947469031378</v>
      </c>
      <c r="N177" s="84">
        <f t="shared" si="42"/>
        <v>5642</v>
      </c>
      <c r="O177" s="84">
        <f t="shared" si="42"/>
        <v>0</v>
      </c>
      <c r="P177" s="1252">
        <f>SUM(D177:O177)</f>
        <v>36313.421116656325</v>
      </c>
      <c r="Q177" s="14"/>
      <c r="R177" s="14"/>
      <c r="S177" s="14"/>
      <c r="T177" s="14"/>
      <c r="U177" s="14"/>
      <c r="V177" s="14"/>
      <c r="W177" s="14"/>
      <c r="AV177" s="87"/>
      <c r="AW177" s="87"/>
    </row>
    <row r="178" spans="2:49" s="9" customFormat="1">
      <c r="B178" s="107" t="s">
        <v>702</v>
      </c>
      <c r="C178" s="77" t="s">
        <v>391</v>
      </c>
      <c r="D178" s="116">
        <f>Price4_36MoPr(VarCostByProduct,B178)</f>
        <v>6.99</v>
      </c>
      <c r="E178" s="106"/>
      <c r="F178" s="106"/>
      <c r="G178" s="106"/>
      <c r="H178" s="105"/>
      <c r="I178" s="100"/>
      <c r="J178" s="100"/>
      <c r="K178" s="100"/>
      <c r="L178" s="100"/>
      <c r="M178" s="100"/>
      <c r="N178" s="100"/>
      <c r="O178" s="100"/>
      <c r="P178" s="1252"/>
      <c r="Q178" s="14"/>
      <c r="R178" s="14"/>
      <c r="S178" s="14"/>
      <c r="T178" s="14"/>
      <c r="U178" s="14"/>
      <c r="V178" s="14"/>
      <c r="W178" s="14"/>
      <c r="AV178" s="87"/>
      <c r="AW178" s="87"/>
    </row>
    <row r="179" spans="2:49" s="9" customFormat="1">
      <c r="B179" s="58"/>
      <c r="C179" s="77" t="s">
        <v>121</v>
      </c>
      <c r="D179" s="115">
        <f>Varcosts4_36MoPr(VarCostByProduct,B178)</f>
        <v>0.95</v>
      </c>
      <c r="E179" s="100"/>
      <c r="F179" s="100"/>
      <c r="G179" s="100"/>
      <c r="H179" s="100"/>
      <c r="I179" s="100"/>
      <c r="J179" s="100"/>
      <c r="K179" s="100"/>
      <c r="L179" s="100"/>
      <c r="M179" s="100"/>
      <c r="N179" s="100"/>
      <c r="O179" s="100"/>
      <c r="P179" s="1252"/>
      <c r="Q179" s="14"/>
      <c r="R179" s="14"/>
      <c r="S179" s="14"/>
      <c r="T179" s="14"/>
      <c r="U179" s="14"/>
      <c r="V179" s="14"/>
      <c r="W179" s="14"/>
      <c r="AV179" s="87"/>
      <c r="AW179" s="87"/>
    </row>
    <row r="180" spans="2:49" s="9" customFormat="1">
      <c r="B180" s="58"/>
      <c r="C180" s="205" t="s">
        <v>114</v>
      </c>
      <c r="D180" s="117">
        <f>Sales4_36MoPr(SalesJan,"FY-2",$B178)</f>
        <v>1230.4948293792004</v>
      </c>
      <c r="E180" s="117">
        <f>Sales4_36MoPr(SalesFeb,"FY-2",$B178)</f>
        <v>1230.4948293792004</v>
      </c>
      <c r="F180" s="117">
        <f>Sales4_36MoPr(SalesMar,"FY-2",$B178)</f>
        <v>1240</v>
      </c>
      <c r="G180" s="117">
        <f>Sales4_36MoPr(SalesApr,"FY-2",$B178)</f>
        <v>1240</v>
      </c>
      <c r="H180" s="117">
        <f>Sales4_36MoPr(SalesMay,"FY-2",$B178)</f>
        <v>1968.7917270067207</v>
      </c>
      <c r="I180" s="117">
        <f>Sales4_36MoPr(SalesJun,"FY-2",$B178)</f>
        <v>2460.9896587584008</v>
      </c>
      <c r="J180" s="117">
        <f>Sales4_36MoPr(SalesJul,"FY-2",$B178)</f>
        <v>2460.9896587584008</v>
      </c>
      <c r="K180" s="117">
        <f>Sales4_36MoPr(SalesAug,"FY-2",$B178)</f>
        <v>2480</v>
      </c>
      <c r="L180" s="117">
        <f>Sales4_36MoPr(SalesSep,"FY-2",$B178)</f>
        <v>2480</v>
      </c>
      <c r="M180" s="117">
        <f>Sales4_36MoPr(SalesOct,"FY-2",$B178)</f>
        <v>2480</v>
      </c>
      <c r="N180" s="117">
        <f>Sales4_36MoPr(SalesNov,"FY-2",$B178)</f>
        <v>1240</v>
      </c>
      <c r="O180" s="117">
        <f>Sales4_36MoPr(SalesDec,"FY-2",$B178)</f>
        <v>1240</v>
      </c>
      <c r="P180" s="1265">
        <f>SUM(D180:O180)</f>
        <v>21751.760703281921</v>
      </c>
      <c r="Q180" s="14"/>
      <c r="R180" s="14"/>
      <c r="S180" s="14"/>
      <c r="T180" s="14"/>
      <c r="U180" s="14"/>
      <c r="V180" s="14"/>
      <c r="W180" s="14"/>
      <c r="AV180" s="87"/>
      <c r="AW180" s="87"/>
    </row>
    <row r="181" spans="2:49" s="9" customFormat="1">
      <c r="B181" s="206"/>
      <c r="C181" s="77" t="s">
        <v>113</v>
      </c>
      <c r="D181" s="84">
        <f t="shared" ref="D181:O181" si="43">D180*$D178</f>
        <v>8601.1588573606114</v>
      </c>
      <c r="E181" s="84">
        <f t="shared" si="43"/>
        <v>8601.1588573606114</v>
      </c>
      <c r="F181" s="84">
        <f t="shared" si="43"/>
        <v>8667.6</v>
      </c>
      <c r="G181" s="84">
        <f t="shared" si="43"/>
        <v>8667.6</v>
      </c>
      <c r="H181" s="84">
        <f t="shared" si="43"/>
        <v>13761.854171776979</v>
      </c>
      <c r="I181" s="84">
        <f t="shared" si="43"/>
        <v>17202.317714721223</v>
      </c>
      <c r="J181" s="84">
        <f t="shared" si="43"/>
        <v>17202.317714721223</v>
      </c>
      <c r="K181" s="84">
        <f t="shared" si="43"/>
        <v>17335.2</v>
      </c>
      <c r="L181" s="84">
        <f t="shared" si="43"/>
        <v>17335.2</v>
      </c>
      <c r="M181" s="84">
        <f t="shared" si="43"/>
        <v>17335.2</v>
      </c>
      <c r="N181" s="84">
        <f t="shared" si="43"/>
        <v>8667.6</v>
      </c>
      <c r="O181" s="84">
        <f t="shared" si="43"/>
        <v>8667.6</v>
      </c>
      <c r="P181" s="1249">
        <f>SUM(D181:O181)</f>
        <v>152044.80731594065</v>
      </c>
      <c r="Q181" s="14"/>
      <c r="R181" s="14"/>
      <c r="S181" s="14"/>
      <c r="T181" s="14"/>
      <c r="U181" s="14"/>
      <c r="V181" s="14"/>
      <c r="W181" s="14"/>
      <c r="AV181" s="87"/>
      <c r="AW181" s="87"/>
    </row>
    <row r="182" spans="2:49" s="9" customFormat="1">
      <c r="B182" s="58"/>
      <c r="C182" s="77" t="s">
        <v>112</v>
      </c>
      <c r="D182" s="84">
        <f>D180*$D$80</f>
        <v>1144.3601913226564</v>
      </c>
      <c r="E182" s="84">
        <f>E180*$D$80</f>
        <v>1144.3601913226564</v>
      </c>
      <c r="F182" s="84">
        <f t="shared" ref="F182:O182" si="44">F180*$D179</f>
        <v>1178</v>
      </c>
      <c r="G182" s="84">
        <f t="shared" si="44"/>
        <v>1178</v>
      </c>
      <c r="H182" s="84">
        <f t="shared" si="44"/>
        <v>1870.3521406563846</v>
      </c>
      <c r="I182" s="84">
        <f t="shared" si="44"/>
        <v>2337.9401758204808</v>
      </c>
      <c r="J182" s="84">
        <f t="shared" si="44"/>
        <v>2337.9401758204808</v>
      </c>
      <c r="K182" s="84">
        <f t="shared" si="44"/>
        <v>2356</v>
      </c>
      <c r="L182" s="84">
        <f t="shared" si="44"/>
        <v>2356</v>
      </c>
      <c r="M182" s="84">
        <f t="shared" si="44"/>
        <v>2356</v>
      </c>
      <c r="N182" s="84">
        <f t="shared" si="44"/>
        <v>1178</v>
      </c>
      <c r="O182" s="84">
        <f t="shared" si="44"/>
        <v>1178</v>
      </c>
      <c r="P182" s="1252">
        <f>SUM(D182:O182)</f>
        <v>20614.952874942661</v>
      </c>
      <c r="Q182" s="14"/>
      <c r="R182" s="14"/>
      <c r="S182" s="14"/>
      <c r="T182" s="14"/>
      <c r="U182" s="14"/>
      <c r="V182" s="14"/>
      <c r="W182" s="14"/>
      <c r="AV182" s="87"/>
      <c r="AW182" s="87"/>
    </row>
    <row r="183" spans="2:49" s="9" customFormat="1">
      <c r="B183" s="58"/>
      <c r="C183" s="77" t="s">
        <v>111</v>
      </c>
      <c r="D183" s="84">
        <f>D181-D182</f>
        <v>7456.7986660379547</v>
      </c>
      <c r="E183" s="84">
        <f t="shared" ref="E183:O183" si="45">E181-E182</f>
        <v>7456.7986660379547</v>
      </c>
      <c r="F183" s="84">
        <f t="shared" si="45"/>
        <v>7489.6</v>
      </c>
      <c r="G183" s="84">
        <f t="shared" si="45"/>
        <v>7489.6</v>
      </c>
      <c r="H183" s="84">
        <f t="shared" si="45"/>
        <v>11891.502031120594</v>
      </c>
      <c r="I183" s="84">
        <f t="shared" si="45"/>
        <v>14864.377538900742</v>
      </c>
      <c r="J183" s="84">
        <f t="shared" si="45"/>
        <v>14864.377538900742</v>
      </c>
      <c r="K183" s="84">
        <f t="shared" si="45"/>
        <v>14979.2</v>
      </c>
      <c r="L183" s="84">
        <f t="shared" si="45"/>
        <v>14979.2</v>
      </c>
      <c r="M183" s="84">
        <f t="shared" si="45"/>
        <v>14979.2</v>
      </c>
      <c r="N183" s="84">
        <f t="shared" si="45"/>
        <v>7489.6</v>
      </c>
      <c r="O183" s="84">
        <f t="shared" si="45"/>
        <v>7489.6</v>
      </c>
      <c r="P183" s="1252">
        <f>SUM(D183:O183)</f>
        <v>131429.85444099799</v>
      </c>
      <c r="Q183" s="14"/>
      <c r="R183" s="14"/>
      <c r="S183" s="14"/>
      <c r="T183" s="14"/>
      <c r="U183" s="14"/>
      <c r="V183" s="14"/>
      <c r="W183" s="14"/>
      <c r="AV183" s="87"/>
      <c r="AW183" s="87"/>
    </row>
    <row r="184" spans="2:49" s="9" customFormat="1">
      <c r="B184" s="107" t="s">
        <v>703</v>
      </c>
      <c r="C184" s="77" t="s">
        <v>391</v>
      </c>
      <c r="D184" s="116">
        <f>Price4_36MoPr(VarCostByProduct,B184)</f>
        <v>5.99</v>
      </c>
      <c r="E184" s="106"/>
      <c r="F184" s="106"/>
      <c r="G184" s="106"/>
      <c r="H184" s="105"/>
      <c r="I184" s="100"/>
      <c r="J184" s="100"/>
      <c r="K184" s="100"/>
      <c r="L184" s="100"/>
      <c r="M184" s="100"/>
      <c r="N184" s="100"/>
      <c r="O184" s="100"/>
      <c r="P184" s="1252"/>
      <c r="Q184" s="14"/>
      <c r="R184" s="14"/>
      <c r="S184" s="14"/>
      <c r="T184" s="14"/>
      <c r="U184" s="14"/>
      <c r="V184" s="14"/>
      <c r="W184" s="14"/>
      <c r="AV184" s="87"/>
      <c r="AW184" s="87"/>
    </row>
    <row r="185" spans="2:49" s="9" customFormat="1">
      <c r="B185" s="58"/>
      <c r="C185" s="77" t="s">
        <v>121</v>
      </c>
      <c r="D185" s="115">
        <f>Varcosts4_36MoPr(VarCostByProduct,B184)</f>
        <v>0.94</v>
      </c>
      <c r="E185" s="100"/>
      <c r="F185" s="100"/>
      <c r="G185" s="100"/>
      <c r="H185" s="100"/>
      <c r="I185" s="100"/>
      <c r="J185" s="100"/>
      <c r="K185" s="100"/>
      <c r="L185" s="100"/>
      <c r="M185" s="100"/>
      <c r="N185" s="100"/>
      <c r="O185" s="100"/>
      <c r="P185" s="1252"/>
      <c r="Q185" s="14"/>
      <c r="R185" s="14"/>
      <c r="S185" s="14"/>
      <c r="T185" s="14"/>
      <c r="U185" s="14"/>
      <c r="V185" s="14"/>
      <c r="W185" s="14"/>
      <c r="AV185" s="87"/>
      <c r="AW185" s="87"/>
    </row>
    <row r="186" spans="2:49" s="9" customFormat="1">
      <c r="B186" s="58"/>
      <c r="C186" s="205" t="s">
        <v>114</v>
      </c>
      <c r="D186" s="117">
        <f>Sales4_36MoPr(SalesJan,"FY-2",$B184)</f>
        <v>1230.4948293792004</v>
      </c>
      <c r="E186" s="117">
        <f>Sales4_36MoPr(SalesFeb,"FY-2",$B184)</f>
        <v>1230.4948293792004</v>
      </c>
      <c r="F186" s="117">
        <f>Sales4_36MoPr(SalesMar,"FY-2",$B184)</f>
        <v>1240</v>
      </c>
      <c r="G186" s="117">
        <f>Sales4_36MoPr(SalesApr,"FY-2",$B184)</f>
        <v>1240</v>
      </c>
      <c r="H186" s="117">
        <f>Sales4_36MoPr(SalesMay,"FY-2",$B184)</f>
        <v>1968.7917270067207</v>
      </c>
      <c r="I186" s="117">
        <f>Sales4_36MoPr(SalesJun,"FY-2",$B184)</f>
        <v>2460.9896587584008</v>
      </c>
      <c r="J186" s="117">
        <f>Sales4_36MoPr(SalesJul,"FY-2",$B184)</f>
        <v>2460.9896587584008</v>
      </c>
      <c r="K186" s="117">
        <f>Sales4_36MoPr(SalesAug,"FY-2",$B184)</f>
        <v>2480</v>
      </c>
      <c r="L186" s="117">
        <f>Sales4_36MoPr(SalesSep,"FY-2",$B184)</f>
        <v>2480</v>
      </c>
      <c r="M186" s="117">
        <f>Sales4_36MoPr(SalesOct,"FY-2",$B184)</f>
        <v>2480</v>
      </c>
      <c r="N186" s="117">
        <f>Sales4_36MoPr(SalesNov,"FY-2",$B184)</f>
        <v>1240</v>
      </c>
      <c r="O186" s="117">
        <f>Sales4_36MoPr(SalesDec,"FY-2",$B184)</f>
        <v>1240</v>
      </c>
      <c r="P186" s="1265">
        <f>SUM(D186:O186)</f>
        <v>21751.760703281921</v>
      </c>
      <c r="Q186" s="14"/>
      <c r="R186" s="14"/>
      <c r="S186" s="14"/>
      <c r="T186" s="14"/>
      <c r="U186" s="14"/>
      <c r="V186" s="14"/>
      <c r="W186" s="14"/>
      <c r="AV186" s="87"/>
      <c r="AW186" s="87"/>
    </row>
    <row r="187" spans="2:49" s="9" customFormat="1">
      <c r="B187" s="206"/>
      <c r="C187" s="77" t="s">
        <v>113</v>
      </c>
      <c r="D187" s="84">
        <f t="shared" ref="D187:O187" si="46">D186*$D184</f>
        <v>7370.664027981411</v>
      </c>
      <c r="E187" s="84">
        <f t="shared" si="46"/>
        <v>7370.664027981411</v>
      </c>
      <c r="F187" s="84">
        <f t="shared" si="46"/>
        <v>7427.6</v>
      </c>
      <c r="G187" s="84">
        <f t="shared" si="46"/>
        <v>7427.6</v>
      </c>
      <c r="H187" s="84">
        <f t="shared" si="46"/>
        <v>11793.062444770258</v>
      </c>
      <c r="I187" s="84">
        <f t="shared" si="46"/>
        <v>14741.328055962822</v>
      </c>
      <c r="J187" s="84">
        <f t="shared" si="46"/>
        <v>14741.328055962822</v>
      </c>
      <c r="K187" s="84">
        <f t="shared" si="46"/>
        <v>14855.2</v>
      </c>
      <c r="L187" s="84">
        <f t="shared" si="46"/>
        <v>14855.2</v>
      </c>
      <c r="M187" s="84">
        <f t="shared" si="46"/>
        <v>14855.2</v>
      </c>
      <c r="N187" s="84">
        <f t="shared" si="46"/>
        <v>7427.6</v>
      </c>
      <c r="O187" s="84">
        <f t="shared" si="46"/>
        <v>7427.6</v>
      </c>
      <c r="P187" s="1252">
        <f>SUM(D187:O187)</f>
        <v>130293.04661265873</v>
      </c>
      <c r="Q187" s="14"/>
      <c r="R187" s="14"/>
      <c r="S187" s="14"/>
      <c r="T187" s="14"/>
      <c r="U187" s="14"/>
      <c r="V187" s="14"/>
      <c r="W187" s="14"/>
      <c r="AV187" s="87"/>
      <c r="AW187" s="87"/>
    </row>
    <row r="188" spans="2:49" s="9" customFormat="1">
      <c r="B188" s="58"/>
      <c r="C188" s="77" t="s">
        <v>112</v>
      </c>
      <c r="D188" s="84">
        <f>D186*$D$80</f>
        <v>1144.3601913226564</v>
      </c>
      <c r="E188" s="84">
        <f>E186*$D$80</f>
        <v>1144.3601913226564</v>
      </c>
      <c r="F188" s="84">
        <f t="shared" ref="F188:O188" si="47">F186*$D185</f>
        <v>1165.5999999999999</v>
      </c>
      <c r="G188" s="84">
        <f t="shared" si="47"/>
        <v>1165.5999999999999</v>
      </c>
      <c r="H188" s="84">
        <f t="shared" si="47"/>
        <v>1850.6642233863174</v>
      </c>
      <c r="I188" s="84">
        <f t="shared" si="47"/>
        <v>2313.3302792328964</v>
      </c>
      <c r="J188" s="84">
        <f t="shared" si="47"/>
        <v>2313.3302792328964</v>
      </c>
      <c r="K188" s="84">
        <f t="shared" si="47"/>
        <v>2331.1999999999998</v>
      </c>
      <c r="L188" s="84">
        <f t="shared" si="47"/>
        <v>2331.1999999999998</v>
      </c>
      <c r="M188" s="84">
        <f t="shared" si="47"/>
        <v>2331.1999999999998</v>
      </c>
      <c r="N188" s="84">
        <f t="shared" si="47"/>
        <v>1165.5999999999999</v>
      </c>
      <c r="O188" s="84">
        <f t="shared" si="47"/>
        <v>1165.5999999999999</v>
      </c>
      <c r="P188" s="1252">
        <f>SUM(D188:O188)</f>
        <v>20422.04516449742</v>
      </c>
      <c r="Q188" s="14"/>
      <c r="R188" s="14"/>
      <c r="S188" s="14"/>
      <c r="T188" s="14"/>
      <c r="U188" s="14"/>
      <c r="V188" s="14"/>
      <c r="W188" s="14"/>
      <c r="AV188" s="87"/>
      <c r="AW188" s="87"/>
    </row>
    <row r="189" spans="2:49" s="9" customFormat="1">
      <c r="B189" s="58"/>
      <c r="C189" s="77" t="s">
        <v>111</v>
      </c>
      <c r="D189" s="84">
        <f>D187-D188</f>
        <v>6226.3038366587543</v>
      </c>
      <c r="E189" s="84">
        <f t="shared" ref="E189:O189" si="48">E187-E188</f>
        <v>6226.3038366587543</v>
      </c>
      <c r="F189" s="84">
        <f t="shared" si="48"/>
        <v>6262</v>
      </c>
      <c r="G189" s="84">
        <f t="shared" si="48"/>
        <v>6262</v>
      </c>
      <c r="H189" s="84">
        <f t="shared" si="48"/>
        <v>9942.3982213839408</v>
      </c>
      <c r="I189" s="84">
        <f t="shared" si="48"/>
        <v>12427.997776729926</v>
      </c>
      <c r="J189" s="84">
        <f t="shared" si="48"/>
        <v>12427.997776729926</v>
      </c>
      <c r="K189" s="84">
        <f t="shared" si="48"/>
        <v>12524</v>
      </c>
      <c r="L189" s="84">
        <f t="shared" si="48"/>
        <v>12524</v>
      </c>
      <c r="M189" s="84">
        <f t="shared" si="48"/>
        <v>12524</v>
      </c>
      <c r="N189" s="84">
        <f t="shared" si="48"/>
        <v>6262</v>
      </c>
      <c r="O189" s="84">
        <f t="shared" si="48"/>
        <v>6262</v>
      </c>
      <c r="P189" s="1252">
        <f>SUM(D189:O189)</f>
        <v>109871.0014481613</v>
      </c>
      <c r="Q189" s="14"/>
      <c r="R189" s="14"/>
      <c r="S189" s="14"/>
      <c r="T189" s="14"/>
      <c r="U189" s="14"/>
      <c r="V189" s="14"/>
      <c r="W189" s="14"/>
      <c r="AV189" s="87"/>
      <c r="AW189" s="87"/>
    </row>
    <row r="190" spans="2:49" s="9" customFormat="1">
      <c r="B190" s="107" t="s">
        <v>704</v>
      </c>
      <c r="C190" s="77" t="s">
        <v>391</v>
      </c>
      <c r="D190" s="116">
        <f>Price4_36MoPr(VarCostByProduct,B190)</f>
        <v>5.99</v>
      </c>
      <c r="E190" s="106"/>
      <c r="F190" s="106"/>
      <c r="G190" s="106"/>
      <c r="H190" s="105"/>
      <c r="I190" s="100"/>
      <c r="J190" s="100"/>
      <c r="K190" s="100"/>
      <c r="L190" s="100"/>
      <c r="M190" s="100"/>
      <c r="N190" s="100"/>
      <c r="O190" s="100"/>
      <c r="P190" s="1252"/>
      <c r="Q190" s="14"/>
      <c r="R190" s="14"/>
      <c r="S190" s="14"/>
      <c r="T190" s="14"/>
      <c r="U190" s="14"/>
      <c r="V190" s="14"/>
      <c r="W190" s="14"/>
      <c r="AV190" s="87"/>
      <c r="AW190" s="87"/>
    </row>
    <row r="191" spans="2:49" s="9" customFormat="1">
      <c r="B191" s="58"/>
      <c r="C191" s="77" t="s">
        <v>121</v>
      </c>
      <c r="D191" s="115">
        <f>Varcosts4_36MoPr(VarCostByProduct,B190)</f>
        <v>0.94</v>
      </c>
      <c r="E191" s="100"/>
      <c r="F191" s="100"/>
      <c r="G191" s="100"/>
      <c r="H191" s="100"/>
      <c r="I191" s="100"/>
      <c r="J191" s="100"/>
      <c r="K191" s="100"/>
      <c r="L191" s="100"/>
      <c r="M191" s="100"/>
      <c r="N191" s="100"/>
      <c r="O191" s="100"/>
      <c r="P191" s="1252"/>
      <c r="Q191" s="14"/>
      <c r="R191" s="14"/>
      <c r="S191" s="14"/>
      <c r="T191" s="14"/>
      <c r="U191" s="14"/>
      <c r="V191" s="14"/>
      <c r="W191" s="14"/>
      <c r="AV191" s="87"/>
      <c r="AW191" s="87"/>
    </row>
    <row r="192" spans="2:49" s="9" customFormat="1">
      <c r="B192" s="58"/>
      <c r="C192" s="205" t="s">
        <v>114</v>
      </c>
      <c r="D192" s="117">
        <f>Sales4_36MoPr(SalesJan,"FY-2",$B190)</f>
        <v>1230.4948293792004</v>
      </c>
      <c r="E192" s="117">
        <f>Sales4_36MoPr(SalesFeb,"FY-2",$B190)</f>
        <v>1230.4948293792004</v>
      </c>
      <c r="F192" s="117">
        <f>Sales4_36MoPr(SalesMar,"FY-2",$B190)</f>
        <v>1240</v>
      </c>
      <c r="G192" s="117">
        <f>Sales4_36MoPr(SalesApr,"FY-2",$B190)</f>
        <v>1240</v>
      </c>
      <c r="H192" s="117">
        <f>Sales4_36MoPr(SalesMay,"FY-2",$B190)</f>
        <v>1968.7917270067207</v>
      </c>
      <c r="I192" s="117">
        <f>Sales4_36MoPr(SalesJun,"FY-2",$B190)</f>
        <v>2460.9896587584008</v>
      </c>
      <c r="J192" s="117">
        <f>Sales4_36MoPr(SalesJul,"FY-2",$B190)</f>
        <v>2460.9896587584008</v>
      </c>
      <c r="K192" s="117">
        <f>Sales4_36MoPr(SalesAug,"FY-2",$B190)</f>
        <v>2480</v>
      </c>
      <c r="L192" s="117">
        <f>Sales4_36MoPr(SalesSep,"FY-2",$B190)</f>
        <v>2480</v>
      </c>
      <c r="M192" s="117">
        <f>Sales4_36MoPr(SalesOct,"FY-2",$B190)</f>
        <v>2480</v>
      </c>
      <c r="N192" s="117">
        <f>Sales4_36MoPr(SalesNov,"FY-2",$B190)</f>
        <v>1240</v>
      </c>
      <c r="O192" s="117">
        <f>Sales4_36MoPr(SalesDec,"FY-2",$B190)</f>
        <v>1240</v>
      </c>
      <c r="P192" s="1265">
        <f>SUM(D192:O192)</f>
        <v>21751.760703281921</v>
      </c>
      <c r="Q192" s="14"/>
      <c r="R192" s="14"/>
      <c r="S192" s="14"/>
      <c r="T192" s="14"/>
      <c r="U192" s="14"/>
      <c r="V192" s="14"/>
      <c r="W192" s="14"/>
      <c r="AV192" s="87"/>
      <c r="AW192" s="87"/>
    </row>
    <row r="193" spans="2:49" s="9" customFormat="1">
      <c r="B193" s="206"/>
      <c r="C193" s="77" t="s">
        <v>113</v>
      </c>
      <c r="D193" s="84">
        <f t="shared" ref="D193:O193" si="49">D192*$D190</f>
        <v>7370.664027981411</v>
      </c>
      <c r="E193" s="84">
        <f t="shared" si="49"/>
        <v>7370.664027981411</v>
      </c>
      <c r="F193" s="84">
        <f t="shared" si="49"/>
        <v>7427.6</v>
      </c>
      <c r="G193" s="84">
        <f t="shared" si="49"/>
        <v>7427.6</v>
      </c>
      <c r="H193" s="84">
        <f t="shared" si="49"/>
        <v>11793.062444770258</v>
      </c>
      <c r="I193" s="84">
        <f t="shared" si="49"/>
        <v>14741.328055962822</v>
      </c>
      <c r="J193" s="84">
        <f t="shared" si="49"/>
        <v>14741.328055962822</v>
      </c>
      <c r="K193" s="84">
        <f t="shared" si="49"/>
        <v>14855.2</v>
      </c>
      <c r="L193" s="84">
        <f t="shared" si="49"/>
        <v>14855.2</v>
      </c>
      <c r="M193" s="84">
        <f t="shared" si="49"/>
        <v>14855.2</v>
      </c>
      <c r="N193" s="84">
        <f t="shared" si="49"/>
        <v>7427.6</v>
      </c>
      <c r="O193" s="84">
        <f t="shared" si="49"/>
        <v>7427.6</v>
      </c>
      <c r="P193" s="1252">
        <f>SUM(D193:O193)</f>
        <v>130293.04661265873</v>
      </c>
      <c r="Q193" s="14"/>
      <c r="R193" s="14"/>
      <c r="S193" s="14"/>
      <c r="T193" s="14"/>
      <c r="U193" s="14"/>
      <c r="V193" s="14"/>
      <c r="W193" s="14"/>
      <c r="AV193" s="87"/>
      <c r="AW193" s="87"/>
    </row>
    <row r="194" spans="2:49" s="9" customFormat="1">
      <c r="B194" s="58"/>
      <c r="C194" s="77" t="s">
        <v>112</v>
      </c>
      <c r="D194" s="84">
        <f>D192*$D$80</f>
        <v>1144.3601913226564</v>
      </c>
      <c r="E194" s="84">
        <f>E192*$D$80</f>
        <v>1144.3601913226564</v>
      </c>
      <c r="F194" s="84">
        <f t="shared" ref="F194:O194" si="50">F192*$D191</f>
        <v>1165.5999999999999</v>
      </c>
      <c r="G194" s="84">
        <f t="shared" si="50"/>
        <v>1165.5999999999999</v>
      </c>
      <c r="H194" s="84">
        <f t="shared" si="50"/>
        <v>1850.6642233863174</v>
      </c>
      <c r="I194" s="84">
        <f t="shared" si="50"/>
        <v>2313.3302792328964</v>
      </c>
      <c r="J194" s="84">
        <f t="shared" si="50"/>
        <v>2313.3302792328964</v>
      </c>
      <c r="K194" s="84">
        <f t="shared" si="50"/>
        <v>2331.1999999999998</v>
      </c>
      <c r="L194" s="84">
        <f t="shared" si="50"/>
        <v>2331.1999999999998</v>
      </c>
      <c r="M194" s="84">
        <f t="shared" si="50"/>
        <v>2331.1999999999998</v>
      </c>
      <c r="N194" s="84">
        <f t="shared" si="50"/>
        <v>1165.5999999999999</v>
      </c>
      <c r="O194" s="84">
        <f t="shared" si="50"/>
        <v>1165.5999999999999</v>
      </c>
      <c r="P194" s="1252">
        <f>SUM(D194:O194)</f>
        <v>20422.04516449742</v>
      </c>
      <c r="Q194" s="14"/>
      <c r="R194" s="14"/>
      <c r="S194" s="14"/>
      <c r="T194" s="14"/>
      <c r="U194" s="14"/>
      <c r="V194" s="14"/>
      <c r="W194" s="14"/>
      <c r="AV194" s="87"/>
      <c r="AW194" s="87"/>
    </row>
    <row r="195" spans="2:49" s="9" customFormat="1">
      <c r="B195" s="58"/>
      <c r="C195" s="77" t="s">
        <v>111</v>
      </c>
      <c r="D195" s="84">
        <f>D193-D194</f>
        <v>6226.3038366587543</v>
      </c>
      <c r="E195" s="84">
        <f t="shared" ref="E195:O195" si="51">E193-E194</f>
        <v>6226.3038366587543</v>
      </c>
      <c r="F195" s="84">
        <f t="shared" si="51"/>
        <v>6262</v>
      </c>
      <c r="G195" s="84">
        <f t="shared" si="51"/>
        <v>6262</v>
      </c>
      <c r="H195" s="84">
        <f t="shared" si="51"/>
        <v>9942.3982213839408</v>
      </c>
      <c r="I195" s="84">
        <f t="shared" si="51"/>
        <v>12427.997776729926</v>
      </c>
      <c r="J195" s="84">
        <f t="shared" si="51"/>
        <v>12427.997776729926</v>
      </c>
      <c r="K195" s="84">
        <f t="shared" si="51"/>
        <v>12524</v>
      </c>
      <c r="L195" s="84">
        <f t="shared" si="51"/>
        <v>12524</v>
      </c>
      <c r="M195" s="84">
        <f t="shared" si="51"/>
        <v>12524</v>
      </c>
      <c r="N195" s="84">
        <f t="shared" si="51"/>
        <v>6262</v>
      </c>
      <c r="O195" s="84">
        <f t="shared" si="51"/>
        <v>6262</v>
      </c>
      <c r="P195" s="1252">
        <f>SUM(D195:O195)</f>
        <v>109871.0014481613</v>
      </c>
      <c r="Q195" s="14"/>
      <c r="R195" s="14"/>
      <c r="S195" s="14"/>
      <c r="T195" s="14"/>
      <c r="U195" s="14"/>
      <c r="V195" s="14"/>
      <c r="W195" s="14"/>
      <c r="AV195" s="87"/>
      <c r="AW195" s="87"/>
    </row>
    <row r="196" spans="2:49" s="9" customFormat="1">
      <c r="B196" s="107" t="s">
        <v>705</v>
      </c>
      <c r="C196" s="77" t="s">
        <v>391</v>
      </c>
      <c r="D196" s="116">
        <f>Price4_36MoPr(VarCostByProduct,B196)</f>
        <v>2.4500000000000002</v>
      </c>
      <c r="E196" s="106"/>
      <c r="F196" s="106"/>
      <c r="G196" s="106"/>
      <c r="H196" s="105"/>
      <c r="I196" s="100"/>
      <c r="J196" s="100"/>
      <c r="K196" s="100"/>
      <c r="L196" s="100"/>
      <c r="M196" s="100"/>
      <c r="N196" s="100"/>
      <c r="O196" s="100"/>
      <c r="P196" s="1252"/>
      <c r="Q196" s="14"/>
      <c r="R196" s="14"/>
      <c r="S196" s="14"/>
      <c r="T196" s="14"/>
      <c r="U196" s="14"/>
      <c r="V196" s="14"/>
      <c r="W196" s="14"/>
      <c r="AV196" s="87"/>
      <c r="AW196" s="87"/>
    </row>
    <row r="197" spans="2:49" s="9" customFormat="1">
      <c r="B197" s="58"/>
      <c r="C197" s="77" t="s">
        <v>121</v>
      </c>
      <c r="D197" s="115">
        <f>Varcosts4_36MoPr(VarCostByProduct,B196)</f>
        <v>0.93</v>
      </c>
      <c r="E197" s="100"/>
      <c r="F197" s="100"/>
      <c r="G197" s="100"/>
      <c r="H197" s="100"/>
      <c r="I197" s="100"/>
      <c r="J197" s="100"/>
      <c r="K197" s="100"/>
      <c r="L197" s="100"/>
      <c r="M197" s="100"/>
      <c r="N197" s="100"/>
      <c r="O197" s="100"/>
      <c r="P197" s="1252"/>
      <c r="Q197" s="14"/>
      <c r="R197" s="14"/>
      <c r="S197" s="14"/>
      <c r="T197" s="14"/>
      <c r="U197" s="14"/>
      <c r="V197" s="14"/>
      <c r="W197" s="14"/>
      <c r="AV197" s="87"/>
      <c r="AW197" s="87"/>
    </row>
    <row r="198" spans="2:49" s="9" customFormat="1">
      <c r="B198" s="58"/>
      <c r="C198" s="205" t="s">
        <v>114</v>
      </c>
      <c r="D198" s="117">
        <f>Sales4_36MoPr(SalesJan,"FY-2",$B196)</f>
        <v>2088.8150943396226</v>
      </c>
      <c r="E198" s="117">
        <f>Sales4_36MoPr(SalesFeb,"FY-2",$B196)</f>
        <v>2088.8150943396226</v>
      </c>
      <c r="F198" s="117">
        <f>Sales4_36MoPr(SalesMar,"FY-2",$B196)</f>
        <v>2088.8150943396226</v>
      </c>
      <c r="G198" s="117">
        <f>Sales4_36MoPr(SalesApr,"FY-2",$B196)</f>
        <v>9217.7296875417615</v>
      </c>
      <c r="H198" s="117">
        <f>Sales4_36MoPr(SalesMay,"FY-2",$B196)</f>
        <v>8601.9580419580434</v>
      </c>
      <c r="I198" s="117">
        <f>Sales4_36MoPr(SalesJun,"FY-2",$B196)</f>
        <v>11067.557840616966</v>
      </c>
      <c r="J198" s="117">
        <f>Sales4_36MoPr(SalesJul,"FY-2",$B196)</f>
        <v>11067.557840616966</v>
      </c>
      <c r="K198" s="117">
        <f>Sales4_36MoPr(SalesAug,"FY-2",$B196)</f>
        <v>9785.550972304065</v>
      </c>
      <c r="L198" s="117">
        <f>Sales4_36MoPr(SalesSep,"FY-2",$B196)</f>
        <v>9785.550972304065</v>
      </c>
      <c r="M198" s="117">
        <f>Sales4_36MoPr(SalesOct,"FY-2",$B196)</f>
        <v>8796.7580452920138</v>
      </c>
      <c r="N198" s="117">
        <f>Sales4_36MoPr(SalesNov,"FY-2",$B196)</f>
        <v>1867.8454530116414</v>
      </c>
      <c r="O198" s="117">
        <f>Sales4_36MoPr(SalesDec,"FY-2",$B196)</f>
        <v>1867.8454530116414</v>
      </c>
      <c r="P198" s="1265">
        <f>SUM(D198:O198)</f>
        <v>78324.799589676026</v>
      </c>
      <c r="Q198" s="14"/>
      <c r="R198" s="14"/>
      <c r="S198" s="14"/>
      <c r="T198" s="14"/>
      <c r="U198" s="14"/>
      <c r="V198" s="14"/>
      <c r="W198" s="14"/>
      <c r="AV198" s="87"/>
      <c r="AW198" s="87"/>
    </row>
    <row r="199" spans="2:49" s="9" customFormat="1">
      <c r="B199" s="206"/>
      <c r="C199" s="77" t="s">
        <v>113</v>
      </c>
      <c r="D199" s="84">
        <f t="shared" ref="D199:O199" si="52">D198*$D196</f>
        <v>5117.5969811320756</v>
      </c>
      <c r="E199" s="84">
        <f t="shared" si="52"/>
        <v>5117.5969811320756</v>
      </c>
      <c r="F199" s="84">
        <f t="shared" si="52"/>
        <v>5117.5969811320756</v>
      </c>
      <c r="G199" s="84">
        <f t="shared" si="52"/>
        <v>22583.437734477317</v>
      </c>
      <c r="H199" s="84">
        <f t="shared" si="52"/>
        <v>21074.797202797206</v>
      </c>
      <c r="I199" s="84">
        <f t="shared" si="52"/>
        <v>27115.516709511568</v>
      </c>
      <c r="J199" s="84">
        <f t="shared" si="52"/>
        <v>27115.516709511568</v>
      </c>
      <c r="K199" s="84">
        <f t="shared" si="52"/>
        <v>23974.599882144961</v>
      </c>
      <c r="L199" s="84">
        <f t="shared" si="52"/>
        <v>23974.599882144961</v>
      </c>
      <c r="M199" s="84">
        <f t="shared" si="52"/>
        <v>21552.057210965435</v>
      </c>
      <c r="N199" s="84">
        <f t="shared" si="52"/>
        <v>4576.221359878522</v>
      </c>
      <c r="O199" s="84">
        <f t="shared" si="52"/>
        <v>4576.221359878522</v>
      </c>
      <c r="P199" s="1252">
        <f>SUM(D199:O199)</f>
        <v>191895.75899470627</v>
      </c>
      <c r="Q199" s="14"/>
      <c r="R199" s="14"/>
      <c r="S199" s="14"/>
      <c r="T199" s="14"/>
      <c r="U199" s="14"/>
      <c r="V199" s="14"/>
      <c r="W199" s="14"/>
      <c r="AV199" s="87"/>
      <c r="AW199" s="87"/>
    </row>
    <row r="200" spans="2:49" s="9" customFormat="1">
      <c r="B200" s="58"/>
      <c r="C200" s="77" t="s">
        <v>112</v>
      </c>
      <c r="D200" s="84">
        <f>D198*$D$80</f>
        <v>1942.5980377358492</v>
      </c>
      <c r="E200" s="84">
        <f>E198*$D$80</f>
        <v>1942.5980377358492</v>
      </c>
      <c r="F200" s="84">
        <f t="shared" ref="F200:O200" si="53">F198*$D197</f>
        <v>1942.5980377358492</v>
      </c>
      <c r="G200" s="84">
        <f t="shared" si="53"/>
        <v>8572.4886094138383</v>
      </c>
      <c r="H200" s="84">
        <f t="shared" si="53"/>
        <v>7999.8209790209812</v>
      </c>
      <c r="I200" s="84">
        <f t="shared" si="53"/>
        <v>10292.82879177378</v>
      </c>
      <c r="J200" s="84">
        <f t="shared" si="53"/>
        <v>10292.82879177378</v>
      </c>
      <c r="K200" s="84">
        <f t="shared" si="53"/>
        <v>9100.5624042427808</v>
      </c>
      <c r="L200" s="84">
        <f t="shared" si="53"/>
        <v>9100.5624042427808</v>
      </c>
      <c r="M200" s="84">
        <f t="shared" si="53"/>
        <v>8180.984982121573</v>
      </c>
      <c r="N200" s="84">
        <f t="shared" si="53"/>
        <v>1737.0962713008266</v>
      </c>
      <c r="O200" s="84">
        <f t="shared" si="53"/>
        <v>1737.0962713008266</v>
      </c>
      <c r="P200" s="1252">
        <f>SUM(D200:O200)</f>
        <v>72842.063618398708</v>
      </c>
      <c r="Q200" s="14"/>
      <c r="R200" s="14"/>
      <c r="S200" s="14"/>
      <c r="T200" s="14"/>
      <c r="U200" s="14"/>
      <c r="V200" s="14"/>
      <c r="W200" s="14"/>
      <c r="AV200" s="87"/>
      <c r="AW200" s="87"/>
    </row>
    <row r="201" spans="2:49" s="9" customFormat="1">
      <c r="B201" s="58"/>
      <c r="C201" s="77" t="s">
        <v>111</v>
      </c>
      <c r="D201" s="84">
        <f>D199-D200</f>
        <v>3174.9989433962264</v>
      </c>
      <c r="E201" s="84">
        <f t="shared" ref="E201:O201" si="54">E199-E200</f>
        <v>3174.9989433962264</v>
      </c>
      <c r="F201" s="84">
        <f t="shared" si="54"/>
        <v>3174.9989433962264</v>
      </c>
      <c r="G201" s="84">
        <f t="shared" si="54"/>
        <v>14010.949125063478</v>
      </c>
      <c r="H201" s="84">
        <f t="shared" si="54"/>
        <v>13074.976223776226</v>
      </c>
      <c r="I201" s="84">
        <f t="shared" si="54"/>
        <v>16822.687917737789</v>
      </c>
      <c r="J201" s="84">
        <f t="shared" si="54"/>
        <v>16822.687917737789</v>
      </c>
      <c r="K201" s="84">
        <f t="shared" si="54"/>
        <v>14874.03747790218</v>
      </c>
      <c r="L201" s="84">
        <f t="shared" si="54"/>
        <v>14874.03747790218</v>
      </c>
      <c r="M201" s="84">
        <f t="shared" si="54"/>
        <v>13371.072228843863</v>
      </c>
      <c r="N201" s="84">
        <f t="shared" si="54"/>
        <v>2839.1250885776954</v>
      </c>
      <c r="O201" s="84">
        <f t="shared" si="54"/>
        <v>2839.1250885776954</v>
      </c>
      <c r="P201" s="1252">
        <f>SUM(D201:O201)</f>
        <v>119053.69537630759</v>
      </c>
      <c r="Q201" s="14"/>
      <c r="R201" s="14"/>
      <c r="S201" s="14"/>
      <c r="T201" s="14"/>
      <c r="U201" s="14"/>
      <c r="V201" s="14"/>
      <c r="W201" s="14"/>
      <c r="AV201" s="87"/>
      <c r="AW201" s="87"/>
    </row>
    <row r="202" spans="2:49" s="9" customFormat="1">
      <c r="B202" s="107" t="s">
        <v>706</v>
      </c>
      <c r="C202" s="77" t="s">
        <v>391</v>
      </c>
      <c r="D202" s="116">
        <f>Price4_36MoPr(VarCostByProduct,B202)</f>
        <v>2.99</v>
      </c>
      <c r="E202" s="106"/>
      <c r="F202" s="106"/>
      <c r="G202" s="106"/>
      <c r="H202" s="105"/>
      <c r="I202" s="100"/>
      <c r="J202" s="100"/>
      <c r="K202" s="100"/>
      <c r="L202" s="100"/>
      <c r="M202" s="100"/>
      <c r="N202" s="100"/>
      <c r="O202" s="100"/>
      <c r="P202" s="1252"/>
      <c r="Q202" s="14"/>
      <c r="R202" s="14"/>
      <c r="S202" s="14"/>
      <c r="T202" s="14"/>
      <c r="U202" s="14"/>
      <c r="V202" s="14"/>
      <c r="W202" s="14"/>
      <c r="AV202" s="87"/>
      <c r="AW202" s="87"/>
    </row>
    <row r="203" spans="2:49" s="9" customFormat="1">
      <c r="B203" s="58"/>
      <c r="C203" s="77" t="s">
        <v>121</v>
      </c>
      <c r="D203" s="115">
        <f>Varcosts4_36MoPr(VarCostByProduct,B202)</f>
        <v>0.97</v>
      </c>
      <c r="E203" s="100"/>
      <c r="F203" s="100"/>
      <c r="G203" s="100"/>
      <c r="H203" s="100"/>
      <c r="I203" s="100"/>
      <c r="J203" s="100"/>
      <c r="K203" s="100"/>
      <c r="L203" s="100"/>
      <c r="M203" s="100"/>
      <c r="N203" s="100"/>
      <c r="O203" s="100"/>
      <c r="P203" s="1252"/>
      <c r="Q203" s="14"/>
      <c r="R203" s="14"/>
      <c r="S203" s="14"/>
      <c r="T203" s="14"/>
      <c r="U203" s="14"/>
      <c r="V203" s="14"/>
      <c r="W203" s="14"/>
      <c r="AV203" s="87"/>
      <c r="AW203" s="87"/>
    </row>
    <row r="204" spans="2:49" s="9" customFormat="1">
      <c r="B204" s="58"/>
      <c r="C204" s="205" t="s">
        <v>114</v>
      </c>
      <c r="D204" s="117">
        <f>Sales4_36MoPr(SalesJan,"FY-2",$B202)</f>
        <v>1969.3399014778324</v>
      </c>
      <c r="E204" s="117">
        <f>Sales4_36MoPr(SalesFeb,"FY-2",$B202)</f>
        <v>2039.3266451283796</v>
      </c>
      <c r="F204" s="117">
        <f>Sales4_36MoPr(SalesMar,"FY-2",$B202)</f>
        <v>1969.3399014778324</v>
      </c>
      <c r="G204" s="117">
        <f>Sales4_36MoPr(SalesApr,"FY-2",$B202)</f>
        <v>9264.7972190034761</v>
      </c>
      <c r="H204" s="117">
        <f>Sales4_36MoPr(SalesMay,"FY-2",$B202)</f>
        <v>9879.1433278418444</v>
      </c>
      <c r="I204" s="117">
        <f>Sales4_36MoPr(SalesJun,"FY-2",$B202)</f>
        <v>12378.956850444363</v>
      </c>
      <c r="J204" s="117">
        <f>Sales4_36MoPr(SalesJul,"FY-2",$B202)</f>
        <v>12378.956850444363</v>
      </c>
      <c r="K204" s="117">
        <f>Sales4_36MoPr(SalesAug,"FY-2",$B202)</f>
        <v>10893.680539822084</v>
      </c>
      <c r="L204" s="117">
        <f>Sales4_36MoPr(SalesSep,"FY-2",$B202)</f>
        <v>10893.680539822084</v>
      </c>
      <c r="M204" s="117">
        <f>Sales4_36MoPr(SalesOct,"FY-2",$B202)</f>
        <v>9879.1433278418444</v>
      </c>
      <c r="N204" s="117">
        <f>Sales4_36MoPr(SalesNov,"FY-2",$B202)</f>
        <v>1969.3399014778324</v>
      </c>
      <c r="O204" s="117">
        <f>Sales4_36MoPr(SalesDec,"FY-2",$B202)</f>
        <v>2039.3266451283796</v>
      </c>
      <c r="P204" s="1265">
        <f>SUM(D204:O204)</f>
        <v>85555.031649910306</v>
      </c>
      <c r="Q204" s="14"/>
      <c r="R204" s="14"/>
      <c r="S204" s="14"/>
      <c r="T204" s="14"/>
      <c r="U204" s="14"/>
      <c r="V204" s="14"/>
      <c r="W204" s="14"/>
      <c r="AV204" s="87"/>
      <c r="AW204" s="87"/>
    </row>
    <row r="205" spans="2:49" s="9" customFormat="1">
      <c r="B205" s="206"/>
      <c r="C205" s="77" t="s">
        <v>113</v>
      </c>
      <c r="D205" s="84">
        <f t="shared" ref="D205:O205" si="55">D204*$D202</f>
        <v>5888.3263054187191</v>
      </c>
      <c r="E205" s="84">
        <f t="shared" si="55"/>
        <v>6097.5866689338554</v>
      </c>
      <c r="F205" s="84">
        <f t="shared" si="55"/>
        <v>5888.3263054187191</v>
      </c>
      <c r="G205" s="84">
        <f t="shared" si="55"/>
        <v>27701.743684820394</v>
      </c>
      <c r="H205" s="84">
        <f t="shared" si="55"/>
        <v>29538.638550247117</v>
      </c>
      <c r="I205" s="84">
        <f t="shared" si="55"/>
        <v>37013.080982828651</v>
      </c>
      <c r="J205" s="84">
        <f t="shared" si="55"/>
        <v>37013.080982828651</v>
      </c>
      <c r="K205" s="84">
        <f t="shared" si="55"/>
        <v>32572.104814068032</v>
      </c>
      <c r="L205" s="84">
        <f t="shared" si="55"/>
        <v>32572.104814068032</v>
      </c>
      <c r="M205" s="84">
        <f t="shared" si="55"/>
        <v>29538.638550247117</v>
      </c>
      <c r="N205" s="84">
        <f t="shared" si="55"/>
        <v>5888.3263054187191</v>
      </c>
      <c r="O205" s="84">
        <f t="shared" si="55"/>
        <v>6097.5866689338554</v>
      </c>
      <c r="P205" s="1252">
        <f>SUM(D205:O205)</f>
        <v>255809.54463323188</v>
      </c>
      <c r="Q205" s="14"/>
      <c r="R205" s="14"/>
      <c r="S205" s="14"/>
      <c r="T205" s="14"/>
      <c r="U205" s="14"/>
      <c r="V205" s="14"/>
      <c r="W205" s="14"/>
      <c r="AV205" s="87"/>
      <c r="AW205" s="87"/>
    </row>
    <row r="206" spans="2:49" s="9" customFormat="1">
      <c r="B206" s="58"/>
      <c r="C206" s="77" t="s">
        <v>112</v>
      </c>
      <c r="D206" s="84">
        <f>D204*$D$80</f>
        <v>1831.4861083743842</v>
      </c>
      <c r="E206" s="84">
        <f>E204*$D$80</f>
        <v>1896.5737799693932</v>
      </c>
      <c r="F206" s="84">
        <f t="shared" ref="F206:O206" si="56">F204*$D203</f>
        <v>1910.2597044334973</v>
      </c>
      <c r="G206" s="84">
        <f t="shared" si="56"/>
        <v>8986.8533024333719</v>
      </c>
      <c r="H206" s="84">
        <f t="shared" si="56"/>
        <v>9582.769028006589</v>
      </c>
      <c r="I206" s="84">
        <f t="shared" si="56"/>
        <v>12007.588144931033</v>
      </c>
      <c r="J206" s="84">
        <f t="shared" si="56"/>
        <v>12007.588144931033</v>
      </c>
      <c r="K206" s="84">
        <f t="shared" si="56"/>
        <v>10566.870123627421</v>
      </c>
      <c r="L206" s="84">
        <f t="shared" si="56"/>
        <v>10566.870123627421</v>
      </c>
      <c r="M206" s="84">
        <f t="shared" si="56"/>
        <v>9582.769028006589</v>
      </c>
      <c r="N206" s="84">
        <f t="shared" si="56"/>
        <v>1910.2597044334973</v>
      </c>
      <c r="O206" s="84">
        <f t="shared" si="56"/>
        <v>1978.1468457745282</v>
      </c>
      <c r="P206" s="1252">
        <f>SUM(D206:O206)</f>
        <v>82828.034038548751</v>
      </c>
      <c r="Q206" s="14"/>
      <c r="R206" s="14"/>
      <c r="S206" s="14"/>
      <c r="T206" s="14"/>
      <c r="U206" s="14"/>
      <c r="V206" s="14"/>
      <c r="W206" s="14"/>
      <c r="AV206" s="87"/>
      <c r="AW206" s="87"/>
    </row>
    <row r="207" spans="2:49" s="9" customFormat="1">
      <c r="B207" s="58"/>
      <c r="C207" s="77" t="s">
        <v>111</v>
      </c>
      <c r="D207" s="84">
        <f>D205-D206</f>
        <v>4056.8401970443347</v>
      </c>
      <c r="E207" s="84">
        <f t="shared" ref="E207:O207" si="57">E205-E206</f>
        <v>4201.012888964462</v>
      </c>
      <c r="F207" s="84">
        <f t="shared" si="57"/>
        <v>3978.0666009852221</v>
      </c>
      <c r="G207" s="84">
        <f t="shared" si="57"/>
        <v>18714.890382387021</v>
      </c>
      <c r="H207" s="84">
        <f t="shared" si="57"/>
        <v>19955.869522240529</v>
      </c>
      <c r="I207" s="84">
        <f t="shared" si="57"/>
        <v>25005.492837897618</v>
      </c>
      <c r="J207" s="84">
        <f t="shared" si="57"/>
        <v>25005.492837897618</v>
      </c>
      <c r="K207" s="84">
        <f t="shared" si="57"/>
        <v>22005.234690440611</v>
      </c>
      <c r="L207" s="84">
        <f t="shared" si="57"/>
        <v>22005.234690440611</v>
      </c>
      <c r="M207" s="84">
        <f t="shared" si="57"/>
        <v>19955.869522240529</v>
      </c>
      <c r="N207" s="84">
        <f t="shared" si="57"/>
        <v>3978.0666009852221</v>
      </c>
      <c r="O207" s="84">
        <f t="shared" si="57"/>
        <v>4119.4398231593277</v>
      </c>
      <c r="P207" s="1252">
        <f>SUM(D207:O207)</f>
        <v>172981.51059468312</v>
      </c>
      <c r="Q207" s="14"/>
      <c r="R207" s="14"/>
      <c r="S207" s="14"/>
      <c r="T207" s="14"/>
      <c r="U207" s="14"/>
      <c r="V207" s="14"/>
      <c r="W207" s="14"/>
      <c r="AV207" s="87"/>
      <c r="AW207" s="87"/>
    </row>
    <row r="208" spans="2:49" s="9" customFormat="1">
      <c r="B208" s="107" t="s">
        <v>707</v>
      </c>
      <c r="C208" s="77" t="s">
        <v>391</v>
      </c>
      <c r="D208" s="116">
        <f>Price4_36MoPr(VarCostByProduct,B208)</f>
        <v>1.99</v>
      </c>
      <c r="E208" s="106"/>
      <c r="F208" s="106"/>
      <c r="G208" s="106"/>
      <c r="H208" s="105"/>
      <c r="I208" s="100"/>
      <c r="J208" s="100"/>
      <c r="K208" s="100"/>
      <c r="L208" s="100"/>
      <c r="M208" s="100"/>
      <c r="N208" s="100"/>
      <c r="O208" s="100"/>
      <c r="P208" s="1252"/>
      <c r="Q208" s="14"/>
      <c r="R208" s="14"/>
      <c r="S208" s="14"/>
      <c r="T208" s="14"/>
      <c r="U208" s="14"/>
      <c r="V208" s="14"/>
      <c r="W208" s="14"/>
      <c r="AV208" s="87"/>
      <c r="AW208" s="87"/>
    </row>
    <row r="209" spans="2:49" s="9" customFormat="1">
      <c r="B209" s="58"/>
      <c r="C209" s="77" t="s">
        <v>121</v>
      </c>
      <c r="D209" s="115">
        <f>Varcosts4_36MoPr(VarCostByProduct,B208)</f>
        <v>0.94</v>
      </c>
      <c r="E209" s="100"/>
      <c r="F209" s="100"/>
      <c r="G209" s="100"/>
      <c r="H209" s="100"/>
      <c r="I209" s="100"/>
      <c r="J209" s="100"/>
      <c r="K209" s="100"/>
      <c r="L209" s="100"/>
      <c r="M209" s="100"/>
      <c r="N209" s="100"/>
      <c r="O209" s="100"/>
      <c r="P209" s="1252"/>
      <c r="Q209" s="14"/>
      <c r="R209" s="14"/>
      <c r="S209" s="14"/>
      <c r="T209" s="14"/>
      <c r="U209" s="14"/>
      <c r="V209" s="14"/>
      <c r="W209" s="14"/>
      <c r="AV209" s="87"/>
      <c r="AW209" s="87"/>
    </row>
    <row r="210" spans="2:49" s="9" customFormat="1">
      <c r="B210" s="58"/>
      <c r="C210" s="205" t="s">
        <v>114</v>
      </c>
      <c r="D210" s="117">
        <f>Sales4_36MoPr(SalesJan,"FY-2",$B208)</f>
        <v>28.515511862398853</v>
      </c>
      <c r="E210" s="117">
        <f>Sales4_36MoPr(SalesFeb,"FY-2",$B208)</f>
        <v>28.515511862398853</v>
      </c>
      <c r="F210" s="117">
        <f>Sales4_36MoPr(SalesMar,"FY-2",$B208)</f>
        <v>0</v>
      </c>
      <c r="G210" s="117">
        <f>Sales4_36MoPr(SalesApr,"FY-2",$B208)</f>
        <v>231.4722907827163</v>
      </c>
      <c r="H210" s="117">
        <f>Sales4_36MoPr(SalesMay,"FY-2",$B208)</f>
        <v>1714.3292702099207</v>
      </c>
      <c r="I210" s="117">
        <f>Sales4_36MoPr(SalesJun,"FY-2",$B208)</f>
        <v>141.43587961215962</v>
      </c>
      <c r="J210" s="117">
        <f>Sales4_36MoPr(SalesJul,"FY-2",$B208)</f>
        <v>141.43587961215962</v>
      </c>
      <c r="K210" s="117">
        <f>Sales4_36MoPr(SalesAug,"FY-2",$B208)</f>
        <v>296.02975645759579</v>
      </c>
      <c r="L210" s="117">
        <f>Sales4_36MoPr(SalesSep,"FY-2",$B208)</f>
        <v>296.02975645759579</v>
      </c>
      <c r="M210" s="117">
        <f>Sales4_36MoPr(SalesOct,"FY-2",$B208)</f>
        <v>180.70445123007812</v>
      </c>
      <c r="N210" s="117">
        <f>Sales4_36MoPr(SalesNov,"FY-2",$B208)</f>
        <v>0</v>
      </c>
      <c r="O210" s="117">
        <f>Sales4_36MoPr(SalesDec,"FY-2",$B208)</f>
        <v>0</v>
      </c>
      <c r="P210" s="1265">
        <f>SUM(D210:O210)</f>
        <v>3058.4683080870236</v>
      </c>
      <c r="Q210" s="14"/>
      <c r="R210" s="14"/>
      <c r="S210" s="14"/>
      <c r="T210" s="14"/>
      <c r="U210" s="14"/>
      <c r="V210" s="14"/>
      <c r="W210" s="14"/>
      <c r="AV210" s="87"/>
      <c r="AW210" s="87"/>
    </row>
    <row r="211" spans="2:49" s="9" customFormat="1">
      <c r="B211" s="206"/>
      <c r="C211" s="77" t="s">
        <v>113</v>
      </c>
      <c r="D211" s="84">
        <f t="shared" ref="D211:O211" si="58">D210*$D208</f>
        <v>56.745868606173715</v>
      </c>
      <c r="E211" s="84">
        <f t="shared" si="58"/>
        <v>56.745868606173715</v>
      </c>
      <c r="F211" s="84">
        <f t="shared" si="58"/>
        <v>0</v>
      </c>
      <c r="G211" s="84">
        <f t="shared" si="58"/>
        <v>460.62985865760544</v>
      </c>
      <c r="H211" s="84">
        <f t="shared" si="58"/>
        <v>3411.5152477177421</v>
      </c>
      <c r="I211" s="84">
        <f t="shared" si="58"/>
        <v>281.45740042819767</v>
      </c>
      <c r="J211" s="84">
        <f t="shared" si="58"/>
        <v>281.45740042819767</v>
      </c>
      <c r="K211" s="84">
        <f t="shared" si="58"/>
        <v>589.09921535061562</v>
      </c>
      <c r="L211" s="84">
        <f t="shared" si="58"/>
        <v>589.09921535061562</v>
      </c>
      <c r="M211" s="84">
        <f t="shared" si="58"/>
        <v>359.60185794785548</v>
      </c>
      <c r="N211" s="84">
        <f t="shared" si="58"/>
        <v>0</v>
      </c>
      <c r="O211" s="84">
        <f t="shared" si="58"/>
        <v>0</v>
      </c>
      <c r="P211" s="1252">
        <f>SUM(D211:O211)</f>
        <v>6086.3519330931776</v>
      </c>
      <c r="Q211" s="14"/>
      <c r="R211" s="14"/>
      <c r="S211" s="14"/>
      <c r="T211" s="14"/>
      <c r="U211" s="14"/>
      <c r="V211" s="14"/>
      <c r="W211" s="14"/>
      <c r="AV211" s="87"/>
      <c r="AW211" s="87"/>
    </row>
    <row r="212" spans="2:49" s="9" customFormat="1">
      <c r="B212" s="58"/>
      <c r="C212" s="77" t="s">
        <v>112</v>
      </c>
      <c r="D212" s="84">
        <f>D210*$D$80</f>
        <v>26.519426032030935</v>
      </c>
      <c r="E212" s="84">
        <f>E210*$D$80</f>
        <v>26.519426032030935</v>
      </c>
      <c r="F212" s="84">
        <f t="shared" ref="F212:O212" si="59">F210*$D209</f>
        <v>0</v>
      </c>
      <c r="G212" s="84">
        <f t="shared" si="59"/>
        <v>217.58395333575331</v>
      </c>
      <c r="H212" s="84">
        <f t="shared" si="59"/>
        <v>1611.4695139973253</v>
      </c>
      <c r="I212" s="84">
        <f t="shared" si="59"/>
        <v>132.94972683543003</v>
      </c>
      <c r="J212" s="84">
        <f t="shared" si="59"/>
        <v>132.94972683543003</v>
      </c>
      <c r="K212" s="84">
        <f t="shared" si="59"/>
        <v>278.26797107014005</v>
      </c>
      <c r="L212" s="84">
        <f t="shared" si="59"/>
        <v>278.26797107014005</v>
      </c>
      <c r="M212" s="84">
        <f t="shared" si="59"/>
        <v>169.86218415627343</v>
      </c>
      <c r="N212" s="84">
        <f t="shared" si="59"/>
        <v>0</v>
      </c>
      <c r="O212" s="84">
        <f t="shared" si="59"/>
        <v>0</v>
      </c>
      <c r="P212" s="1252">
        <f>SUM(D212:O212)</f>
        <v>2874.3898993645539</v>
      </c>
      <c r="Q212" s="14"/>
      <c r="R212" s="14"/>
      <c r="S212" s="14"/>
      <c r="T212" s="14"/>
      <c r="U212" s="14"/>
      <c r="V212" s="14"/>
      <c r="W212" s="14"/>
      <c r="AV212" s="87"/>
      <c r="AW212" s="87"/>
    </row>
    <row r="213" spans="2:49" s="9" customFormat="1">
      <c r="B213" s="58"/>
      <c r="C213" s="77" t="s">
        <v>111</v>
      </c>
      <c r="D213" s="84">
        <f>D211-D212</f>
        <v>30.22644257414278</v>
      </c>
      <c r="E213" s="84">
        <f t="shared" ref="E213:O213" si="60">E211-E212</f>
        <v>30.22644257414278</v>
      </c>
      <c r="F213" s="84">
        <f t="shared" si="60"/>
        <v>0</v>
      </c>
      <c r="G213" s="84">
        <f t="shared" si="60"/>
        <v>243.04590532185213</v>
      </c>
      <c r="H213" s="84">
        <f t="shared" si="60"/>
        <v>1800.0457337204168</v>
      </c>
      <c r="I213" s="84">
        <f t="shared" si="60"/>
        <v>148.50767359276765</v>
      </c>
      <c r="J213" s="84">
        <f t="shared" si="60"/>
        <v>148.50767359276765</v>
      </c>
      <c r="K213" s="84">
        <f t="shared" si="60"/>
        <v>310.83124428047557</v>
      </c>
      <c r="L213" s="84">
        <f t="shared" si="60"/>
        <v>310.83124428047557</v>
      </c>
      <c r="M213" s="84">
        <f t="shared" si="60"/>
        <v>189.73967379158205</v>
      </c>
      <c r="N213" s="84">
        <f t="shared" si="60"/>
        <v>0</v>
      </c>
      <c r="O213" s="84">
        <f t="shared" si="60"/>
        <v>0</v>
      </c>
      <c r="P213" s="1252">
        <f>SUM(D213:O213)</f>
        <v>3211.9620337286228</v>
      </c>
      <c r="Q213" s="14"/>
      <c r="R213" s="14"/>
      <c r="S213" s="14"/>
      <c r="T213" s="14"/>
      <c r="U213" s="14"/>
      <c r="V213" s="14"/>
      <c r="W213" s="14"/>
      <c r="AV213" s="87"/>
      <c r="AW213" s="87"/>
    </row>
    <row r="214" spans="2:49" s="9" customFormat="1">
      <c r="B214" s="86"/>
      <c r="C214" s="85"/>
      <c r="D214" s="99"/>
      <c r="E214" s="98"/>
      <c r="F214" s="98"/>
      <c r="G214" s="98"/>
      <c r="H214" s="98"/>
      <c r="I214" s="98"/>
      <c r="J214" s="98"/>
      <c r="K214" s="98"/>
      <c r="L214" s="98"/>
      <c r="M214" s="98"/>
      <c r="N214" s="98"/>
      <c r="O214" s="98"/>
      <c r="P214" s="1252"/>
      <c r="Q214" s="14"/>
      <c r="R214" s="14"/>
      <c r="S214" s="14"/>
      <c r="T214" s="14"/>
      <c r="U214" s="14"/>
      <c r="V214" s="14"/>
      <c r="W214" s="14"/>
    </row>
    <row r="215" spans="2:49" s="9" customFormat="1">
      <c r="B215" s="58"/>
      <c r="C215" s="77" t="s">
        <v>110</v>
      </c>
      <c r="D215" s="103">
        <f t="shared" ref="D215:O215" si="61">SUMIF($C160:$C214,"Revenue",D160:D214)</f>
        <v>39731.090383565446</v>
      </c>
      <c r="E215" s="103">
        <f>SUMIF($C160:$C214,"Revenue",E160:E214)</f>
        <v>39451.14340896326</v>
      </c>
      <c r="F215" s="103">
        <f t="shared" si="61"/>
        <v>39854.657601635838</v>
      </c>
      <c r="G215" s="103">
        <f t="shared" si="61"/>
        <v>80962.361834444106</v>
      </c>
      <c r="H215" s="103">
        <f t="shared" si="61"/>
        <v>112059.65915482033</v>
      </c>
      <c r="I215" s="103">
        <f t="shared" si="61"/>
        <v>132236.60317161737</v>
      </c>
      <c r="J215" s="103">
        <f t="shared" si="61"/>
        <v>132236.60317161737</v>
      </c>
      <c r="K215" s="103">
        <f t="shared" si="61"/>
        <v>125746.81235875443</v>
      </c>
      <c r="L215" s="103">
        <f t="shared" si="61"/>
        <v>125746.81235875443</v>
      </c>
      <c r="M215" s="103">
        <f t="shared" si="61"/>
        <v>118307.97469693163</v>
      </c>
      <c r="N215" s="103">
        <f t="shared" si="61"/>
        <v>47113.035669944918</v>
      </c>
      <c r="O215" s="103">
        <f t="shared" si="61"/>
        <v>40025.488695342741</v>
      </c>
      <c r="P215" s="1252">
        <f>SUM(D215:O215)</f>
        <v>1033472.2425063921</v>
      </c>
      <c r="Q215" s="14"/>
      <c r="R215" s="14"/>
      <c r="S215" s="14"/>
      <c r="T215" s="14"/>
      <c r="U215" s="14"/>
      <c r="V215" s="14"/>
      <c r="W215" s="14"/>
    </row>
    <row r="216" spans="2:49" s="9" customFormat="1">
      <c r="B216" s="58"/>
      <c r="C216" s="77" t="s">
        <v>124</v>
      </c>
      <c r="D216" s="103">
        <f t="shared" ref="D216:O216" si="62">SUMIF($C160:$C214,"Expenses",D160:D214)</f>
        <v>8072.4000000000015</v>
      </c>
      <c r="E216" s="103">
        <f t="shared" si="62"/>
        <v>8072.4000000000015</v>
      </c>
      <c r="F216" s="103">
        <f t="shared" si="62"/>
        <v>8221.1999999999989</v>
      </c>
      <c r="G216" s="103">
        <f t="shared" si="62"/>
        <v>22359.514722907825</v>
      </c>
      <c r="H216" s="103">
        <f t="shared" si="62"/>
        <v>28229.687917270072</v>
      </c>
      <c r="I216" s="103">
        <f t="shared" si="62"/>
        <v>32946.609896587586</v>
      </c>
      <c r="J216" s="103">
        <f t="shared" si="62"/>
        <v>32946.609896587586</v>
      </c>
      <c r="K216" s="103">
        <f t="shared" si="62"/>
        <v>30584.451252982893</v>
      </c>
      <c r="L216" s="103">
        <f t="shared" si="62"/>
        <v>30584.451252982893</v>
      </c>
      <c r="M216" s="103">
        <f t="shared" si="62"/>
        <v>28234.799999999999</v>
      </c>
      <c r="N216" s="103">
        <f t="shared" si="62"/>
        <v>9386.8000000000011</v>
      </c>
      <c r="O216" s="103">
        <f t="shared" si="62"/>
        <v>8221.2000000000007</v>
      </c>
      <c r="P216" s="1252">
        <f>SUM(D216:O216)</f>
        <v>247860.12493931886</v>
      </c>
      <c r="Q216" s="14"/>
      <c r="R216" s="14"/>
      <c r="S216" s="14"/>
      <c r="T216" s="14"/>
      <c r="U216" s="14"/>
      <c r="V216" s="14"/>
      <c r="W216" s="14"/>
    </row>
    <row r="217" spans="2:49" s="9" customFormat="1">
      <c r="B217" s="58"/>
      <c r="C217" s="77" t="s">
        <v>506</v>
      </c>
      <c r="D217" s="103">
        <f t="shared" ref="D217:O217" si="63">SUMIF($C160:$C214,"Contribution",D160:D214)</f>
        <v>31658.690383565441</v>
      </c>
      <c r="E217" s="103">
        <f t="shared" si="63"/>
        <v>31378.743408963255</v>
      </c>
      <c r="F217" s="103">
        <f t="shared" si="63"/>
        <v>31633.457601635841</v>
      </c>
      <c r="G217" s="103">
        <f t="shared" si="63"/>
        <v>58602.847111536277</v>
      </c>
      <c r="H217" s="103">
        <f t="shared" si="63"/>
        <v>83829.971237550257</v>
      </c>
      <c r="I217" s="103">
        <f t="shared" si="63"/>
        <v>99289.993275029818</v>
      </c>
      <c r="J217" s="103">
        <f t="shared" si="63"/>
        <v>99289.993275029818</v>
      </c>
      <c r="K217" s="103">
        <f t="shared" si="63"/>
        <v>95162.361105771546</v>
      </c>
      <c r="L217" s="103">
        <f t="shared" si="63"/>
        <v>95162.361105771546</v>
      </c>
      <c r="M217" s="103">
        <f t="shared" si="63"/>
        <v>90073.17469693163</v>
      </c>
      <c r="N217" s="103">
        <f t="shared" si="63"/>
        <v>37726.235669944923</v>
      </c>
      <c r="O217" s="103">
        <f t="shared" si="63"/>
        <v>31804.288695342737</v>
      </c>
      <c r="P217" s="1252">
        <f>SUM(D217:O217)</f>
        <v>785612.11756707297</v>
      </c>
      <c r="Q217" s="14"/>
      <c r="R217" s="14"/>
      <c r="S217" s="14"/>
      <c r="T217" s="14"/>
      <c r="U217" s="14"/>
      <c r="V217" s="14"/>
      <c r="W217" s="14"/>
    </row>
    <row r="218" spans="2:49" s="9" customFormat="1">
      <c r="B218" s="86"/>
      <c r="C218" s="85"/>
      <c r="D218" s="101"/>
      <c r="E218" s="100"/>
      <c r="F218" s="100"/>
      <c r="G218" s="100"/>
      <c r="H218" s="100"/>
      <c r="I218" s="100"/>
      <c r="J218" s="100"/>
      <c r="K218" s="100"/>
      <c r="L218" s="100"/>
      <c r="M218" s="100"/>
      <c r="N218" s="100"/>
      <c r="O218" s="100"/>
      <c r="P218" s="1252"/>
      <c r="Q218" s="14"/>
      <c r="R218" s="14"/>
      <c r="S218" s="14"/>
      <c r="T218" s="14"/>
      <c r="U218" s="14"/>
      <c r="V218" s="14"/>
      <c r="W218" s="14"/>
    </row>
    <row r="219" spans="2:49" s="9" customFormat="1" ht="12.75" customHeight="1">
      <c r="B219" s="86" t="s">
        <v>123</v>
      </c>
      <c r="C219" s="14" t="s">
        <v>122</v>
      </c>
      <c r="D219" s="101"/>
      <c r="E219" s="100"/>
      <c r="F219" s="100"/>
      <c r="G219" s="100"/>
      <c r="H219" s="100"/>
      <c r="I219" s="100"/>
      <c r="J219" s="100"/>
      <c r="K219" s="100"/>
      <c r="L219" s="100"/>
      <c r="M219" s="100"/>
      <c r="N219" s="100"/>
      <c r="O219" s="100"/>
      <c r="P219" s="1252"/>
      <c r="Q219" s="14"/>
      <c r="R219" s="14"/>
      <c r="S219" s="14"/>
      <c r="T219" s="14"/>
      <c r="U219" s="14"/>
      <c r="V219" s="14"/>
      <c r="W219" s="14"/>
    </row>
    <row r="220" spans="2:49" s="9" customFormat="1">
      <c r="C220" s="56" t="s">
        <v>370</v>
      </c>
      <c r="D220" s="84">
        <f>D65/12</f>
        <v>7700</v>
      </c>
      <c r="E220" s="84">
        <f t="shared" ref="E220:O223" si="64">$D220</f>
        <v>7700</v>
      </c>
      <c r="F220" s="84">
        <f t="shared" si="64"/>
        <v>7700</v>
      </c>
      <c r="G220" s="84">
        <f t="shared" si="64"/>
        <v>7700</v>
      </c>
      <c r="H220" s="84">
        <f t="shared" si="64"/>
        <v>7700</v>
      </c>
      <c r="I220" s="84">
        <f t="shared" si="64"/>
        <v>7700</v>
      </c>
      <c r="J220" s="84">
        <f t="shared" si="64"/>
        <v>7700</v>
      </c>
      <c r="K220" s="84">
        <f t="shared" si="64"/>
        <v>7700</v>
      </c>
      <c r="L220" s="84">
        <f t="shared" si="64"/>
        <v>7700</v>
      </c>
      <c r="M220" s="84">
        <f t="shared" si="64"/>
        <v>7700</v>
      </c>
      <c r="N220" s="84">
        <f t="shared" si="64"/>
        <v>7700</v>
      </c>
      <c r="O220" s="84">
        <f t="shared" si="64"/>
        <v>7700</v>
      </c>
      <c r="P220" s="1252">
        <f>SUM(D220:O220)</f>
        <v>92400</v>
      </c>
      <c r="Q220" s="14"/>
      <c r="R220" s="14"/>
      <c r="S220" s="14"/>
      <c r="T220" s="14"/>
      <c r="U220" s="14"/>
      <c r="V220" s="14"/>
      <c r="W220" s="14"/>
      <c r="AW220" s="87"/>
    </row>
    <row r="221" spans="2:49" s="9" customFormat="1">
      <c r="C221" s="56" t="s">
        <v>388</v>
      </c>
      <c r="D221" s="189">
        <f>D66/12</f>
        <v>2270.8333333333335</v>
      </c>
      <c r="E221" s="84">
        <f t="shared" si="64"/>
        <v>2270.8333333333335</v>
      </c>
      <c r="F221" s="84">
        <f t="shared" si="64"/>
        <v>2270.8333333333335</v>
      </c>
      <c r="G221" s="84">
        <f t="shared" si="64"/>
        <v>2270.8333333333335</v>
      </c>
      <c r="H221" s="84">
        <f t="shared" si="64"/>
        <v>2270.8333333333335</v>
      </c>
      <c r="I221" s="84">
        <f t="shared" si="64"/>
        <v>2270.8333333333335</v>
      </c>
      <c r="J221" s="84">
        <f t="shared" si="64"/>
        <v>2270.8333333333335</v>
      </c>
      <c r="K221" s="84">
        <f t="shared" si="64"/>
        <v>2270.8333333333335</v>
      </c>
      <c r="L221" s="84">
        <f t="shared" si="64"/>
        <v>2270.8333333333335</v>
      </c>
      <c r="M221" s="84">
        <f t="shared" si="64"/>
        <v>2270.8333333333335</v>
      </c>
      <c r="N221" s="84">
        <f t="shared" si="64"/>
        <v>2270.8333333333335</v>
      </c>
      <c r="O221" s="84">
        <f t="shared" si="64"/>
        <v>2270.8333333333335</v>
      </c>
      <c r="P221" s="1252">
        <f>SUM(D221:O221)</f>
        <v>27249.999999999996</v>
      </c>
      <c r="Q221" s="14"/>
      <c r="R221" s="14"/>
      <c r="S221" s="14"/>
      <c r="T221" s="14"/>
      <c r="U221" s="14"/>
      <c r="V221" s="14"/>
      <c r="W221" s="14"/>
      <c r="AW221" s="87"/>
    </row>
    <row r="222" spans="2:49" s="9" customFormat="1">
      <c r="C222" s="56" t="s">
        <v>366</v>
      </c>
      <c r="D222" s="189">
        <f>D67/12</f>
        <v>7965.833333333333</v>
      </c>
      <c r="E222" s="84">
        <f t="shared" si="64"/>
        <v>7965.833333333333</v>
      </c>
      <c r="F222" s="84">
        <f t="shared" si="64"/>
        <v>7965.833333333333</v>
      </c>
      <c r="G222" s="84">
        <f t="shared" si="64"/>
        <v>7965.833333333333</v>
      </c>
      <c r="H222" s="84">
        <f t="shared" si="64"/>
        <v>7965.833333333333</v>
      </c>
      <c r="I222" s="84">
        <f t="shared" si="64"/>
        <v>7965.833333333333</v>
      </c>
      <c r="J222" s="84">
        <f t="shared" si="64"/>
        <v>7965.833333333333</v>
      </c>
      <c r="K222" s="84">
        <f t="shared" si="64"/>
        <v>7965.833333333333</v>
      </c>
      <c r="L222" s="84">
        <f t="shared" si="64"/>
        <v>7965.833333333333</v>
      </c>
      <c r="M222" s="84">
        <f t="shared" si="64"/>
        <v>7965.833333333333</v>
      </c>
      <c r="N222" s="84">
        <f t="shared" si="64"/>
        <v>7965.833333333333</v>
      </c>
      <c r="O222" s="84">
        <f t="shared" si="64"/>
        <v>7965.833333333333</v>
      </c>
      <c r="P222" s="1252">
        <f>SUM(D222:O222)</f>
        <v>95589.999999999985</v>
      </c>
      <c r="Q222" s="14"/>
      <c r="R222" s="14"/>
      <c r="S222" s="14"/>
      <c r="T222" s="14"/>
      <c r="U222" s="14"/>
      <c r="V222" s="14"/>
      <c r="W222" s="14"/>
      <c r="AW222" s="87"/>
    </row>
    <row r="223" spans="2:49" s="9" customFormat="1">
      <c r="C223" s="56" t="s">
        <v>83</v>
      </c>
      <c r="D223" s="189">
        <f>D68/12</f>
        <v>6243.75</v>
      </c>
      <c r="E223" s="84">
        <f t="shared" si="64"/>
        <v>6243.75</v>
      </c>
      <c r="F223" s="84">
        <f t="shared" si="64"/>
        <v>6243.75</v>
      </c>
      <c r="G223" s="84">
        <f t="shared" si="64"/>
        <v>6243.75</v>
      </c>
      <c r="H223" s="84">
        <f t="shared" si="64"/>
        <v>6243.75</v>
      </c>
      <c r="I223" s="84">
        <f t="shared" si="64"/>
        <v>6243.75</v>
      </c>
      <c r="J223" s="84">
        <f t="shared" si="64"/>
        <v>6243.75</v>
      </c>
      <c r="K223" s="84">
        <f t="shared" si="64"/>
        <v>6243.75</v>
      </c>
      <c r="L223" s="84">
        <f t="shared" si="64"/>
        <v>6243.75</v>
      </c>
      <c r="M223" s="84">
        <f t="shared" si="64"/>
        <v>6243.75</v>
      </c>
      <c r="N223" s="84">
        <f t="shared" si="64"/>
        <v>6243.75</v>
      </c>
      <c r="O223" s="84">
        <f t="shared" si="64"/>
        <v>6243.75</v>
      </c>
      <c r="P223" s="1252">
        <f>SUM(D223:O223)</f>
        <v>74925</v>
      </c>
      <c r="Q223" s="14"/>
      <c r="R223" s="14"/>
      <c r="S223" s="14"/>
      <c r="T223" s="14"/>
      <c r="U223" s="14"/>
      <c r="V223" s="14"/>
      <c r="W223" s="14"/>
      <c r="AW223" s="87"/>
    </row>
    <row r="224" spans="2:49" s="9" customFormat="1">
      <c r="B224" s="77"/>
      <c r="C224" s="77"/>
      <c r="D224" s="99"/>
      <c r="E224" s="98"/>
      <c r="F224" s="98"/>
      <c r="G224" s="98"/>
      <c r="H224" s="98"/>
      <c r="I224" s="98"/>
      <c r="J224" s="98"/>
      <c r="K224" s="98"/>
      <c r="L224" s="98"/>
      <c r="M224" s="98"/>
      <c r="N224" s="98"/>
      <c r="O224" s="98"/>
      <c r="P224" s="1252"/>
      <c r="Q224" s="14"/>
      <c r="R224" s="14"/>
      <c r="S224" s="14"/>
      <c r="T224" s="14"/>
      <c r="U224" s="14"/>
      <c r="V224" s="14"/>
      <c r="W224" s="14"/>
    </row>
    <row r="225" spans="1:23" s="9" customFormat="1">
      <c r="B225" s="87"/>
      <c r="C225" s="49" t="s">
        <v>108</v>
      </c>
      <c r="D225" s="84">
        <f>debtMonthlyPaymentsFY2(CycleInCalculation,1)</f>
        <v>1179.6873482711903</v>
      </c>
      <c r="E225" s="84">
        <f>debtMonthlyPaymentsFY2(CycleInCalculation,2)</f>
        <v>1179.6873482711903</v>
      </c>
      <c r="F225" s="84">
        <f>debtMonthlyPaymentsFY2(CycleInCalculation,3)</f>
        <v>1179.6873482711903</v>
      </c>
      <c r="G225" s="84">
        <f>debtMonthlyPaymentsFY2(CycleInCalculation,4)</f>
        <v>1179.6873482711903</v>
      </c>
      <c r="H225" s="84">
        <f>debtMonthlyPaymentsFY2(CycleInCalculation,5)</f>
        <v>1179.6873482711903</v>
      </c>
      <c r="I225" s="84">
        <f>debtMonthlyPaymentsFY2(CycleInCalculation,6)</f>
        <v>1179.6873482711903</v>
      </c>
      <c r="J225" s="84">
        <f>debtMonthlyPaymentsFY2(CycleInCalculation,7)</f>
        <v>1179.6873482711903</v>
      </c>
      <c r="K225" s="84">
        <f>debtMonthlyPaymentsFY2(CycleInCalculation,8)</f>
        <v>1179.6873482711903</v>
      </c>
      <c r="L225" s="84">
        <f>debtMonthlyPaymentsFY2(CycleInCalculation,9)</f>
        <v>1179.6873482711903</v>
      </c>
      <c r="M225" s="84">
        <f>debtMonthlyPaymentsFY2(CycleInCalculation,10)</f>
        <v>1179.6873482711903</v>
      </c>
      <c r="N225" s="84">
        <f>debtMonthlyPaymentsFY2(CycleInCalculation,11)</f>
        <v>1179.6873482711903</v>
      </c>
      <c r="O225" s="84">
        <f>debtMonthlyPaymentsFY2(CycleInCalculation,12)</f>
        <v>1179.6873482711903</v>
      </c>
      <c r="P225" s="1252">
        <f>SUM(D225:O225)</f>
        <v>14156.248179254288</v>
      </c>
      <c r="Q225" s="14"/>
      <c r="R225" s="14"/>
      <c r="S225" s="14"/>
      <c r="T225" s="14"/>
      <c r="U225" s="14"/>
      <c r="V225" s="14"/>
      <c r="W225" s="14"/>
    </row>
    <row r="226" spans="1:23" s="9" customFormat="1">
      <c r="B226" s="49"/>
      <c r="C226" s="49"/>
      <c r="D226" s="101"/>
      <c r="E226" s="100"/>
      <c r="F226" s="100"/>
      <c r="G226" s="100"/>
      <c r="H226" s="100"/>
      <c r="I226" s="100"/>
      <c r="J226" s="100"/>
      <c r="K226" s="100"/>
      <c r="L226" s="100"/>
      <c r="M226" s="100"/>
      <c r="N226" s="100"/>
      <c r="O226" s="100"/>
      <c r="P226" s="1250"/>
      <c r="Q226" s="14"/>
      <c r="R226" s="14"/>
      <c r="S226" s="14"/>
      <c r="T226" s="14"/>
      <c r="U226" s="14"/>
      <c r="V226" s="14"/>
      <c r="W226" s="14"/>
    </row>
    <row r="227" spans="1:23" s="9" customFormat="1">
      <c r="B227" s="58"/>
      <c r="C227" s="77" t="s">
        <v>107</v>
      </c>
      <c r="D227" s="97">
        <f>SUM(D220:D226)+D229</f>
        <v>26547.604014937857</v>
      </c>
      <c r="E227" s="97">
        <f t="shared" ref="E227:O227" si="65">SUM(E220:E226)+E229</f>
        <v>26547.604014937857</v>
      </c>
      <c r="F227" s="97">
        <f t="shared" si="65"/>
        <v>26547.604014937857</v>
      </c>
      <c r="G227" s="97">
        <f t="shared" si="65"/>
        <v>26547.604014937857</v>
      </c>
      <c r="H227" s="97">
        <f t="shared" si="65"/>
        <v>26547.604014937857</v>
      </c>
      <c r="I227" s="97">
        <f t="shared" si="65"/>
        <v>26547.604014937857</v>
      </c>
      <c r="J227" s="97">
        <f t="shared" si="65"/>
        <v>26547.604014937857</v>
      </c>
      <c r="K227" s="97">
        <f t="shared" si="65"/>
        <v>26547.604014937857</v>
      </c>
      <c r="L227" s="97">
        <f t="shared" si="65"/>
        <v>26547.604014937857</v>
      </c>
      <c r="M227" s="97">
        <f t="shared" si="65"/>
        <v>26547.604014937857</v>
      </c>
      <c r="N227" s="97">
        <f t="shared" si="65"/>
        <v>26547.604014937857</v>
      </c>
      <c r="O227" s="97">
        <f t="shared" si="65"/>
        <v>26547.604014937857</v>
      </c>
      <c r="P227" s="1253">
        <f>SUM(D227:O227)</f>
        <v>318571.24817925435</v>
      </c>
      <c r="Q227" s="14"/>
      <c r="R227" s="14"/>
      <c r="S227" s="14"/>
      <c r="T227" s="14"/>
      <c r="U227" s="14"/>
      <c r="V227" s="14"/>
      <c r="W227" s="14"/>
    </row>
    <row r="228" spans="1:23" s="9" customFormat="1">
      <c r="B228" s="87"/>
      <c r="C228" s="89"/>
      <c r="D228" s="101"/>
      <c r="E228" s="100"/>
      <c r="F228" s="100"/>
      <c r="G228" s="100"/>
      <c r="H228" s="100"/>
      <c r="I228" s="100"/>
      <c r="J228" s="100"/>
      <c r="K228" s="100"/>
      <c r="L228" s="100"/>
      <c r="M228" s="100"/>
      <c r="N228" s="100"/>
      <c r="O228" s="100"/>
      <c r="P228" s="1250"/>
      <c r="Q228" s="14"/>
      <c r="R228" s="14"/>
      <c r="S228" s="14"/>
      <c r="T228" s="14"/>
      <c r="U228" s="14"/>
      <c r="V228" s="14"/>
      <c r="W228" s="14"/>
    </row>
    <row r="229" spans="1:23" s="9" customFormat="1">
      <c r="B229" s="87"/>
      <c r="C229" s="49" t="s">
        <v>76</v>
      </c>
      <c r="D229" s="546">
        <f>P229/12</f>
        <v>1187.5</v>
      </c>
      <c r="E229" s="546">
        <f>P229/12</f>
        <v>1187.5</v>
      </c>
      <c r="F229" s="546">
        <f>P229/12</f>
        <v>1187.5</v>
      </c>
      <c r="G229" s="546">
        <f>P229/12</f>
        <v>1187.5</v>
      </c>
      <c r="H229" s="546">
        <f>P229/12</f>
        <v>1187.5</v>
      </c>
      <c r="I229" s="546">
        <f>P229/12</f>
        <v>1187.5</v>
      </c>
      <c r="J229" s="546">
        <f>P229/12</f>
        <v>1187.5</v>
      </c>
      <c r="K229" s="546">
        <f>P229/12</f>
        <v>1187.5</v>
      </c>
      <c r="L229" s="546">
        <f>P229/12</f>
        <v>1187.5</v>
      </c>
      <c r="M229" s="546">
        <f>P229/12</f>
        <v>1187.5</v>
      </c>
      <c r="N229" s="546">
        <f>P229/12</f>
        <v>1187.5</v>
      </c>
      <c r="O229" s="546">
        <f>P229/12</f>
        <v>1187.5</v>
      </c>
      <c r="P229" s="1249">
        <f>VLOOKUP(2.711,'Sim-Report'!1:1048576,3+CycleInCalculation,FALSE)*'Project-Start'!D36</f>
        <v>14250</v>
      </c>
      <c r="Q229" s="14"/>
      <c r="R229" s="14"/>
      <c r="S229" s="14"/>
      <c r="T229" s="14"/>
      <c r="U229" s="14"/>
      <c r="V229" s="14"/>
      <c r="W229" s="14"/>
    </row>
    <row r="230" spans="1:23" s="9" customFormat="1">
      <c r="B230" s="58"/>
      <c r="C230" s="77" t="s">
        <v>126</v>
      </c>
      <c r="D230" s="97">
        <f>D217-D227</f>
        <v>5111.0863686275843</v>
      </c>
      <c r="E230" s="84">
        <f t="shared" ref="E230:O230" si="66">E217-E227</f>
        <v>4831.1393940253984</v>
      </c>
      <c r="F230" s="84">
        <f t="shared" si="66"/>
        <v>5085.8535866979837</v>
      </c>
      <c r="G230" s="84">
        <f t="shared" si="66"/>
        <v>32055.24309659842</v>
      </c>
      <c r="H230" s="84">
        <f t="shared" si="66"/>
        <v>57282.367222612404</v>
      </c>
      <c r="I230" s="84">
        <f t="shared" si="66"/>
        <v>72742.389260091964</v>
      </c>
      <c r="J230" s="84">
        <f t="shared" si="66"/>
        <v>72742.389260091964</v>
      </c>
      <c r="K230" s="84">
        <f t="shared" si="66"/>
        <v>68614.757090833693</v>
      </c>
      <c r="L230" s="84">
        <f t="shared" si="66"/>
        <v>68614.757090833693</v>
      </c>
      <c r="M230" s="84">
        <f t="shared" si="66"/>
        <v>63525.570681993777</v>
      </c>
      <c r="N230" s="84">
        <f t="shared" si="66"/>
        <v>11178.631655007066</v>
      </c>
      <c r="O230" s="84">
        <f t="shared" si="66"/>
        <v>5256.6846804048801</v>
      </c>
      <c r="P230" s="1253">
        <f>SUM(D230:O230)</f>
        <v>467040.86938781885</v>
      </c>
      <c r="Q230" s="14"/>
      <c r="R230" s="14"/>
      <c r="S230" s="14"/>
      <c r="T230" s="14"/>
      <c r="U230" s="14"/>
      <c r="V230" s="14"/>
      <c r="W230" s="14"/>
    </row>
    <row r="231" spans="1:23" s="9" customFormat="1">
      <c r="C231" s="77" t="s">
        <v>392</v>
      </c>
      <c r="D231" s="77">
        <f>VLOOKUP(3.11,'Sim-Report'!1:1048576,3+CycleInCalculation,FALSE)</f>
        <v>0.25</v>
      </c>
      <c r="E231" s="98"/>
      <c r="F231" s="98"/>
      <c r="G231" s="98"/>
      <c r="H231" s="98"/>
      <c r="I231" s="98"/>
      <c r="J231" s="98"/>
      <c r="K231" s="98"/>
      <c r="L231" s="98"/>
      <c r="M231" s="98"/>
      <c r="N231" s="98"/>
      <c r="O231" s="98"/>
      <c r="P231" s="1250"/>
      <c r="Q231" s="14"/>
      <c r="R231" s="14"/>
      <c r="S231" s="14"/>
      <c r="T231" s="14"/>
      <c r="U231" s="14"/>
      <c r="V231" s="14"/>
      <c r="W231" s="14"/>
    </row>
    <row r="232" spans="1:23" s="9" customFormat="1">
      <c r="B232" s="86"/>
      <c r="C232" s="85" t="s">
        <v>117</v>
      </c>
      <c r="D232" s="97">
        <f>D230</f>
        <v>5111.0863686275843</v>
      </c>
      <c r="E232" s="84">
        <f t="shared" ref="E232:O232" si="67">D232+E230</f>
        <v>9942.2257626529827</v>
      </c>
      <c r="F232" s="84">
        <f t="shared" si="67"/>
        <v>15028.079349350966</v>
      </c>
      <c r="G232" s="84">
        <f t="shared" si="67"/>
        <v>47083.322445949387</v>
      </c>
      <c r="H232" s="84">
        <f>G232+H230</f>
        <v>104365.6896685618</v>
      </c>
      <c r="I232" s="84">
        <f t="shared" si="67"/>
        <v>177108.07892865376</v>
      </c>
      <c r="J232" s="84">
        <f t="shared" si="67"/>
        <v>249850.46818874573</v>
      </c>
      <c r="K232" s="84">
        <f t="shared" si="67"/>
        <v>318465.2252795794</v>
      </c>
      <c r="L232" s="84">
        <f t="shared" si="67"/>
        <v>387079.98237041308</v>
      </c>
      <c r="M232" s="84">
        <f t="shared" si="67"/>
        <v>450605.55305240687</v>
      </c>
      <c r="N232" s="84">
        <f t="shared" si="67"/>
        <v>461784.18470741395</v>
      </c>
      <c r="O232" s="84">
        <f t="shared" si="67"/>
        <v>467040.86938781885</v>
      </c>
      <c r="P232" s="1250"/>
      <c r="Q232" s="14"/>
      <c r="R232" s="14"/>
      <c r="S232" s="14"/>
      <c r="T232" s="14"/>
      <c r="U232" s="14"/>
      <c r="V232" s="14"/>
      <c r="W232" s="14"/>
    </row>
    <row r="233" spans="1:23" s="9" customFormat="1">
      <c r="B233" s="86"/>
      <c r="C233" s="85" t="s">
        <v>684</v>
      </c>
      <c r="D233" s="97"/>
      <c r="E233" s="84"/>
      <c r="F233" s="84"/>
      <c r="G233" s="84"/>
      <c r="H233" s="84"/>
      <c r="I233" s="84"/>
      <c r="J233" s="84"/>
      <c r="K233" s="84"/>
      <c r="L233" s="84"/>
      <c r="M233" s="84"/>
      <c r="N233" s="84"/>
      <c r="O233" s="84"/>
      <c r="P233" s="1252">
        <f>P234+P152</f>
        <v>547835.84954999993</v>
      </c>
      <c r="Q233" s="14"/>
      <c r="R233" s="14"/>
      <c r="S233" s="14"/>
      <c r="T233" s="14"/>
      <c r="U233" s="14"/>
      <c r="V233" s="14"/>
      <c r="W233" s="14"/>
    </row>
    <row r="234" spans="1:23" s="9" customFormat="1" ht="12" thickBot="1">
      <c r="B234" s="85"/>
      <c r="C234" s="86" t="s">
        <v>105</v>
      </c>
      <c r="D234" s="96">
        <f>ProfitAfterTaxes(D230,D232,D231)</f>
        <v>3833.3148000000001</v>
      </c>
      <c r="E234" s="96">
        <f>ProfitAfterTaxes(E230,E232,D231)</f>
        <v>3623.35455</v>
      </c>
      <c r="F234" s="96">
        <f>ProfitAfterTaxes(F230,F232,D231)</f>
        <v>3814.3902000000003</v>
      </c>
      <c r="G234" s="96">
        <f>ProfitAfterTaxes(G230,G232,D231)</f>
        <v>24041.432325000002</v>
      </c>
      <c r="H234" s="96">
        <f>ProfitAfterTaxes(H230,H232,D231)</f>
        <v>42961.775399999999</v>
      </c>
      <c r="I234" s="96">
        <f>ProfitAfterTaxes(I230,I232,D231)</f>
        <v>54556.791975</v>
      </c>
      <c r="J234" s="96">
        <f>ProfitAfterTaxes(J230,J232,D231)</f>
        <v>54556.791975</v>
      </c>
      <c r="K234" s="96">
        <f>ProfitAfterTaxes(K230,K232,D231)</f>
        <v>51461.067825000006</v>
      </c>
      <c r="L234" s="96">
        <f>ProfitAfterTaxes(L230,L232,D231)</f>
        <v>51461.067825000006</v>
      </c>
      <c r="M234" s="96">
        <f>ProfitAfterTaxes(M230,M232,D231)</f>
        <v>47644.178025000001</v>
      </c>
      <c r="N234" s="96">
        <f>ProfitAfterTaxes(N230,N232,D231)</f>
        <v>8383.9737750000004</v>
      </c>
      <c r="O234" s="96">
        <f>ProfitAfterTaxes(O230,O232,D231)</f>
        <v>3942.5135249999998</v>
      </c>
      <c r="P234" s="1253">
        <f>SUM(D234:O234)</f>
        <v>350280.65220000001</v>
      </c>
      <c r="Q234" s="14"/>
      <c r="R234" s="14"/>
      <c r="S234" s="14"/>
      <c r="T234" s="14"/>
      <c r="U234" s="14"/>
      <c r="V234" s="14"/>
      <c r="W234" s="14"/>
    </row>
    <row r="235" spans="1:23" s="9" customFormat="1" ht="12" thickBot="1">
      <c r="B235" s="15"/>
      <c r="C235" s="15" t="s">
        <v>116</v>
      </c>
      <c r="D235" s="76" t="s">
        <v>34</v>
      </c>
      <c r="E235" s="76" t="s">
        <v>34</v>
      </c>
      <c r="F235" s="76" t="s">
        <v>34</v>
      </c>
      <c r="G235" s="76" t="s">
        <v>34</v>
      </c>
      <c r="H235" s="76" t="s">
        <v>34</v>
      </c>
      <c r="I235" s="76" t="s">
        <v>34</v>
      </c>
      <c r="J235" s="76" t="s">
        <v>34</v>
      </c>
      <c r="K235" s="76" t="s">
        <v>34</v>
      </c>
      <c r="L235" s="76" t="s">
        <v>34</v>
      </c>
      <c r="M235" s="76" t="s">
        <v>34</v>
      </c>
      <c r="N235" s="76" t="s">
        <v>34</v>
      </c>
      <c r="O235" s="76" t="s">
        <v>34</v>
      </c>
      <c r="P235" s="1251" t="s">
        <v>34</v>
      </c>
      <c r="Q235" s="14"/>
      <c r="R235" s="14"/>
      <c r="S235" s="14"/>
      <c r="T235" s="14"/>
      <c r="U235" s="14"/>
      <c r="V235" s="14"/>
      <c r="W235" s="14"/>
    </row>
    <row r="236" spans="1:23" s="9" customFormat="1" ht="12" thickBot="1">
      <c r="B236" s="15"/>
      <c r="C236" s="15" t="s">
        <v>115</v>
      </c>
      <c r="D236" s="252" t="s">
        <v>47</v>
      </c>
      <c r="E236" s="252" t="s">
        <v>46</v>
      </c>
      <c r="F236" s="252" t="s">
        <v>45</v>
      </c>
      <c r="G236" s="252" t="s">
        <v>44</v>
      </c>
      <c r="H236" s="252" t="s">
        <v>43</v>
      </c>
      <c r="I236" s="252" t="s">
        <v>42</v>
      </c>
      <c r="J236" s="252" t="s">
        <v>41</v>
      </c>
      <c r="K236" s="252" t="s">
        <v>40</v>
      </c>
      <c r="L236" s="252" t="s">
        <v>39</v>
      </c>
      <c r="M236" s="252" t="s">
        <v>38</v>
      </c>
      <c r="N236" s="252" t="s">
        <v>37</v>
      </c>
      <c r="O236" s="252" t="s">
        <v>36</v>
      </c>
      <c r="P236" s="1251"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28">
        <v>6</v>
      </c>
      <c r="B238" s="165" t="s">
        <v>403</v>
      </c>
      <c r="C238" s="165"/>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76" t="s">
        <v>33</v>
      </c>
      <c r="E239" s="76" t="s">
        <v>33</v>
      </c>
      <c r="F239" s="76" t="s">
        <v>33</v>
      </c>
      <c r="G239" s="76" t="s">
        <v>33</v>
      </c>
      <c r="H239" s="76" t="s">
        <v>33</v>
      </c>
      <c r="I239" s="76" t="s">
        <v>33</v>
      </c>
      <c r="J239" s="76" t="s">
        <v>33</v>
      </c>
      <c r="K239" s="76" t="s">
        <v>33</v>
      </c>
      <c r="L239" s="76" t="s">
        <v>33</v>
      </c>
      <c r="M239" s="76" t="s">
        <v>33</v>
      </c>
      <c r="N239" s="76" t="s">
        <v>33</v>
      </c>
      <c r="O239" s="81" t="s">
        <v>33</v>
      </c>
      <c r="P239" s="88" t="s">
        <v>33</v>
      </c>
      <c r="Q239" s="14"/>
      <c r="R239" s="14"/>
      <c r="S239" s="14"/>
      <c r="T239" s="14"/>
      <c r="U239" s="14"/>
      <c r="V239" s="14"/>
      <c r="W239" s="14"/>
    </row>
    <row r="240" spans="1:23" s="9" customFormat="1" ht="12" thickBot="1">
      <c r="B240" s="15" t="s">
        <v>115</v>
      </c>
      <c r="C240" s="15"/>
      <c r="D240" s="252" t="s">
        <v>47</v>
      </c>
      <c r="E240" s="252" t="s">
        <v>46</v>
      </c>
      <c r="F240" s="252" t="s">
        <v>45</v>
      </c>
      <c r="G240" s="252" t="s">
        <v>44</v>
      </c>
      <c r="H240" s="252" t="s">
        <v>43</v>
      </c>
      <c r="I240" s="252" t="s">
        <v>42</v>
      </c>
      <c r="J240" s="252" t="s">
        <v>41</v>
      </c>
      <c r="K240" s="252" t="s">
        <v>40</v>
      </c>
      <c r="L240" s="252" t="s">
        <v>39</v>
      </c>
      <c r="M240" s="252" t="s">
        <v>38</v>
      </c>
      <c r="N240" s="252" t="s">
        <v>37</v>
      </c>
      <c r="O240" s="94" t="s">
        <v>36</v>
      </c>
      <c r="P240" s="88" t="s">
        <v>102</v>
      </c>
      <c r="Q240" s="14"/>
      <c r="R240" s="14"/>
      <c r="S240" s="14"/>
      <c r="T240" s="14"/>
      <c r="U240" s="14"/>
      <c r="V240" s="14"/>
      <c r="W240" s="14"/>
    </row>
    <row r="241" spans="2:23" s="9" customFormat="1">
      <c r="B241" s="107" t="s">
        <v>699</v>
      </c>
      <c r="C241" s="19" t="s">
        <v>391</v>
      </c>
      <c r="D241" s="116">
        <f>Price4_36MoPr(VarCostByProduct,B241)</f>
        <v>4.49</v>
      </c>
      <c r="E241" s="106"/>
      <c r="F241" s="106"/>
      <c r="G241" s="106"/>
      <c r="H241" s="105"/>
      <c r="I241" s="100"/>
      <c r="J241" s="100"/>
      <c r="K241" s="100"/>
      <c r="L241" s="100"/>
      <c r="M241" s="100"/>
      <c r="N241" s="100"/>
      <c r="O241" s="100"/>
      <c r="P241" s="1250"/>
      <c r="Q241" s="14"/>
      <c r="R241" s="14"/>
      <c r="S241" s="14"/>
      <c r="T241" s="14"/>
      <c r="U241" s="14"/>
      <c r="V241" s="14"/>
      <c r="W241" s="14"/>
    </row>
    <row r="242" spans="2:23" s="9" customFormat="1">
      <c r="B242" s="86"/>
      <c r="C242" s="19" t="s">
        <v>121</v>
      </c>
      <c r="D242" s="115">
        <f>Varcosts4_36MoPr(VarCostByProduct,B241)</f>
        <v>0.93</v>
      </c>
      <c r="E242" s="100"/>
      <c r="F242" s="100"/>
      <c r="G242" s="100"/>
      <c r="H242" s="100"/>
      <c r="I242" s="100"/>
      <c r="J242" s="100"/>
      <c r="K242" s="100"/>
      <c r="L242" s="100"/>
      <c r="M242" s="100"/>
      <c r="N242" s="100"/>
      <c r="O242" s="100"/>
      <c r="P242" s="1250"/>
      <c r="Q242" s="14"/>
      <c r="R242" s="14"/>
      <c r="S242" s="14"/>
      <c r="T242" s="14"/>
      <c r="U242" s="14"/>
      <c r="V242" s="14"/>
      <c r="W242" s="14"/>
    </row>
    <row r="243" spans="2:23" s="9" customFormat="1">
      <c r="B243" s="86"/>
      <c r="C243" s="114" t="s">
        <v>114</v>
      </c>
      <c r="D243" s="117">
        <f>Sales4_36MoPr(SalesJan,"FY-3",$B241)</f>
        <v>663.49960427520011</v>
      </c>
      <c r="E243" s="117">
        <f>Sales4_36MoPr(SalesFeb,"FY-3",$B241)</f>
        <v>663.49960427520011</v>
      </c>
      <c r="F243" s="117">
        <f>Sales4_36MoPr(SalesMar,"FY-3",$B241)</f>
        <v>663.49960427520011</v>
      </c>
      <c r="G243" s="117">
        <f>Sales4_36MoPr(SalesApr,"FY-3",$B241)</f>
        <v>645.22483940042821</v>
      </c>
      <c r="H243" s="117">
        <f>Sales4_36MoPr(SalesMay,"FY-3",$B241)</f>
        <v>1927.8310940499039</v>
      </c>
      <c r="I243" s="117">
        <f>Sales4_36MoPr(SalesJun,"FY-3",$B241)</f>
        <v>1880.3120124804991</v>
      </c>
      <c r="J243" s="117">
        <f>Sales4_36MoPr(SalesJul,"FY-3",$B241)</f>
        <v>1880.3120124804991</v>
      </c>
      <c r="K243" s="117">
        <f>Sales4_36MoPr(SalesAug,"FY-3",$B241)</f>
        <v>1969.411764705882</v>
      </c>
      <c r="L243" s="117">
        <f>Sales4_36MoPr(SalesSep,"FY-3",$B241)</f>
        <v>1969.411764705882</v>
      </c>
      <c r="M243" s="117">
        <f>Sales4_36MoPr(SalesOct,"FY-3",$B241)</f>
        <v>1649.2610837438424</v>
      </c>
      <c r="N243" s="117">
        <f>Sales4_36MoPr(SalesNov,"FY-3",$B241)</f>
        <v>1050.9417040358744</v>
      </c>
      <c r="O243" s="117">
        <f>Sales4_36MoPr(SalesDec,"FY-3",$B241)</f>
        <v>1050.9417040358744</v>
      </c>
      <c r="P243" s="1265">
        <f>SUM(D243:O243)</f>
        <v>16014.146792464284</v>
      </c>
      <c r="Q243" s="14"/>
      <c r="R243" s="14"/>
      <c r="S243" s="14"/>
      <c r="T243" s="14"/>
      <c r="U243" s="14"/>
      <c r="V243" s="14"/>
      <c r="W243" s="14"/>
    </row>
    <row r="244" spans="2:23" s="9" customFormat="1">
      <c r="B244" s="104"/>
      <c r="C244" s="19" t="s">
        <v>113</v>
      </c>
      <c r="D244" s="84">
        <f t="shared" ref="D244:O244" si="68">D243*$D241</f>
        <v>2979.1132231956485</v>
      </c>
      <c r="E244" s="84">
        <f t="shared" si="68"/>
        <v>2979.1132231956485</v>
      </c>
      <c r="F244" s="84">
        <f t="shared" si="68"/>
        <v>2979.1132231956485</v>
      </c>
      <c r="G244" s="84">
        <f t="shared" si="68"/>
        <v>2897.0595289079229</v>
      </c>
      <c r="H244" s="84">
        <f t="shared" si="68"/>
        <v>8655.9616122840689</v>
      </c>
      <c r="I244" s="84">
        <f t="shared" si="68"/>
        <v>8442.600936037441</v>
      </c>
      <c r="J244" s="84">
        <f t="shared" si="68"/>
        <v>8442.600936037441</v>
      </c>
      <c r="K244" s="84">
        <f t="shared" si="68"/>
        <v>8842.6588235294112</v>
      </c>
      <c r="L244" s="84">
        <f t="shared" si="68"/>
        <v>8842.6588235294112</v>
      </c>
      <c r="M244" s="84">
        <f t="shared" si="68"/>
        <v>7405.1822660098524</v>
      </c>
      <c r="N244" s="84">
        <f t="shared" si="68"/>
        <v>4718.728251121076</v>
      </c>
      <c r="O244" s="84">
        <f t="shared" si="68"/>
        <v>4718.728251121076</v>
      </c>
      <c r="P244" s="1252">
        <f>SUM(D244:O244)</f>
        <v>71903.519098164659</v>
      </c>
      <c r="Q244" s="14"/>
      <c r="R244" s="14"/>
      <c r="S244" s="14"/>
      <c r="T244" s="14"/>
      <c r="U244" s="14"/>
      <c r="V244" s="14"/>
      <c r="W244" s="14"/>
    </row>
    <row r="245" spans="2:23" s="9" customFormat="1">
      <c r="B245" s="86"/>
      <c r="C245" s="19" t="s">
        <v>112</v>
      </c>
      <c r="D245" s="84">
        <f>D243*$D$80</f>
        <v>617.0546319759361</v>
      </c>
      <c r="E245" s="84">
        <f>E243*$D$80</f>
        <v>617.0546319759361</v>
      </c>
      <c r="F245" s="84">
        <f t="shared" ref="F245:O245" si="69">F243*$D242</f>
        <v>617.0546319759361</v>
      </c>
      <c r="G245" s="84">
        <f t="shared" si="69"/>
        <v>600.05910064239822</v>
      </c>
      <c r="H245" s="84">
        <f t="shared" si="69"/>
        <v>1792.8829174664106</v>
      </c>
      <c r="I245" s="84">
        <f t="shared" si="69"/>
        <v>1748.6901716068642</v>
      </c>
      <c r="J245" s="84">
        <f t="shared" si="69"/>
        <v>1748.6901716068642</v>
      </c>
      <c r="K245" s="84">
        <f t="shared" si="69"/>
        <v>1831.5529411764703</v>
      </c>
      <c r="L245" s="84">
        <f t="shared" si="69"/>
        <v>1831.5529411764703</v>
      </c>
      <c r="M245" s="84">
        <f t="shared" si="69"/>
        <v>1533.8128078817736</v>
      </c>
      <c r="N245" s="84">
        <f t="shared" si="69"/>
        <v>977.37578475336329</v>
      </c>
      <c r="O245" s="84">
        <f t="shared" si="69"/>
        <v>977.37578475336329</v>
      </c>
      <c r="P245" s="1252">
        <f>SUM(D245:O245)</f>
        <v>14893.156516991789</v>
      </c>
      <c r="Q245" s="14"/>
      <c r="R245" s="14"/>
      <c r="S245" s="14"/>
      <c r="T245" s="14"/>
      <c r="U245" s="14"/>
      <c r="V245" s="14"/>
      <c r="W245" s="14"/>
    </row>
    <row r="246" spans="2:23" s="9" customFormat="1">
      <c r="B246" s="86"/>
      <c r="C246" s="19" t="s">
        <v>111</v>
      </c>
      <c r="D246" s="84">
        <f>D244-D245</f>
        <v>2362.0585912197125</v>
      </c>
      <c r="E246" s="84">
        <f t="shared" ref="E246:O246" si="70">E244-E245</f>
        <v>2362.0585912197125</v>
      </c>
      <c r="F246" s="84">
        <f t="shared" si="70"/>
        <v>2362.0585912197125</v>
      </c>
      <c r="G246" s="84">
        <f t="shared" si="70"/>
        <v>2297.0004282655245</v>
      </c>
      <c r="H246" s="84">
        <f t="shared" si="70"/>
        <v>6863.0786948176583</v>
      </c>
      <c r="I246" s="84">
        <f t="shared" si="70"/>
        <v>6693.9107644305768</v>
      </c>
      <c r="J246" s="84">
        <f t="shared" si="70"/>
        <v>6693.9107644305768</v>
      </c>
      <c r="K246" s="84">
        <f t="shared" si="70"/>
        <v>7011.1058823529411</v>
      </c>
      <c r="L246" s="84">
        <f t="shared" si="70"/>
        <v>7011.1058823529411</v>
      </c>
      <c r="M246" s="84">
        <f t="shared" si="70"/>
        <v>5871.3694581280788</v>
      </c>
      <c r="N246" s="84">
        <f t="shared" si="70"/>
        <v>3741.3524663677126</v>
      </c>
      <c r="O246" s="84">
        <f t="shared" si="70"/>
        <v>3741.3524663677126</v>
      </c>
      <c r="P246" s="1252">
        <f>SUM(D246:O246)</f>
        <v>57010.362581172856</v>
      </c>
      <c r="Q246" s="14"/>
      <c r="R246" s="14"/>
      <c r="S246" s="14"/>
      <c r="T246" s="14"/>
      <c r="U246" s="14"/>
      <c r="V246" s="14"/>
      <c r="W246" s="14"/>
    </row>
    <row r="247" spans="2:23" s="9" customFormat="1">
      <c r="B247" s="107" t="s">
        <v>700</v>
      </c>
      <c r="C247" s="19" t="s">
        <v>391</v>
      </c>
      <c r="D247" s="116">
        <f>Price4_36MoPr(VarCostByProduct,B247)</f>
        <v>6.99</v>
      </c>
      <c r="E247" s="106"/>
      <c r="F247" s="106"/>
      <c r="G247" s="106"/>
      <c r="H247" s="105"/>
      <c r="I247" s="100"/>
      <c r="J247" s="100"/>
      <c r="K247" s="100"/>
      <c r="L247" s="100"/>
      <c r="M247" s="100"/>
      <c r="N247" s="100"/>
      <c r="O247" s="100"/>
      <c r="P247" s="1252"/>
      <c r="Q247" s="14"/>
      <c r="R247" s="14"/>
      <c r="S247" s="14"/>
      <c r="T247" s="14"/>
      <c r="U247" s="14"/>
      <c r="V247" s="14"/>
      <c r="W247" s="14"/>
    </row>
    <row r="248" spans="2:23" s="9" customFormat="1">
      <c r="B248" s="86"/>
      <c r="C248" s="19" t="s">
        <v>121</v>
      </c>
      <c r="D248" s="115">
        <f>Varcosts4_36MoPr(VarCostByProduct,B247)</f>
        <v>0.97</v>
      </c>
      <c r="E248" s="100"/>
      <c r="F248" s="100"/>
      <c r="G248" s="100"/>
      <c r="H248" s="100"/>
      <c r="I248" s="100"/>
      <c r="J248" s="100"/>
      <c r="K248" s="100"/>
      <c r="L248" s="100"/>
      <c r="M248" s="100"/>
      <c r="N248" s="100"/>
      <c r="O248" s="100"/>
      <c r="P248" s="1252"/>
      <c r="Q248" s="14"/>
      <c r="R248" s="14"/>
      <c r="S248" s="14"/>
      <c r="T248" s="14"/>
      <c r="U248" s="14"/>
      <c r="V248" s="14"/>
      <c r="W248" s="14"/>
    </row>
    <row r="249" spans="2:23" s="9" customFormat="1">
      <c r="B249" s="86"/>
      <c r="C249" s="114" t="s">
        <v>114</v>
      </c>
      <c r="D249" s="117">
        <f>Sales4_36MoPr(SalesJan,"FY-3",$B247)</f>
        <v>984.7058823529411</v>
      </c>
      <c r="E249" s="117">
        <f>Sales4_36MoPr(SalesFeb,"FY-3",$B247)</f>
        <v>858.46153846153845</v>
      </c>
      <c r="F249" s="117">
        <f>Sales4_36MoPr(SalesMar,"FY-3",$B247)</f>
        <v>984.7058823529411</v>
      </c>
      <c r="G249" s="117">
        <f>Sales4_36MoPr(SalesApr,"FY-3",$B247)</f>
        <v>997.74834437086076</v>
      </c>
      <c r="H249" s="117">
        <f>Sales4_36MoPr(SalesMay,"FY-3",$B247)</f>
        <v>1891.5254237288138</v>
      </c>
      <c r="I249" s="117">
        <f>Sales4_36MoPr(SalesJun,"FY-3",$B247)</f>
        <v>1843.7046307884857</v>
      </c>
      <c r="J249" s="117">
        <f>Sales4_36MoPr(SalesJul,"FY-3",$B247)</f>
        <v>1843.7046307884857</v>
      </c>
      <c r="K249" s="117">
        <f>Sales4_36MoPr(SalesAug,"FY-3",$B247)</f>
        <v>1931.8454935622317</v>
      </c>
      <c r="L249" s="117">
        <f>Sales4_36MoPr(SalesSep,"FY-3",$B247)</f>
        <v>1931.8454935622317</v>
      </c>
      <c r="M249" s="117">
        <f>Sales4_36MoPr(SalesOct,"FY-3",$B247)</f>
        <v>1891.5254237288138</v>
      </c>
      <c r="N249" s="117">
        <f>Sales4_36MoPr(SalesNov,"FY-3",$B247)</f>
        <v>984.7058823529411</v>
      </c>
      <c r="O249" s="117">
        <f>Sales4_36MoPr(SalesDec,"FY-3",$B247)</f>
        <v>858.46153846153845</v>
      </c>
      <c r="P249" s="1265">
        <f>SUM(D249:O249)</f>
        <v>17002.940164511823</v>
      </c>
      <c r="Q249" s="14"/>
      <c r="R249" s="14"/>
      <c r="S249" s="14"/>
      <c r="T249" s="14"/>
      <c r="U249" s="14"/>
      <c r="V249" s="14"/>
      <c r="W249" s="14"/>
    </row>
    <row r="250" spans="2:23" s="9" customFormat="1">
      <c r="B250" s="104"/>
      <c r="C250" s="19" t="s">
        <v>113</v>
      </c>
      <c r="D250" s="84">
        <f t="shared" ref="D250:O250" si="71">D249*$D247</f>
        <v>6883.0941176470587</v>
      </c>
      <c r="E250" s="84">
        <f t="shared" si="71"/>
        <v>6000.6461538461535</v>
      </c>
      <c r="F250" s="84">
        <f t="shared" si="71"/>
        <v>6883.0941176470587</v>
      </c>
      <c r="G250" s="84">
        <f t="shared" si="71"/>
        <v>6974.260927152317</v>
      </c>
      <c r="H250" s="84">
        <f t="shared" si="71"/>
        <v>13221.762711864409</v>
      </c>
      <c r="I250" s="84">
        <f t="shared" si="71"/>
        <v>12887.495369211516</v>
      </c>
      <c r="J250" s="84">
        <f t="shared" si="71"/>
        <v>12887.495369211516</v>
      </c>
      <c r="K250" s="84">
        <f t="shared" si="71"/>
        <v>13503.6</v>
      </c>
      <c r="L250" s="84">
        <f t="shared" si="71"/>
        <v>13503.6</v>
      </c>
      <c r="M250" s="84">
        <f t="shared" si="71"/>
        <v>13221.762711864409</v>
      </c>
      <c r="N250" s="84">
        <f t="shared" si="71"/>
        <v>6883.0941176470587</v>
      </c>
      <c r="O250" s="84">
        <f t="shared" si="71"/>
        <v>6000.6461538461535</v>
      </c>
      <c r="P250" s="1252">
        <f>SUM(D250:O250)</f>
        <v>118850.55174993766</v>
      </c>
      <c r="Q250" s="14"/>
      <c r="R250" s="14"/>
      <c r="S250" s="14"/>
      <c r="T250" s="14"/>
      <c r="U250" s="14"/>
      <c r="V250" s="14"/>
      <c r="W250" s="14"/>
    </row>
    <row r="251" spans="2:23" s="9" customFormat="1">
      <c r="B251" s="86"/>
      <c r="C251" s="19" t="s">
        <v>112</v>
      </c>
      <c r="D251" s="84">
        <f>D249*$D$80</f>
        <v>915.77647058823527</v>
      </c>
      <c r="E251" s="84">
        <f>E249*$D$80</f>
        <v>798.36923076923085</v>
      </c>
      <c r="F251" s="84">
        <f t="shared" ref="F251:O251" si="72">F249*$D248</f>
        <v>955.16470588235279</v>
      </c>
      <c r="G251" s="84">
        <f t="shared" si="72"/>
        <v>967.81589403973487</v>
      </c>
      <c r="H251" s="84">
        <f t="shared" si="72"/>
        <v>1834.7796610169494</v>
      </c>
      <c r="I251" s="84">
        <f t="shared" si="72"/>
        <v>1788.393491864831</v>
      </c>
      <c r="J251" s="84">
        <f t="shared" si="72"/>
        <v>1788.393491864831</v>
      </c>
      <c r="K251" s="84">
        <f t="shared" si="72"/>
        <v>1873.8901287553647</v>
      </c>
      <c r="L251" s="84">
        <f t="shared" si="72"/>
        <v>1873.8901287553647</v>
      </c>
      <c r="M251" s="84">
        <f t="shared" si="72"/>
        <v>1834.7796610169494</v>
      </c>
      <c r="N251" s="84">
        <f t="shared" si="72"/>
        <v>955.16470588235279</v>
      </c>
      <c r="O251" s="84">
        <f t="shared" si="72"/>
        <v>832.70769230769224</v>
      </c>
      <c r="P251" s="1252">
        <f>SUM(D251:O251)</f>
        <v>16419.125262743892</v>
      </c>
      <c r="Q251" s="14"/>
      <c r="R251" s="14"/>
      <c r="S251" s="14"/>
      <c r="T251" s="14"/>
      <c r="U251" s="14"/>
      <c r="V251" s="14"/>
      <c r="W251" s="14"/>
    </row>
    <row r="252" spans="2:23" s="9" customFormat="1">
      <c r="B252" s="86"/>
      <c r="C252" s="19" t="s">
        <v>111</v>
      </c>
      <c r="D252" s="84">
        <f>D250-D251</f>
        <v>5967.3176470588232</v>
      </c>
      <c r="E252" s="84">
        <f t="shared" ref="E252:O252" si="73">E250-E251</f>
        <v>5202.2769230769227</v>
      </c>
      <c r="F252" s="84">
        <f t="shared" si="73"/>
        <v>5927.9294117647059</v>
      </c>
      <c r="G252" s="84">
        <f t="shared" si="73"/>
        <v>6006.4450331125818</v>
      </c>
      <c r="H252" s="84">
        <f t="shared" si="73"/>
        <v>11386.983050847459</v>
      </c>
      <c r="I252" s="84">
        <f t="shared" si="73"/>
        <v>11099.101877346686</v>
      </c>
      <c r="J252" s="84">
        <f t="shared" si="73"/>
        <v>11099.101877346686</v>
      </c>
      <c r="K252" s="84">
        <f t="shared" si="73"/>
        <v>11629.709871244635</v>
      </c>
      <c r="L252" s="84">
        <f t="shared" si="73"/>
        <v>11629.709871244635</v>
      </c>
      <c r="M252" s="84">
        <f t="shared" si="73"/>
        <v>11386.983050847459</v>
      </c>
      <c r="N252" s="84">
        <f t="shared" si="73"/>
        <v>5927.9294117647059</v>
      </c>
      <c r="O252" s="84">
        <f t="shared" si="73"/>
        <v>5167.9384615384615</v>
      </c>
      <c r="P252" s="1252">
        <f>SUM(D252:O252)</f>
        <v>102431.42648719375</v>
      </c>
      <c r="Q252" s="14"/>
      <c r="R252" s="14"/>
      <c r="S252" s="14"/>
      <c r="T252" s="14"/>
      <c r="U252" s="14"/>
      <c r="V252" s="14"/>
      <c r="W252" s="14"/>
    </row>
    <row r="253" spans="2:23" s="9" customFormat="1">
      <c r="B253" s="107" t="s">
        <v>701</v>
      </c>
      <c r="C253" s="19" t="s">
        <v>391</v>
      </c>
      <c r="D253" s="116">
        <f>Price4_36MoPr(VarCostByProduct,B253)</f>
        <v>5.49</v>
      </c>
      <c r="E253" s="106"/>
      <c r="F253" s="106"/>
      <c r="G253" s="106"/>
      <c r="H253" s="105"/>
      <c r="I253" s="100"/>
      <c r="J253" s="100"/>
      <c r="K253" s="100"/>
      <c r="L253" s="100"/>
      <c r="M253" s="100"/>
      <c r="N253" s="100"/>
      <c r="O253" s="100"/>
      <c r="P253" s="1252"/>
      <c r="Q253" s="14"/>
      <c r="R253" s="14"/>
      <c r="S253" s="14"/>
      <c r="T253" s="14"/>
      <c r="U253" s="14"/>
      <c r="V253" s="14"/>
      <c r="W253" s="14"/>
    </row>
    <row r="254" spans="2:23" s="9" customFormat="1">
      <c r="B254" s="86"/>
      <c r="C254" s="19" t="s">
        <v>121</v>
      </c>
      <c r="D254" s="115">
        <f>Varcosts4_36MoPr(VarCostByProduct,B253)</f>
        <v>0.94</v>
      </c>
      <c r="E254" s="100"/>
      <c r="F254" s="100"/>
      <c r="G254" s="100"/>
      <c r="H254" s="100"/>
      <c r="I254" s="100"/>
      <c r="J254" s="100"/>
      <c r="K254" s="100"/>
      <c r="L254" s="100"/>
      <c r="M254" s="100"/>
      <c r="N254" s="100"/>
      <c r="O254" s="100"/>
      <c r="P254" s="1252"/>
      <c r="Q254" s="14"/>
      <c r="R254" s="14"/>
      <c r="S254" s="14"/>
      <c r="T254" s="14"/>
      <c r="U254" s="14"/>
      <c r="V254" s="14"/>
      <c r="W254" s="14"/>
    </row>
    <row r="255" spans="2:23" s="9" customFormat="1">
      <c r="B255" s="86"/>
      <c r="C255" s="114" t="s">
        <v>114</v>
      </c>
      <c r="D255" s="117">
        <f>Sales4_36MoPr(SalesJan,"FY-3",$B253)</f>
        <v>0</v>
      </c>
      <c r="E255" s="117">
        <f>Sales4_36MoPr(SalesFeb,"FY-3",$B253)</f>
        <v>0</v>
      </c>
      <c r="F255" s="117">
        <f>Sales4_36MoPr(SalesMar,"FY-3",$B253)</f>
        <v>0</v>
      </c>
      <c r="G255" s="117">
        <f>Sales4_36MoPr(SalesApr,"FY-3",$B253)</f>
        <v>0</v>
      </c>
      <c r="H255" s="117">
        <f>Sales4_36MoPr(SalesMay,"FY-3",$B253)</f>
        <v>1094.7743470540802</v>
      </c>
      <c r="I255" s="117">
        <f>Sales4_36MoPr(SalesJun,"FY-3",$B253)</f>
        <v>995.24940641280011</v>
      </c>
      <c r="J255" s="117">
        <f>Sales4_36MoPr(SalesJul,"FY-3",$B253)</f>
        <v>995.24940641280011</v>
      </c>
      <c r="K255" s="117">
        <f>Sales4_36MoPr(SalesAug,"FY-3",$B253)</f>
        <v>995.24940641280011</v>
      </c>
      <c r="L255" s="117">
        <f>Sales4_36MoPr(SalesSep,"FY-3",$B253)</f>
        <v>995.24940641280011</v>
      </c>
      <c r="M255" s="117">
        <f>Sales4_36MoPr(SalesOct,"FY-3",$B253)</f>
        <v>995.24940641280011</v>
      </c>
      <c r="N255" s="117">
        <f>Sales4_36MoPr(SalesNov,"FY-3",$B253)</f>
        <v>1194.2992876953601</v>
      </c>
      <c r="O255" s="117">
        <f>Sales4_36MoPr(SalesDec,"FY-3",$B253)</f>
        <v>0</v>
      </c>
      <c r="P255" s="1265">
        <f>SUM(D255:O255)</f>
        <v>7265.3206668134417</v>
      </c>
      <c r="Q255" s="14"/>
      <c r="R255" s="14"/>
      <c r="S255" s="14"/>
      <c r="T255" s="14"/>
      <c r="U255" s="14"/>
      <c r="V255" s="14"/>
      <c r="W255" s="14"/>
    </row>
    <row r="256" spans="2:23" s="9" customFormat="1">
      <c r="B256" s="104"/>
      <c r="C256" s="19" t="s">
        <v>113</v>
      </c>
      <c r="D256" s="84">
        <f t="shared" ref="D256:O256" si="74">D255*$D253</f>
        <v>0</v>
      </c>
      <c r="E256" s="84">
        <f t="shared" si="74"/>
        <v>0</v>
      </c>
      <c r="F256" s="84">
        <f t="shared" si="74"/>
        <v>0</v>
      </c>
      <c r="G256" s="84">
        <f t="shared" si="74"/>
        <v>0</v>
      </c>
      <c r="H256" s="84">
        <f t="shared" si="74"/>
        <v>6010.3111653269007</v>
      </c>
      <c r="I256" s="84">
        <f t="shared" si="74"/>
        <v>5463.919241206273</v>
      </c>
      <c r="J256" s="84">
        <f t="shared" si="74"/>
        <v>5463.919241206273</v>
      </c>
      <c r="K256" s="84">
        <f t="shared" si="74"/>
        <v>5463.919241206273</v>
      </c>
      <c r="L256" s="84">
        <f t="shared" si="74"/>
        <v>5463.919241206273</v>
      </c>
      <c r="M256" s="84">
        <f t="shared" si="74"/>
        <v>5463.919241206273</v>
      </c>
      <c r="N256" s="84">
        <f t="shared" si="74"/>
        <v>6556.7030894475274</v>
      </c>
      <c r="O256" s="84">
        <f t="shared" si="74"/>
        <v>0</v>
      </c>
      <c r="P256" s="1252">
        <f>SUM(D256:O256)</f>
        <v>39886.610460805787</v>
      </c>
      <c r="Q256" s="14"/>
      <c r="R256" s="14"/>
      <c r="S256" s="14"/>
      <c r="T256" s="14"/>
      <c r="U256" s="14"/>
      <c r="V256" s="14"/>
      <c r="W256" s="14"/>
    </row>
    <row r="257" spans="2:23" s="9" customFormat="1">
      <c r="B257" s="86"/>
      <c r="C257" s="19" t="s">
        <v>112</v>
      </c>
      <c r="D257" s="84">
        <f>D255*$D$80</f>
        <v>0</v>
      </c>
      <c r="E257" s="84">
        <f>E255*$D$80</f>
        <v>0</v>
      </c>
      <c r="F257" s="84">
        <f t="shared" ref="F257:O257" si="75">F255*$D254</f>
        <v>0</v>
      </c>
      <c r="G257" s="84">
        <f t="shared" si="75"/>
        <v>0</v>
      </c>
      <c r="H257" s="84">
        <f t="shared" si="75"/>
        <v>1029.0878862308352</v>
      </c>
      <c r="I257" s="84">
        <f t="shared" si="75"/>
        <v>935.534442028032</v>
      </c>
      <c r="J257" s="84">
        <f t="shared" si="75"/>
        <v>935.534442028032</v>
      </c>
      <c r="K257" s="84">
        <f t="shared" si="75"/>
        <v>935.534442028032</v>
      </c>
      <c r="L257" s="84">
        <f t="shared" si="75"/>
        <v>935.534442028032</v>
      </c>
      <c r="M257" s="84">
        <f t="shared" si="75"/>
        <v>935.534442028032</v>
      </c>
      <c r="N257" s="84">
        <f t="shared" si="75"/>
        <v>1122.6413304336384</v>
      </c>
      <c r="O257" s="84">
        <f t="shared" si="75"/>
        <v>0</v>
      </c>
      <c r="P257" s="1252">
        <f>SUM(D257:O257)</f>
        <v>6829.401426804633</v>
      </c>
      <c r="Q257" s="14"/>
      <c r="R257" s="14"/>
      <c r="S257" s="14"/>
      <c r="T257" s="14"/>
      <c r="U257" s="14"/>
      <c r="V257" s="14"/>
      <c r="W257" s="14"/>
    </row>
    <row r="258" spans="2:23" s="9" customFormat="1">
      <c r="B258" s="86"/>
      <c r="C258" s="19" t="s">
        <v>111</v>
      </c>
      <c r="D258" s="84">
        <f>D256-D257</f>
        <v>0</v>
      </c>
      <c r="E258" s="84">
        <f t="shared" ref="E258:O258" si="76">E256-E257</f>
        <v>0</v>
      </c>
      <c r="F258" s="84">
        <f t="shared" si="76"/>
        <v>0</v>
      </c>
      <c r="G258" s="84">
        <f t="shared" si="76"/>
        <v>0</v>
      </c>
      <c r="H258" s="84">
        <f t="shared" si="76"/>
        <v>4981.2232790960652</v>
      </c>
      <c r="I258" s="84">
        <f t="shared" si="76"/>
        <v>4528.3847991782413</v>
      </c>
      <c r="J258" s="84">
        <f t="shared" si="76"/>
        <v>4528.3847991782413</v>
      </c>
      <c r="K258" s="84">
        <f t="shared" si="76"/>
        <v>4528.3847991782413</v>
      </c>
      <c r="L258" s="84">
        <f t="shared" si="76"/>
        <v>4528.3847991782413</v>
      </c>
      <c r="M258" s="84">
        <f t="shared" si="76"/>
        <v>4528.3847991782413</v>
      </c>
      <c r="N258" s="84">
        <f t="shared" si="76"/>
        <v>5434.0617590138891</v>
      </c>
      <c r="O258" s="84">
        <f t="shared" si="76"/>
        <v>0</v>
      </c>
      <c r="P258" s="1252">
        <f>SUM(D258:O258)</f>
        <v>33057.209034001164</v>
      </c>
      <c r="Q258" s="14"/>
      <c r="R258" s="14"/>
      <c r="S258" s="14"/>
      <c r="T258" s="14"/>
      <c r="U258" s="14"/>
      <c r="V258" s="14"/>
      <c r="W258" s="14"/>
    </row>
    <row r="259" spans="2:23" s="9" customFormat="1">
      <c r="B259" s="107" t="s">
        <v>702</v>
      </c>
      <c r="C259" s="19" t="s">
        <v>391</v>
      </c>
      <c r="D259" s="116">
        <f>Price4_36MoPr(VarCostByProduct,B259)</f>
        <v>6.99</v>
      </c>
      <c r="E259" s="106"/>
      <c r="F259" s="106"/>
      <c r="G259" s="106"/>
      <c r="H259" s="105"/>
      <c r="I259" s="100"/>
      <c r="J259" s="100"/>
      <c r="K259" s="100"/>
      <c r="L259" s="100"/>
      <c r="M259" s="100"/>
      <c r="N259" s="100"/>
      <c r="O259" s="100"/>
      <c r="P259" s="1252"/>
      <c r="Q259" s="14"/>
      <c r="R259" s="14"/>
      <c r="S259" s="14"/>
      <c r="T259" s="14"/>
      <c r="U259" s="14"/>
      <c r="V259" s="14"/>
      <c r="W259" s="14"/>
    </row>
    <row r="260" spans="2:23" s="9" customFormat="1">
      <c r="B260" s="86"/>
      <c r="C260" s="19" t="s">
        <v>121</v>
      </c>
      <c r="D260" s="115">
        <f>Varcosts4_36MoPr(VarCostByProduct,B259)</f>
        <v>0.95</v>
      </c>
      <c r="E260" s="100"/>
      <c r="F260" s="100"/>
      <c r="G260" s="100"/>
      <c r="H260" s="100"/>
      <c r="I260" s="100"/>
      <c r="J260" s="100"/>
      <c r="K260" s="100"/>
      <c r="L260" s="100"/>
      <c r="M260" s="100"/>
      <c r="N260" s="100"/>
      <c r="O260" s="100"/>
      <c r="P260" s="1252"/>
      <c r="Q260" s="14"/>
      <c r="R260" s="14"/>
      <c r="S260" s="14"/>
      <c r="T260" s="14"/>
      <c r="U260" s="14"/>
      <c r="V260" s="14"/>
      <c r="W260" s="14"/>
    </row>
    <row r="261" spans="2:23" s="9" customFormat="1">
      <c r="B261" s="86"/>
      <c r="C261" s="114" t="s">
        <v>114</v>
      </c>
      <c r="D261" s="117">
        <f>Sales4_36MoPr(SalesJan,"FY-3",$B259)</f>
        <v>1105.8326737920004</v>
      </c>
      <c r="E261" s="117">
        <f>Sales4_36MoPr(SalesFeb,"FY-3",$B259)</f>
        <v>1105.8326737920004</v>
      </c>
      <c r="F261" s="117">
        <f>Sales4_36MoPr(SalesMar,"FY-3",$B259)</f>
        <v>1240</v>
      </c>
      <c r="G261" s="117">
        <f>Sales4_36MoPr(SalesApr,"FY-3",$B259)</f>
        <v>1240</v>
      </c>
      <c r="H261" s="117">
        <f>Sales4_36MoPr(SalesMay,"FY-3",$B259)</f>
        <v>1240</v>
      </c>
      <c r="I261" s="117">
        <f>Sales4_36MoPr(SalesJun,"FY-3",$B259)</f>
        <v>2211.6653475840008</v>
      </c>
      <c r="J261" s="117">
        <f>Sales4_36MoPr(SalesJul,"FY-3",$B259)</f>
        <v>2211.6653475840008</v>
      </c>
      <c r="K261" s="117">
        <f>Sales4_36MoPr(SalesAug,"FY-3",$B259)</f>
        <v>2480</v>
      </c>
      <c r="L261" s="117">
        <f>Sales4_36MoPr(SalesSep,"FY-3",$B259)</f>
        <v>2480</v>
      </c>
      <c r="M261" s="117">
        <f>Sales4_36MoPr(SalesOct,"FY-3",$B259)</f>
        <v>2432.8318823424006</v>
      </c>
      <c r="N261" s="117">
        <f>Sales4_36MoPr(SalesNov,"FY-3",$B259)</f>
        <v>1240</v>
      </c>
      <c r="O261" s="117">
        <f>Sales4_36MoPr(SalesDec,"FY-3",$B259)</f>
        <v>1240</v>
      </c>
      <c r="P261" s="1265">
        <f>SUM(D261:O261)</f>
        <v>20227.827925094403</v>
      </c>
      <c r="Q261" s="14"/>
      <c r="R261" s="14"/>
      <c r="S261" s="14"/>
      <c r="T261" s="14"/>
      <c r="U261" s="14"/>
      <c r="V261" s="14"/>
      <c r="W261" s="14"/>
    </row>
    <row r="262" spans="2:23" s="9" customFormat="1">
      <c r="B262" s="104"/>
      <c r="C262" s="19" t="s">
        <v>113</v>
      </c>
      <c r="D262" s="84">
        <f t="shared" ref="D262:O262" si="77">D261*$D259</f>
        <v>7729.7703898060827</v>
      </c>
      <c r="E262" s="84">
        <f t="shared" si="77"/>
        <v>7729.7703898060827</v>
      </c>
      <c r="F262" s="84">
        <f t="shared" si="77"/>
        <v>8667.6</v>
      </c>
      <c r="G262" s="84">
        <f t="shared" si="77"/>
        <v>8667.6</v>
      </c>
      <c r="H262" s="84">
        <f t="shared" si="77"/>
        <v>8667.6</v>
      </c>
      <c r="I262" s="84">
        <f t="shared" si="77"/>
        <v>15459.540779612165</v>
      </c>
      <c r="J262" s="84">
        <f t="shared" si="77"/>
        <v>15459.540779612165</v>
      </c>
      <c r="K262" s="84">
        <f t="shared" si="77"/>
        <v>17335.2</v>
      </c>
      <c r="L262" s="84">
        <f t="shared" si="77"/>
        <v>17335.2</v>
      </c>
      <c r="M262" s="84">
        <f t="shared" si="77"/>
        <v>17005.49485757338</v>
      </c>
      <c r="N262" s="84">
        <f t="shared" si="77"/>
        <v>8667.6</v>
      </c>
      <c r="O262" s="84">
        <f t="shared" si="77"/>
        <v>8667.6</v>
      </c>
      <c r="P262" s="1252">
        <f>SUM(D262:O262)</f>
        <v>141392.51719640987</v>
      </c>
      <c r="Q262" s="14"/>
      <c r="R262" s="14"/>
      <c r="S262" s="14"/>
      <c r="T262" s="14"/>
      <c r="U262" s="14"/>
      <c r="V262" s="14"/>
      <c r="W262" s="14"/>
    </row>
    <row r="263" spans="2:23" s="9" customFormat="1">
      <c r="B263" s="86"/>
      <c r="C263" s="19" t="s">
        <v>112</v>
      </c>
      <c r="D263" s="84">
        <f>D261*$D$80</f>
        <v>1028.4243866265604</v>
      </c>
      <c r="E263" s="84">
        <f>E261*$D$80</f>
        <v>1028.4243866265604</v>
      </c>
      <c r="F263" s="84">
        <f t="shared" ref="F263:O263" si="78">F261*$D260</f>
        <v>1178</v>
      </c>
      <c r="G263" s="84">
        <f t="shared" si="78"/>
        <v>1178</v>
      </c>
      <c r="H263" s="84">
        <f t="shared" si="78"/>
        <v>1178</v>
      </c>
      <c r="I263" s="84">
        <f t="shared" si="78"/>
        <v>2101.0820802048006</v>
      </c>
      <c r="J263" s="84">
        <f t="shared" si="78"/>
        <v>2101.0820802048006</v>
      </c>
      <c r="K263" s="84">
        <f t="shared" si="78"/>
        <v>2356</v>
      </c>
      <c r="L263" s="84">
        <f t="shared" si="78"/>
        <v>2356</v>
      </c>
      <c r="M263" s="84">
        <f t="shared" si="78"/>
        <v>2311.1902882252803</v>
      </c>
      <c r="N263" s="84">
        <f t="shared" si="78"/>
        <v>1178</v>
      </c>
      <c r="O263" s="84">
        <f t="shared" si="78"/>
        <v>1178</v>
      </c>
      <c r="P263" s="1252">
        <f>SUM(D263:O263)</f>
        <v>19172.203221888001</v>
      </c>
      <c r="Q263" s="14"/>
      <c r="R263" s="14"/>
      <c r="S263" s="14"/>
      <c r="T263" s="14"/>
      <c r="U263" s="14"/>
      <c r="V263" s="14"/>
      <c r="W263" s="14"/>
    </row>
    <row r="264" spans="2:23" s="9" customFormat="1">
      <c r="B264" s="86"/>
      <c r="C264" s="19" t="s">
        <v>111</v>
      </c>
      <c r="D264" s="84">
        <f>D262-D263</f>
        <v>6701.3460031795221</v>
      </c>
      <c r="E264" s="84">
        <f t="shared" ref="E264:O264" si="79">E262-E263</f>
        <v>6701.3460031795221</v>
      </c>
      <c r="F264" s="84">
        <f t="shared" si="79"/>
        <v>7489.6</v>
      </c>
      <c r="G264" s="84">
        <f t="shared" si="79"/>
        <v>7489.6</v>
      </c>
      <c r="H264" s="84">
        <f t="shared" si="79"/>
        <v>7489.6</v>
      </c>
      <c r="I264" s="84">
        <f t="shared" si="79"/>
        <v>13358.458699407365</v>
      </c>
      <c r="J264" s="84">
        <f t="shared" si="79"/>
        <v>13358.458699407365</v>
      </c>
      <c r="K264" s="84">
        <f t="shared" si="79"/>
        <v>14979.2</v>
      </c>
      <c r="L264" s="84">
        <f t="shared" si="79"/>
        <v>14979.2</v>
      </c>
      <c r="M264" s="84">
        <f t="shared" si="79"/>
        <v>14694.3045693481</v>
      </c>
      <c r="N264" s="84">
        <f t="shared" si="79"/>
        <v>7489.6</v>
      </c>
      <c r="O264" s="84">
        <f t="shared" si="79"/>
        <v>7489.6</v>
      </c>
      <c r="P264" s="1252">
        <f>SUM(D264:O264)</f>
        <v>122220.31397452187</v>
      </c>
      <c r="Q264" s="14"/>
      <c r="R264" s="14"/>
      <c r="S264" s="14"/>
      <c r="T264" s="14"/>
      <c r="U264" s="14"/>
      <c r="V264" s="14"/>
      <c r="W264" s="14"/>
    </row>
    <row r="265" spans="2:23" s="9" customFormat="1">
      <c r="B265" s="107" t="s">
        <v>703</v>
      </c>
      <c r="C265" s="19" t="s">
        <v>391</v>
      </c>
      <c r="D265" s="116">
        <f>Price4_36MoPr(VarCostByProduct,B265)</f>
        <v>5.99</v>
      </c>
      <c r="E265" s="106"/>
      <c r="F265" s="106"/>
      <c r="G265" s="106"/>
      <c r="H265" s="105"/>
      <c r="I265" s="100"/>
      <c r="J265" s="100"/>
      <c r="K265" s="100"/>
      <c r="L265" s="100"/>
      <c r="M265" s="100"/>
      <c r="N265" s="100"/>
      <c r="O265" s="100"/>
      <c r="P265" s="1252"/>
      <c r="Q265" s="14"/>
      <c r="R265" s="14"/>
      <c r="S265" s="14"/>
      <c r="T265" s="14"/>
      <c r="U265" s="14"/>
      <c r="V265" s="14"/>
      <c r="W265" s="14"/>
    </row>
    <row r="266" spans="2:23" s="9" customFormat="1">
      <c r="B266" s="86"/>
      <c r="C266" s="19" t="s">
        <v>121</v>
      </c>
      <c r="D266" s="115">
        <f>Varcosts4_36MoPr(VarCostByProduct,B265)</f>
        <v>0.94</v>
      </c>
      <c r="E266" s="100"/>
      <c r="F266" s="100"/>
      <c r="G266" s="100"/>
      <c r="H266" s="100"/>
      <c r="I266" s="100"/>
      <c r="J266" s="100"/>
      <c r="K266" s="100"/>
      <c r="L266" s="100"/>
      <c r="M266" s="100"/>
      <c r="N266" s="100"/>
      <c r="O266" s="100"/>
      <c r="P266" s="1252"/>
      <c r="Q266" s="14"/>
      <c r="R266" s="14"/>
      <c r="S266" s="14"/>
      <c r="T266" s="14"/>
      <c r="U266" s="14"/>
      <c r="V266" s="14"/>
      <c r="W266" s="14"/>
    </row>
    <row r="267" spans="2:23" s="9" customFormat="1">
      <c r="B267" s="86"/>
      <c r="C267" s="114" t="s">
        <v>114</v>
      </c>
      <c r="D267" s="117">
        <f>Sales4_36MoPr(SalesJan,"FY-3",$B265)</f>
        <v>1105.8326737920004</v>
      </c>
      <c r="E267" s="117">
        <f>Sales4_36MoPr(SalesFeb,"FY-3",$B265)</f>
        <v>1105.8326737920004</v>
      </c>
      <c r="F267" s="117">
        <f>Sales4_36MoPr(SalesMar,"FY-3",$B265)</f>
        <v>1240</v>
      </c>
      <c r="G267" s="117">
        <f>Sales4_36MoPr(SalesApr,"FY-3",$B265)</f>
        <v>1240</v>
      </c>
      <c r="H267" s="117">
        <f>Sales4_36MoPr(SalesMay,"FY-3",$B265)</f>
        <v>1240</v>
      </c>
      <c r="I267" s="117">
        <f>Sales4_36MoPr(SalesJun,"FY-3",$B265)</f>
        <v>2211.6653475840008</v>
      </c>
      <c r="J267" s="117">
        <f>Sales4_36MoPr(SalesJul,"FY-3",$B265)</f>
        <v>2211.6653475840008</v>
      </c>
      <c r="K267" s="117">
        <f>Sales4_36MoPr(SalesAug,"FY-3",$B265)</f>
        <v>2480</v>
      </c>
      <c r="L267" s="117">
        <f>Sales4_36MoPr(SalesSep,"FY-3",$B265)</f>
        <v>2480</v>
      </c>
      <c r="M267" s="117">
        <f>Sales4_36MoPr(SalesOct,"FY-3",$B265)</f>
        <v>2432.8318823424006</v>
      </c>
      <c r="N267" s="117">
        <f>Sales4_36MoPr(SalesNov,"FY-3",$B265)</f>
        <v>1240</v>
      </c>
      <c r="O267" s="117">
        <f>Sales4_36MoPr(SalesDec,"FY-3",$B265)</f>
        <v>1240</v>
      </c>
      <c r="P267" s="1265">
        <f>SUM(D267:O267)</f>
        <v>20227.827925094403</v>
      </c>
      <c r="Q267" s="14"/>
      <c r="R267" s="14"/>
      <c r="S267" s="14"/>
      <c r="T267" s="14"/>
      <c r="U267" s="14"/>
      <c r="V267" s="14"/>
      <c r="W267" s="14"/>
    </row>
    <row r="268" spans="2:23" s="9" customFormat="1">
      <c r="B268" s="104"/>
      <c r="C268" s="19" t="s">
        <v>113</v>
      </c>
      <c r="D268" s="84">
        <f t="shared" ref="D268:O268" si="80">D267*$D265</f>
        <v>6623.9377160140821</v>
      </c>
      <c r="E268" s="84">
        <f t="shared" si="80"/>
        <v>6623.9377160140821</v>
      </c>
      <c r="F268" s="84">
        <f t="shared" si="80"/>
        <v>7427.6</v>
      </c>
      <c r="G268" s="84">
        <f t="shared" si="80"/>
        <v>7427.6</v>
      </c>
      <c r="H268" s="84">
        <f t="shared" si="80"/>
        <v>7427.6</v>
      </c>
      <c r="I268" s="84">
        <f t="shared" si="80"/>
        <v>13247.875432028164</v>
      </c>
      <c r="J268" s="84">
        <f t="shared" si="80"/>
        <v>13247.875432028164</v>
      </c>
      <c r="K268" s="84">
        <f t="shared" si="80"/>
        <v>14855.2</v>
      </c>
      <c r="L268" s="84">
        <f t="shared" si="80"/>
        <v>14855.2</v>
      </c>
      <c r="M268" s="84">
        <f t="shared" si="80"/>
        <v>14572.66297523098</v>
      </c>
      <c r="N268" s="84">
        <f t="shared" si="80"/>
        <v>7427.6</v>
      </c>
      <c r="O268" s="84">
        <f t="shared" si="80"/>
        <v>7427.6</v>
      </c>
      <c r="P268" s="1252">
        <f>SUM(D268:O268)</f>
        <v>121164.68927131548</v>
      </c>
      <c r="Q268" s="14"/>
      <c r="R268" s="14"/>
      <c r="S268" s="14"/>
      <c r="T268" s="14"/>
      <c r="U268" s="14"/>
      <c r="V268" s="14"/>
      <c r="W268" s="14"/>
    </row>
    <row r="269" spans="2:23" s="9" customFormat="1">
      <c r="B269" s="86"/>
      <c r="C269" s="19" t="s">
        <v>112</v>
      </c>
      <c r="D269" s="84">
        <f>D267*$D$80</f>
        <v>1028.4243866265604</v>
      </c>
      <c r="E269" s="84">
        <f>E267*$D$80</f>
        <v>1028.4243866265604</v>
      </c>
      <c r="F269" s="84">
        <f t="shared" ref="F269:O269" si="81">F267*$D266</f>
        <v>1165.5999999999999</v>
      </c>
      <c r="G269" s="84">
        <f t="shared" si="81"/>
        <v>1165.5999999999999</v>
      </c>
      <c r="H269" s="84">
        <f t="shared" si="81"/>
        <v>1165.5999999999999</v>
      </c>
      <c r="I269" s="84">
        <f t="shared" si="81"/>
        <v>2078.9654267289607</v>
      </c>
      <c r="J269" s="84">
        <f t="shared" si="81"/>
        <v>2078.9654267289607</v>
      </c>
      <c r="K269" s="84">
        <f t="shared" si="81"/>
        <v>2331.1999999999998</v>
      </c>
      <c r="L269" s="84">
        <f t="shared" si="81"/>
        <v>2331.1999999999998</v>
      </c>
      <c r="M269" s="84">
        <f t="shared" si="81"/>
        <v>2286.8619694018566</v>
      </c>
      <c r="N269" s="84">
        <f t="shared" si="81"/>
        <v>1165.5999999999999</v>
      </c>
      <c r="O269" s="84">
        <f t="shared" si="81"/>
        <v>1165.5999999999999</v>
      </c>
      <c r="P269" s="1252">
        <f>SUM(D269:O269)</f>
        <v>18992.041596112897</v>
      </c>
      <c r="Q269" s="14"/>
      <c r="R269" s="14"/>
      <c r="S269" s="14"/>
      <c r="T269" s="14"/>
      <c r="U269" s="14"/>
      <c r="V269" s="14"/>
      <c r="W269" s="14"/>
    </row>
    <row r="270" spans="2:23" s="9" customFormat="1">
      <c r="B270" s="86"/>
      <c r="C270" s="19" t="s">
        <v>111</v>
      </c>
      <c r="D270" s="84">
        <f>D268-D269</f>
        <v>5595.5133293875215</v>
      </c>
      <c r="E270" s="84">
        <f t="shared" ref="E270:O270" si="82">E268-E269</f>
        <v>5595.5133293875215</v>
      </c>
      <c r="F270" s="84">
        <f t="shared" si="82"/>
        <v>6262</v>
      </c>
      <c r="G270" s="84">
        <f t="shared" si="82"/>
        <v>6262</v>
      </c>
      <c r="H270" s="84">
        <f t="shared" si="82"/>
        <v>6262</v>
      </c>
      <c r="I270" s="84">
        <f t="shared" si="82"/>
        <v>11168.910005299203</v>
      </c>
      <c r="J270" s="84">
        <f t="shared" si="82"/>
        <v>11168.910005299203</v>
      </c>
      <c r="K270" s="84">
        <f t="shared" si="82"/>
        <v>12524</v>
      </c>
      <c r="L270" s="84">
        <f t="shared" si="82"/>
        <v>12524</v>
      </c>
      <c r="M270" s="84">
        <f t="shared" si="82"/>
        <v>12285.801005829124</v>
      </c>
      <c r="N270" s="84">
        <f t="shared" si="82"/>
        <v>6262</v>
      </c>
      <c r="O270" s="84">
        <f t="shared" si="82"/>
        <v>6262</v>
      </c>
      <c r="P270" s="1252">
        <f>SUM(D270:O270)</f>
        <v>102172.64767520258</v>
      </c>
      <c r="Q270" s="14"/>
      <c r="R270" s="14"/>
      <c r="S270" s="14"/>
      <c r="T270" s="14"/>
      <c r="U270" s="14"/>
      <c r="V270" s="14"/>
      <c r="W270" s="14"/>
    </row>
    <row r="271" spans="2:23" s="9" customFormat="1">
      <c r="B271" s="107" t="s">
        <v>704</v>
      </c>
      <c r="C271" s="19" t="s">
        <v>391</v>
      </c>
      <c r="D271" s="116">
        <f>Price4_36MoPr(VarCostByProduct,B271)</f>
        <v>5.99</v>
      </c>
      <c r="E271" s="106"/>
      <c r="F271" s="106"/>
      <c r="G271" s="106"/>
      <c r="H271" s="105"/>
      <c r="I271" s="100"/>
      <c r="J271" s="100"/>
      <c r="K271" s="100"/>
      <c r="L271" s="100"/>
      <c r="M271" s="100"/>
      <c r="N271" s="100"/>
      <c r="O271" s="100"/>
      <c r="P271" s="1252"/>
      <c r="Q271" s="14"/>
      <c r="R271" s="14"/>
      <c r="S271" s="14"/>
      <c r="T271" s="14"/>
      <c r="U271" s="14"/>
      <c r="V271" s="14"/>
      <c r="W271" s="14"/>
    </row>
    <row r="272" spans="2:23" s="9" customFormat="1">
      <c r="B272" s="86"/>
      <c r="C272" s="19" t="s">
        <v>121</v>
      </c>
      <c r="D272" s="115">
        <f>Varcosts4_36MoPr(VarCostByProduct,B271)</f>
        <v>0.94</v>
      </c>
      <c r="E272" s="100"/>
      <c r="F272" s="100"/>
      <c r="G272" s="100"/>
      <c r="H272" s="100"/>
      <c r="I272" s="100"/>
      <c r="J272" s="100"/>
      <c r="K272" s="100"/>
      <c r="L272" s="100"/>
      <c r="M272" s="100"/>
      <c r="N272" s="100"/>
      <c r="O272" s="100"/>
      <c r="P272" s="1252"/>
      <c r="Q272" s="14"/>
      <c r="R272" s="14"/>
      <c r="S272" s="14"/>
      <c r="T272" s="14"/>
      <c r="U272" s="14"/>
      <c r="V272" s="14"/>
      <c r="W272" s="14"/>
    </row>
    <row r="273" spans="2:23" s="9" customFormat="1">
      <c r="B273" s="86"/>
      <c r="C273" s="114" t="s">
        <v>114</v>
      </c>
      <c r="D273" s="117">
        <f>Sales4_36MoPr(SalesJan,"FY-3",$B271)</f>
        <v>1105.8326737920004</v>
      </c>
      <c r="E273" s="117">
        <f>Sales4_36MoPr(SalesFeb,"FY-3",$B271)</f>
        <v>1105.8326737920004</v>
      </c>
      <c r="F273" s="117">
        <f>Sales4_36MoPr(SalesMar,"FY-3",$B271)</f>
        <v>1240</v>
      </c>
      <c r="G273" s="117">
        <f>Sales4_36MoPr(SalesApr,"FY-3",$B271)</f>
        <v>1240</v>
      </c>
      <c r="H273" s="117">
        <f>Sales4_36MoPr(SalesMay,"FY-3",$B271)</f>
        <v>1240</v>
      </c>
      <c r="I273" s="117">
        <f>Sales4_36MoPr(SalesJun,"FY-3",$B271)</f>
        <v>2211.6653475840008</v>
      </c>
      <c r="J273" s="117">
        <f>Sales4_36MoPr(SalesJul,"FY-3",$B271)</f>
        <v>2211.6653475840008</v>
      </c>
      <c r="K273" s="117">
        <f>Sales4_36MoPr(SalesAug,"FY-3",$B271)</f>
        <v>2480</v>
      </c>
      <c r="L273" s="117">
        <f>Sales4_36MoPr(SalesSep,"FY-3",$B271)</f>
        <v>2480</v>
      </c>
      <c r="M273" s="117">
        <f>Sales4_36MoPr(SalesOct,"FY-3",$B271)</f>
        <v>2432.8318823424006</v>
      </c>
      <c r="N273" s="117">
        <f>Sales4_36MoPr(SalesNov,"FY-3",$B271)</f>
        <v>1240</v>
      </c>
      <c r="O273" s="117">
        <f>Sales4_36MoPr(SalesDec,"FY-3",$B271)</f>
        <v>1240</v>
      </c>
      <c r="P273" s="1265">
        <f>SUM(D273:O273)</f>
        <v>20227.827925094403</v>
      </c>
      <c r="Q273" s="14"/>
      <c r="R273" s="14"/>
      <c r="S273" s="14"/>
      <c r="T273" s="14"/>
      <c r="U273" s="14"/>
      <c r="V273" s="14"/>
      <c r="W273" s="14"/>
    </row>
    <row r="274" spans="2:23" s="9" customFormat="1">
      <c r="B274" s="104"/>
      <c r="C274" s="19" t="s">
        <v>113</v>
      </c>
      <c r="D274" s="84">
        <f t="shared" ref="D274:O274" si="83">D273*$D271</f>
        <v>6623.9377160140821</v>
      </c>
      <c r="E274" s="84">
        <f t="shared" si="83"/>
        <v>6623.9377160140821</v>
      </c>
      <c r="F274" s="84">
        <f t="shared" si="83"/>
        <v>7427.6</v>
      </c>
      <c r="G274" s="84">
        <f t="shared" si="83"/>
        <v>7427.6</v>
      </c>
      <c r="H274" s="84">
        <f t="shared" si="83"/>
        <v>7427.6</v>
      </c>
      <c r="I274" s="84">
        <f t="shared" si="83"/>
        <v>13247.875432028164</v>
      </c>
      <c r="J274" s="84">
        <f t="shared" si="83"/>
        <v>13247.875432028164</v>
      </c>
      <c r="K274" s="84">
        <f t="shared" si="83"/>
        <v>14855.2</v>
      </c>
      <c r="L274" s="84">
        <f t="shared" si="83"/>
        <v>14855.2</v>
      </c>
      <c r="M274" s="84">
        <f t="shared" si="83"/>
        <v>14572.66297523098</v>
      </c>
      <c r="N274" s="84">
        <f t="shared" si="83"/>
        <v>7427.6</v>
      </c>
      <c r="O274" s="84">
        <f t="shared" si="83"/>
        <v>7427.6</v>
      </c>
      <c r="P274" s="1252">
        <f>SUM(D274:O274)</f>
        <v>121164.68927131548</v>
      </c>
      <c r="Q274" s="14"/>
      <c r="R274" s="14"/>
      <c r="S274" s="14"/>
      <c r="T274" s="14"/>
      <c r="U274" s="14"/>
      <c r="V274" s="14"/>
      <c r="W274" s="14"/>
    </row>
    <row r="275" spans="2:23" s="9" customFormat="1">
      <c r="B275" s="86"/>
      <c r="C275" s="19" t="s">
        <v>112</v>
      </c>
      <c r="D275" s="84">
        <f>D273*$D$80</f>
        <v>1028.4243866265604</v>
      </c>
      <c r="E275" s="84">
        <f>E273*$D$80</f>
        <v>1028.4243866265604</v>
      </c>
      <c r="F275" s="84">
        <f t="shared" ref="F275:O275" si="84">F273*$D272</f>
        <v>1165.5999999999999</v>
      </c>
      <c r="G275" s="84">
        <f t="shared" si="84"/>
        <v>1165.5999999999999</v>
      </c>
      <c r="H275" s="84">
        <f t="shared" si="84"/>
        <v>1165.5999999999999</v>
      </c>
      <c r="I275" s="84">
        <f t="shared" si="84"/>
        <v>2078.9654267289607</v>
      </c>
      <c r="J275" s="84">
        <f t="shared" si="84"/>
        <v>2078.9654267289607</v>
      </c>
      <c r="K275" s="84">
        <f t="shared" si="84"/>
        <v>2331.1999999999998</v>
      </c>
      <c r="L275" s="84">
        <f t="shared" si="84"/>
        <v>2331.1999999999998</v>
      </c>
      <c r="M275" s="84">
        <f t="shared" si="84"/>
        <v>2286.8619694018566</v>
      </c>
      <c r="N275" s="84">
        <f t="shared" si="84"/>
        <v>1165.5999999999999</v>
      </c>
      <c r="O275" s="84">
        <f t="shared" si="84"/>
        <v>1165.5999999999999</v>
      </c>
      <c r="P275" s="1252">
        <f>SUM(D275:O275)</f>
        <v>18992.041596112897</v>
      </c>
      <c r="Q275" s="14"/>
      <c r="R275" s="14"/>
      <c r="S275" s="14"/>
      <c r="T275" s="14"/>
      <c r="U275" s="14"/>
      <c r="V275" s="14"/>
      <c r="W275" s="14"/>
    </row>
    <row r="276" spans="2:23" s="9" customFormat="1">
      <c r="B276" s="86"/>
      <c r="C276" s="19" t="s">
        <v>111</v>
      </c>
      <c r="D276" s="84">
        <f>D274-D275</f>
        <v>5595.5133293875215</v>
      </c>
      <c r="E276" s="84">
        <f t="shared" ref="E276:O276" si="85">E274-E275</f>
        <v>5595.5133293875215</v>
      </c>
      <c r="F276" s="84">
        <f t="shared" si="85"/>
        <v>6262</v>
      </c>
      <c r="G276" s="84">
        <f t="shared" si="85"/>
        <v>6262</v>
      </c>
      <c r="H276" s="84">
        <f t="shared" si="85"/>
        <v>6262</v>
      </c>
      <c r="I276" s="84">
        <f t="shared" si="85"/>
        <v>11168.910005299203</v>
      </c>
      <c r="J276" s="84">
        <f t="shared" si="85"/>
        <v>11168.910005299203</v>
      </c>
      <c r="K276" s="84">
        <f t="shared" si="85"/>
        <v>12524</v>
      </c>
      <c r="L276" s="84">
        <f t="shared" si="85"/>
        <v>12524</v>
      </c>
      <c r="M276" s="84">
        <f t="shared" si="85"/>
        <v>12285.801005829124</v>
      </c>
      <c r="N276" s="84">
        <f t="shared" si="85"/>
        <v>6262</v>
      </c>
      <c r="O276" s="84">
        <f t="shared" si="85"/>
        <v>6262</v>
      </c>
      <c r="P276" s="1252">
        <f>SUM(D276:O276)</f>
        <v>102172.64767520258</v>
      </c>
      <c r="Q276" s="14"/>
      <c r="R276" s="14"/>
      <c r="S276" s="14"/>
      <c r="T276" s="14"/>
      <c r="U276" s="14"/>
      <c r="V276" s="14"/>
      <c r="W276" s="14"/>
    </row>
    <row r="277" spans="2:23" s="9" customFormat="1">
      <c r="B277" s="107" t="s">
        <v>705</v>
      </c>
      <c r="C277" s="19" t="s">
        <v>391</v>
      </c>
      <c r="D277" s="116">
        <f>Price4_36MoPr(VarCostByProduct,B277)</f>
        <v>2.4500000000000002</v>
      </c>
      <c r="E277" s="106"/>
      <c r="F277" s="106"/>
      <c r="G277" s="106"/>
      <c r="H277" s="105"/>
      <c r="I277" s="100"/>
      <c r="J277" s="100"/>
      <c r="K277" s="100"/>
      <c r="L277" s="100"/>
      <c r="M277" s="100"/>
      <c r="N277" s="100"/>
      <c r="O277" s="100"/>
      <c r="P277" s="1252"/>
      <c r="Q277" s="14"/>
      <c r="R277" s="14"/>
      <c r="S277" s="14"/>
      <c r="T277" s="14"/>
      <c r="U277" s="14"/>
      <c r="V277" s="14"/>
      <c r="W277" s="14"/>
    </row>
    <row r="278" spans="2:23" s="9" customFormat="1">
      <c r="B278" s="86"/>
      <c r="C278" s="19" t="s">
        <v>121</v>
      </c>
      <c r="D278" s="115">
        <f>Varcosts4_36MoPr(VarCostByProduct,B277)</f>
        <v>0.93</v>
      </c>
      <c r="E278" s="100"/>
      <c r="F278" s="100"/>
      <c r="G278" s="100"/>
      <c r="H278" s="100"/>
      <c r="I278" s="100"/>
      <c r="J278" s="100"/>
      <c r="K278" s="100"/>
      <c r="L278" s="100"/>
      <c r="M278" s="100"/>
      <c r="N278" s="100"/>
      <c r="O278" s="100"/>
      <c r="P278" s="1252"/>
      <c r="Q278" s="14"/>
      <c r="R278" s="14"/>
      <c r="S278" s="14"/>
      <c r="T278" s="14"/>
      <c r="U278" s="14"/>
      <c r="V278" s="14"/>
      <c r="W278" s="14"/>
    </row>
    <row r="279" spans="2:23" s="9" customFormat="1">
      <c r="B279" s="86"/>
      <c r="C279" s="114" t="s">
        <v>114</v>
      </c>
      <c r="D279" s="117">
        <f>Sales4_36MoPr(SalesJan,"FY-3",$B277)</f>
        <v>2948.8871301120007</v>
      </c>
      <c r="E279" s="117">
        <f>Sales4_36MoPr(SalesFeb,"FY-3",$B277)</f>
        <v>2948.8871301120007</v>
      </c>
      <c r="F279" s="117">
        <f>Sales4_36MoPr(SalesMar,"FY-3",$B277)</f>
        <v>2948.8871301120007</v>
      </c>
      <c r="G279" s="117">
        <f>Sales4_36MoPr(SalesApr,"FY-3",$B277)</f>
        <v>10514.775160599573</v>
      </c>
      <c r="H279" s="117">
        <f>Sales4_36MoPr(SalesMay,"FY-3",$B277)</f>
        <v>10472.168905950095</v>
      </c>
      <c r="I279" s="117">
        <f>Sales4_36MoPr(SalesJun,"FY-3",$B277)</f>
        <v>12999.687987519501</v>
      </c>
      <c r="J279" s="117">
        <f>Sales4_36MoPr(SalesJul,"FY-3",$B277)</f>
        <v>12999.687987519501</v>
      </c>
      <c r="K279" s="117">
        <f>Sales4_36MoPr(SalesAug,"FY-3",$B277)</f>
        <v>11670.588235294119</v>
      </c>
      <c r="L279" s="117">
        <f>Sales4_36MoPr(SalesSep,"FY-3",$B277)</f>
        <v>11670.588235294119</v>
      </c>
      <c r="M279" s="117">
        <f>Sales4_36MoPr(SalesOct,"FY-3",$B277)</f>
        <v>10750.738916256158</v>
      </c>
      <c r="N279" s="117">
        <f>Sales4_36MoPr(SalesNov,"FY-3",$B277)</f>
        <v>2669.0582959641256</v>
      </c>
      <c r="O279" s="117">
        <f>Sales4_36MoPr(SalesDec,"FY-3",$B277)</f>
        <v>2669.0582959641256</v>
      </c>
      <c r="P279" s="1265">
        <f>SUM(D279:O279)</f>
        <v>95263.013410697327</v>
      </c>
      <c r="Q279" s="14"/>
      <c r="R279" s="14"/>
      <c r="S279" s="14"/>
      <c r="T279" s="14"/>
      <c r="U279" s="14"/>
      <c r="V279" s="14"/>
      <c r="W279" s="14"/>
    </row>
    <row r="280" spans="2:23" s="9" customFormat="1">
      <c r="B280" s="104"/>
      <c r="C280" s="19" t="s">
        <v>113</v>
      </c>
      <c r="D280" s="84">
        <f t="shared" ref="D280:O280" si="86">D279*$D277</f>
        <v>7224.7734687744023</v>
      </c>
      <c r="E280" s="84">
        <f t="shared" si="86"/>
        <v>7224.7734687744023</v>
      </c>
      <c r="F280" s="84">
        <f t="shared" si="86"/>
        <v>7224.7734687744023</v>
      </c>
      <c r="G280" s="84">
        <f t="shared" si="86"/>
        <v>25761.199143468955</v>
      </c>
      <c r="H280" s="84">
        <f t="shared" si="86"/>
        <v>25656.813819577736</v>
      </c>
      <c r="I280" s="84">
        <f t="shared" si="86"/>
        <v>31849.235569422781</v>
      </c>
      <c r="J280" s="84">
        <f t="shared" si="86"/>
        <v>31849.235569422781</v>
      </c>
      <c r="K280" s="84">
        <f t="shared" si="86"/>
        <v>28592.941176470595</v>
      </c>
      <c r="L280" s="84">
        <f t="shared" si="86"/>
        <v>28592.941176470595</v>
      </c>
      <c r="M280" s="84">
        <f t="shared" si="86"/>
        <v>26339.310344827587</v>
      </c>
      <c r="N280" s="84">
        <f t="shared" si="86"/>
        <v>6539.192825112108</v>
      </c>
      <c r="O280" s="84">
        <f t="shared" si="86"/>
        <v>6539.192825112108</v>
      </c>
      <c r="P280" s="1252">
        <f>SUM(D280:O280)</f>
        <v>233394.38285620848</v>
      </c>
      <c r="Q280" s="14"/>
      <c r="R280" s="14"/>
      <c r="S280" s="14"/>
      <c r="T280" s="14"/>
      <c r="U280" s="14"/>
      <c r="V280" s="14"/>
      <c r="W280" s="14"/>
    </row>
    <row r="281" spans="2:23" s="9" customFormat="1">
      <c r="B281" s="86"/>
      <c r="C281" s="19" t="s">
        <v>112</v>
      </c>
      <c r="D281" s="84">
        <f>D279*$D$80</f>
        <v>2742.4650310041607</v>
      </c>
      <c r="E281" s="84">
        <f>E279*$D$80</f>
        <v>2742.4650310041607</v>
      </c>
      <c r="F281" s="84">
        <f t="shared" ref="F281:O281" si="87">F279*$D278</f>
        <v>2742.4650310041607</v>
      </c>
      <c r="G281" s="84">
        <f t="shared" si="87"/>
        <v>9778.7408993576028</v>
      </c>
      <c r="H281" s="84">
        <f t="shared" si="87"/>
        <v>9739.1170825335885</v>
      </c>
      <c r="I281" s="84">
        <f t="shared" si="87"/>
        <v>12089.709828393137</v>
      </c>
      <c r="J281" s="84">
        <f t="shared" si="87"/>
        <v>12089.709828393137</v>
      </c>
      <c r="K281" s="84">
        <f t="shared" si="87"/>
        <v>10853.647058823532</v>
      </c>
      <c r="L281" s="84">
        <f t="shared" si="87"/>
        <v>10853.647058823532</v>
      </c>
      <c r="M281" s="84">
        <f t="shared" si="87"/>
        <v>9998.1871921182264</v>
      </c>
      <c r="N281" s="84">
        <f t="shared" si="87"/>
        <v>2482.224215246637</v>
      </c>
      <c r="O281" s="84">
        <f t="shared" si="87"/>
        <v>2482.224215246637</v>
      </c>
      <c r="P281" s="1252">
        <f>SUM(D281:O281)</f>
        <v>88594.602471948514</v>
      </c>
      <c r="Q281" s="14"/>
      <c r="R281" s="14"/>
      <c r="S281" s="14"/>
      <c r="T281" s="14"/>
      <c r="U281" s="14"/>
      <c r="V281" s="14"/>
      <c r="W281" s="14"/>
    </row>
    <row r="282" spans="2:23" s="9" customFormat="1">
      <c r="B282" s="86"/>
      <c r="C282" s="19" t="s">
        <v>111</v>
      </c>
      <c r="D282" s="84">
        <f>D280-D281</f>
        <v>4482.3084377702417</v>
      </c>
      <c r="E282" s="84">
        <f t="shared" ref="E282:O282" si="88">E280-E281</f>
        <v>4482.3084377702417</v>
      </c>
      <c r="F282" s="84">
        <f t="shared" si="88"/>
        <v>4482.3084377702417</v>
      </c>
      <c r="G282" s="84">
        <f t="shared" si="88"/>
        <v>15982.458244111353</v>
      </c>
      <c r="H282" s="84">
        <f t="shared" si="88"/>
        <v>15917.696737044147</v>
      </c>
      <c r="I282" s="84">
        <f t="shared" si="88"/>
        <v>19759.525741029644</v>
      </c>
      <c r="J282" s="84">
        <f t="shared" si="88"/>
        <v>19759.525741029644</v>
      </c>
      <c r="K282" s="84">
        <f t="shared" si="88"/>
        <v>17739.294117647063</v>
      </c>
      <c r="L282" s="84">
        <f t="shared" si="88"/>
        <v>17739.294117647063</v>
      </c>
      <c r="M282" s="84">
        <f t="shared" si="88"/>
        <v>16341.123152709361</v>
      </c>
      <c r="N282" s="84">
        <f t="shared" si="88"/>
        <v>4056.9686098654711</v>
      </c>
      <c r="O282" s="84">
        <f t="shared" si="88"/>
        <v>4056.9686098654711</v>
      </c>
      <c r="P282" s="1252">
        <f>SUM(D282:O282)</f>
        <v>144799.78038425994</v>
      </c>
      <c r="Q282" s="14"/>
      <c r="R282" s="14"/>
      <c r="S282" s="14"/>
      <c r="T282" s="14"/>
      <c r="U282" s="14"/>
      <c r="V282" s="14"/>
      <c r="W282" s="14"/>
    </row>
    <row r="283" spans="2:23" s="9" customFormat="1">
      <c r="B283" s="107" t="s">
        <v>706</v>
      </c>
      <c r="C283" s="19" t="s">
        <v>391</v>
      </c>
      <c r="D283" s="116">
        <f>Price4_36MoPr(VarCostByProduct,B283)</f>
        <v>2.99</v>
      </c>
      <c r="E283" s="106"/>
      <c r="F283" s="106"/>
      <c r="G283" s="106"/>
      <c r="H283" s="105"/>
      <c r="I283" s="100"/>
      <c r="J283" s="100"/>
      <c r="K283" s="100"/>
      <c r="L283" s="100"/>
      <c r="M283" s="100"/>
      <c r="N283" s="100"/>
      <c r="O283" s="100"/>
      <c r="P283" s="1252"/>
      <c r="Q283" s="14"/>
      <c r="R283" s="14"/>
      <c r="S283" s="14"/>
      <c r="T283" s="14"/>
      <c r="U283" s="14"/>
      <c r="V283" s="14"/>
      <c r="W283" s="14"/>
    </row>
    <row r="284" spans="2:23" s="9" customFormat="1">
      <c r="B284" s="86"/>
      <c r="C284" s="19" t="s">
        <v>121</v>
      </c>
      <c r="D284" s="115">
        <f>Varcosts4_36MoPr(VarCostByProduct,B283)</f>
        <v>0.97</v>
      </c>
      <c r="E284" s="100"/>
      <c r="F284" s="100"/>
      <c r="G284" s="100"/>
      <c r="H284" s="100"/>
      <c r="I284" s="100"/>
      <c r="J284" s="100"/>
      <c r="K284" s="100"/>
      <c r="L284" s="100"/>
      <c r="M284" s="100"/>
      <c r="N284" s="100"/>
      <c r="O284" s="100"/>
      <c r="P284" s="1252"/>
      <c r="Q284" s="14"/>
      <c r="R284" s="14"/>
      <c r="S284" s="14"/>
      <c r="T284" s="14"/>
      <c r="U284" s="14"/>
      <c r="V284" s="14"/>
      <c r="W284" s="14"/>
    </row>
    <row r="285" spans="2:23" s="9" customFormat="1">
      <c r="B285" s="86"/>
      <c r="C285" s="114" t="s">
        <v>114</v>
      </c>
      <c r="D285" s="117">
        <f>Sales4_36MoPr(SalesJan,"FY-3",$B283)</f>
        <v>2735.294117647059</v>
      </c>
      <c r="E285" s="117">
        <f>Sales4_36MoPr(SalesFeb,"FY-3",$B283)</f>
        <v>2861.5384615384614</v>
      </c>
      <c r="F285" s="117">
        <f>Sales4_36MoPr(SalesMar,"FY-3",$B283)</f>
        <v>2735.294117647059</v>
      </c>
      <c r="G285" s="117">
        <f>Sales4_36MoPr(SalesApr,"FY-3",$B283)</f>
        <v>10162.251655629139</v>
      </c>
      <c r="H285" s="117">
        <f>Sales4_36MoPr(SalesMay,"FY-3",$B283)</f>
        <v>10508.474576271186</v>
      </c>
      <c r="I285" s="117">
        <f>Sales4_36MoPr(SalesJun,"FY-3",$B283)</f>
        <v>13036.295369211513</v>
      </c>
      <c r="J285" s="117">
        <f>Sales4_36MoPr(SalesJul,"FY-3",$B283)</f>
        <v>13036.295369211513</v>
      </c>
      <c r="K285" s="117">
        <f>Sales4_36MoPr(SalesAug,"FY-3",$B283)</f>
        <v>11708.15450643777</v>
      </c>
      <c r="L285" s="117">
        <f>Sales4_36MoPr(SalesSep,"FY-3",$B283)</f>
        <v>11708.15450643777</v>
      </c>
      <c r="M285" s="117">
        <f>Sales4_36MoPr(SalesOct,"FY-3",$B283)</f>
        <v>10508.474576271186</v>
      </c>
      <c r="N285" s="117">
        <f>Sales4_36MoPr(SalesNov,"FY-3",$B283)</f>
        <v>2735.294117647059</v>
      </c>
      <c r="O285" s="117">
        <f>Sales4_36MoPr(SalesDec,"FY-3",$B283)</f>
        <v>2861.5384615384614</v>
      </c>
      <c r="P285" s="1265">
        <f>SUM(D285:O285)</f>
        <v>94597.05983548818</v>
      </c>
      <c r="Q285" s="14"/>
      <c r="R285" s="14"/>
      <c r="S285" s="14"/>
      <c r="T285" s="14"/>
      <c r="U285" s="14"/>
      <c r="V285" s="14"/>
      <c r="W285" s="14"/>
    </row>
    <row r="286" spans="2:23" s="9" customFormat="1">
      <c r="B286" s="104"/>
      <c r="C286" s="19" t="s">
        <v>113</v>
      </c>
      <c r="D286" s="84">
        <f t="shared" ref="D286:O286" si="89">D285*$D283</f>
        <v>8178.5294117647072</v>
      </c>
      <c r="E286" s="84">
        <f t="shared" si="89"/>
        <v>8556</v>
      </c>
      <c r="F286" s="84">
        <f t="shared" si="89"/>
        <v>8178.5294117647072</v>
      </c>
      <c r="G286" s="84">
        <f t="shared" si="89"/>
        <v>30385.13245033113</v>
      </c>
      <c r="H286" s="84">
        <f t="shared" si="89"/>
        <v>31420.338983050849</v>
      </c>
      <c r="I286" s="84">
        <f t="shared" si="89"/>
        <v>38978.523153942428</v>
      </c>
      <c r="J286" s="84">
        <f t="shared" si="89"/>
        <v>38978.523153942428</v>
      </c>
      <c r="K286" s="84">
        <f t="shared" si="89"/>
        <v>35007.381974248936</v>
      </c>
      <c r="L286" s="84">
        <f t="shared" si="89"/>
        <v>35007.381974248936</v>
      </c>
      <c r="M286" s="84">
        <f t="shared" si="89"/>
        <v>31420.338983050849</v>
      </c>
      <c r="N286" s="84">
        <f t="shared" si="89"/>
        <v>8178.5294117647072</v>
      </c>
      <c r="O286" s="84">
        <f t="shared" si="89"/>
        <v>8556</v>
      </c>
      <c r="P286" s="1252">
        <f>SUM(D286:O286)</f>
        <v>282845.20890810969</v>
      </c>
      <c r="Q286" s="14"/>
      <c r="R286" s="14"/>
      <c r="S286" s="14"/>
      <c r="T286" s="14"/>
      <c r="U286" s="14"/>
      <c r="V286" s="14"/>
      <c r="W286" s="14"/>
    </row>
    <row r="287" spans="2:23" s="9" customFormat="1">
      <c r="B287" s="86"/>
      <c r="C287" s="19" t="s">
        <v>112</v>
      </c>
      <c r="D287" s="84">
        <f>D285*$D$80</f>
        <v>2543.8235294117649</v>
      </c>
      <c r="E287" s="84">
        <f>E285*$D$80</f>
        <v>2661.2307692307691</v>
      </c>
      <c r="F287" s="84">
        <f t="shared" ref="F287:O287" si="90">F285*$D284</f>
        <v>2653.2352941176473</v>
      </c>
      <c r="G287" s="84">
        <f t="shared" si="90"/>
        <v>9857.3841059602655</v>
      </c>
      <c r="H287" s="84">
        <f t="shared" si="90"/>
        <v>10193.22033898305</v>
      </c>
      <c r="I287" s="84">
        <f t="shared" si="90"/>
        <v>12645.206508135168</v>
      </c>
      <c r="J287" s="84">
        <f t="shared" si="90"/>
        <v>12645.206508135168</v>
      </c>
      <c r="K287" s="84">
        <f t="shared" si="90"/>
        <v>11356.909871244636</v>
      </c>
      <c r="L287" s="84">
        <f t="shared" si="90"/>
        <v>11356.909871244636</v>
      </c>
      <c r="M287" s="84">
        <f t="shared" si="90"/>
        <v>10193.22033898305</v>
      </c>
      <c r="N287" s="84">
        <f t="shared" si="90"/>
        <v>2653.2352941176473</v>
      </c>
      <c r="O287" s="84">
        <f t="shared" si="90"/>
        <v>2775.6923076923076</v>
      </c>
      <c r="P287" s="1252">
        <f>SUM(D287:O287)</f>
        <v>91535.274737256113</v>
      </c>
      <c r="Q287" s="14"/>
      <c r="R287" s="14"/>
      <c r="S287" s="14"/>
      <c r="T287" s="14"/>
      <c r="U287" s="14"/>
      <c r="V287" s="14"/>
      <c r="W287" s="14"/>
    </row>
    <row r="288" spans="2:23" s="9" customFormat="1">
      <c r="B288" s="86"/>
      <c r="C288" s="19" t="s">
        <v>111</v>
      </c>
      <c r="D288" s="84">
        <f>D286-D287</f>
        <v>5634.7058823529424</v>
      </c>
      <c r="E288" s="84">
        <f t="shared" ref="E288:O288" si="91">E286-E287</f>
        <v>5894.7692307692305</v>
      </c>
      <c r="F288" s="84">
        <f t="shared" si="91"/>
        <v>5525.2941176470595</v>
      </c>
      <c r="G288" s="84">
        <f t="shared" si="91"/>
        <v>20527.748344370862</v>
      </c>
      <c r="H288" s="84">
        <f t="shared" si="91"/>
        <v>21227.118644067799</v>
      </c>
      <c r="I288" s="84">
        <f t="shared" si="91"/>
        <v>26333.316645807259</v>
      </c>
      <c r="J288" s="84">
        <f t="shared" si="91"/>
        <v>26333.316645807259</v>
      </c>
      <c r="K288" s="84">
        <f t="shared" si="91"/>
        <v>23650.4721030043</v>
      </c>
      <c r="L288" s="84">
        <f t="shared" si="91"/>
        <v>23650.4721030043</v>
      </c>
      <c r="M288" s="84">
        <f t="shared" si="91"/>
        <v>21227.118644067799</v>
      </c>
      <c r="N288" s="84">
        <f t="shared" si="91"/>
        <v>5525.2941176470595</v>
      </c>
      <c r="O288" s="84">
        <f t="shared" si="91"/>
        <v>5780.3076923076924</v>
      </c>
      <c r="P288" s="1252">
        <f>SUM(D288:O288)</f>
        <v>191309.93417085352</v>
      </c>
      <c r="Q288" s="14"/>
      <c r="R288" s="14"/>
      <c r="S288" s="14"/>
      <c r="T288" s="14"/>
      <c r="U288" s="14"/>
      <c r="V288" s="14"/>
      <c r="W288" s="14"/>
    </row>
    <row r="289" spans="2:23" s="9" customFormat="1">
      <c r="B289" s="107" t="s">
        <v>707</v>
      </c>
      <c r="C289" s="19" t="s">
        <v>391</v>
      </c>
      <c r="D289" s="116">
        <f>Price4_36MoPr(VarCostByProduct,B289)</f>
        <v>1.99</v>
      </c>
      <c r="E289" s="106"/>
      <c r="F289" s="106"/>
      <c r="G289" s="106"/>
      <c r="H289" s="105"/>
      <c r="I289" s="100"/>
      <c r="J289" s="100"/>
      <c r="K289" s="100"/>
      <c r="L289" s="100"/>
      <c r="M289" s="100"/>
      <c r="N289" s="100"/>
      <c r="O289" s="100"/>
      <c r="P289" s="1252"/>
      <c r="Q289" s="14"/>
      <c r="R289" s="14"/>
      <c r="S289" s="14"/>
      <c r="T289" s="14"/>
      <c r="U289" s="14"/>
      <c r="V289" s="14"/>
      <c r="W289" s="14"/>
    </row>
    <row r="290" spans="2:23" s="9" customFormat="1">
      <c r="B290" s="86"/>
      <c r="C290" s="19" t="s">
        <v>121</v>
      </c>
      <c r="D290" s="115">
        <f>Varcosts4_36MoPr(VarCostByProduct,B289)</f>
        <v>0.94</v>
      </c>
      <c r="E290" s="100"/>
      <c r="F290" s="100"/>
      <c r="G290" s="100"/>
      <c r="H290" s="100"/>
      <c r="I290" s="100"/>
      <c r="J290" s="100"/>
      <c r="K290" s="100"/>
      <c r="L290" s="100"/>
      <c r="M290" s="100"/>
      <c r="N290" s="100"/>
      <c r="O290" s="100"/>
      <c r="P290" s="1252"/>
      <c r="Q290" s="14"/>
      <c r="R290" s="14"/>
      <c r="S290" s="14"/>
      <c r="T290" s="14"/>
      <c r="U290" s="14"/>
      <c r="V290" s="14"/>
      <c r="W290" s="14"/>
    </row>
    <row r="291" spans="2:23" s="9" customFormat="1">
      <c r="B291" s="86"/>
      <c r="C291" s="114" t="s">
        <v>114</v>
      </c>
      <c r="D291" s="117">
        <f>Sales4_36MoPr(SalesJan,"FY-3",$B289)</f>
        <v>510.11524423680021</v>
      </c>
      <c r="E291" s="117">
        <f>Sales4_36MoPr(SalesFeb,"FY-3",$B289)</f>
        <v>510.11524423679839</v>
      </c>
      <c r="F291" s="117">
        <f>Sales4_36MoPr(SalesMar,"FY-3",$B289)</f>
        <v>107.61326561280111</v>
      </c>
      <c r="G291" s="117">
        <f>Sales4_36MoPr(SalesApr,"FY-3",$B289)</f>
        <v>0</v>
      </c>
      <c r="H291" s="117">
        <f>Sales4_36MoPr(SalesMay,"FY-3",$B289)</f>
        <v>145.22565294591914</v>
      </c>
      <c r="I291" s="117">
        <f>Sales4_36MoPr(SalesJun,"FY-3",$B289)</f>
        <v>1049.7545508351977</v>
      </c>
      <c r="J291" s="117">
        <f>Sales4_36MoPr(SalesJul,"FY-3",$B289)</f>
        <v>1049.7545508351977</v>
      </c>
      <c r="K291" s="117">
        <f>Sales4_36MoPr(SalesAug,"FY-3",$B289)</f>
        <v>244.75059358719591</v>
      </c>
      <c r="L291" s="117">
        <f>Sales4_36MoPr(SalesSep,"FY-3",$B289)</f>
        <v>244.75059358719591</v>
      </c>
      <c r="M291" s="117">
        <f>Sales4_36MoPr(SalesOct,"FY-3",$B289)</f>
        <v>386.25494656000228</v>
      </c>
      <c r="N291" s="117">
        <f>Sales4_36MoPr(SalesNov,"FY-3",$B289)</f>
        <v>45.700712304638728</v>
      </c>
      <c r="O291" s="117">
        <f>Sales4_36MoPr(SalesDec,"FY-3",$B289)</f>
        <v>0</v>
      </c>
      <c r="P291" s="1265">
        <f>SUM(D291:O291)</f>
        <v>4294.0353547417471</v>
      </c>
      <c r="Q291" s="14"/>
      <c r="R291" s="14"/>
      <c r="S291" s="14"/>
      <c r="T291" s="14"/>
      <c r="U291" s="14"/>
      <c r="V291" s="14"/>
      <c r="W291" s="14"/>
    </row>
    <row r="292" spans="2:23" s="9" customFormat="1">
      <c r="B292" s="104"/>
      <c r="C292" s="19" t="s">
        <v>113</v>
      </c>
      <c r="D292" s="84">
        <f t="shared" ref="D292:O292" si="92">D291*$D289</f>
        <v>1015.1293360312324</v>
      </c>
      <c r="E292" s="84">
        <f t="shared" si="92"/>
        <v>1015.1293360312288</v>
      </c>
      <c r="F292" s="84">
        <f t="shared" si="92"/>
        <v>214.15039856947422</v>
      </c>
      <c r="G292" s="84">
        <f t="shared" si="92"/>
        <v>0</v>
      </c>
      <c r="H292" s="84">
        <f t="shared" si="92"/>
        <v>288.99904936237908</v>
      </c>
      <c r="I292" s="84">
        <f t="shared" si="92"/>
        <v>2089.0115561620437</v>
      </c>
      <c r="J292" s="84">
        <f t="shared" si="92"/>
        <v>2089.0115561620437</v>
      </c>
      <c r="K292" s="84">
        <f t="shared" si="92"/>
        <v>487.05368123851986</v>
      </c>
      <c r="L292" s="84">
        <f t="shared" si="92"/>
        <v>487.05368123851986</v>
      </c>
      <c r="M292" s="84">
        <f t="shared" si="92"/>
        <v>768.64734365440449</v>
      </c>
      <c r="N292" s="84">
        <f t="shared" si="92"/>
        <v>90.944417486231075</v>
      </c>
      <c r="O292" s="84">
        <f t="shared" si="92"/>
        <v>0</v>
      </c>
      <c r="P292" s="1252">
        <f>SUM(D292:O292)</f>
        <v>8545.1303559360767</v>
      </c>
      <c r="Q292" s="14"/>
      <c r="R292" s="14"/>
      <c r="S292" s="14"/>
      <c r="T292" s="14"/>
      <c r="U292" s="14"/>
      <c r="V292" s="14"/>
      <c r="W292" s="14"/>
    </row>
    <row r="293" spans="2:23" s="9" customFormat="1">
      <c r="B293" s="86"/>
      <c r="C293" s="19" t="s">
        <v>112</v>
      </c>
      <c r="D293" s="84">
        <f>D291*$D$80</f>
        <v>474.40717714022423</v>
      </c>
      <c r="E293" s="84">
        <f>E291*$D$80</f>
        <v>474.40717714022253</v>
      </c>
      <c r="F293" s="84">
        <f t="shared" ref="F293:O293" si="93">F291*$D290</f>
        <v>101.15646967603304</v>
      </c>
      <c r="G293" s="84">
        <f t="shared" si="93"/>
        <v>0</v>
      </c>
      <c r="H293" s="84">
        <f t="shared" si="93"/>
        <v>136.51211376916399</v>
      </c>
      <c r="I293" s="84">
        <f t="shared" si="93"/>
        <v>986.76927778508582</v>
      </c>
      <c r="J293" s="84">
        <f t="shared" si="93"/>
        <v>986.76927778508582</v>
      </c>
      <c r="K293" s="84">
        <f t="shared" si="93"/>
        <v>230.06555797196415</v>
      </c>
      <c r="L293" s="84">
        <f t="shared" si="93"/>
        <v>230.06555797196415</v>
      </c>
      <c r="M293" s="84">
        <f t="shared" si="93"/>
        <v>363.0796497664021</v>
      </c>
      <c r="N293" s="84">
        <f t="shared" si="93"/>
        <v>42.958669566360399</v>
      </c>
      <c r="O293" s="84">
        <f t="shared" si="93"/>
        <v>0</v>
      </c>
      <c r="P293" s="1252">
        <f>SUM(D293:O293)</f>
        <v>4026.190928572506</v>
      </c>
      <c r="Q293" s="14"/>
      <c r="R293" s="14"/>
      <c r="S293" s="14"/>
      <c r="T293" s="14"/>
      <c r="U293" s="14"/>
      <c r="V293" s="14"/>
      <c r="W293" s="14"/>
    </row>
    <row r="294" spans="2:23" s="9" customFormat="1">
      <c r="B294" s="86"/>
      <c r="C294" s="19" t="s">
        <v>111</v>
      </c>
      <c r="D294" s="84">
        <f>D292-D293</f>
        <v>540.72215889100812</v>
      </c>
      <c r="E294" s="84">
        <f t="shared" ref="E294:O294" si="94">E292-E293</f>
        <v>540.7221588910063</v>
      </c>
      <c r="F294" s="84">
        <f t="shared" si="94"/>
        <v>112.99392889344118</v>
      </c>
      <c r="G294" s="84">
        <f t="shared" si="94"/>
        <v>0</v>
      </c>
      <c r="H294" s="84">
        <f t="shared" si="94"/>
        <v>152.48693559321509</v>
      </c>
      <c r="I294" s="84">
        <f t="shared" si="94"/>
        <v>1102.242278376958</v>
      </c>
      <c r="J294" s="84">
        <f t="shared" si="94"/>
        <v>1102.242278376958</v>
      </c>
      <c r="K294" s="84">
        <f t="shared" si="94"/>
        <v>256.9881232665557</v>
      </c>
      <c r="L294" s="84">
        <f t="shared" si="94"/>
        <v>256.9881232665557</v>
      </c>
      <c r="M294" s="84">
        <f t="shared" si="94"/>
        <v>405.5676938880024</v>
      </c>
      <c r="N294" s="84">
        <f t="shared" si="94"/>
        <v>47.985747919870676</v>
      </c>
      <c r="O294" s="84">
        <f t="shared" si="94"/>
        <v>0</v>
      </c>
      <c r="P294" s="1252">
        <f>SUM(D294:O294)</f>
        <v>4518.9394273635717</v>
      </c>
      <c r="Q294" s="14"/>
      <c r="R294" s="14"/>
      <c r="S294" s="14"/>
      <c r="T294" s="14"/>
      <c r="U294" s="14"/>
      <c r="V294" s="14"/>
      <c r="W294" s="14"/>
    </row>
    <row r="295" spans="2:23" s="9" customFormat="1">
      <c r="B295" s="86"/>
      <c r="C295" s="85"/>
      <c r="D295" s="99"/>
      <c r="E295" s="98"/>
      <c r="F295" s="98"/>
      <c r="G295" s="98"/>
      <c r="H295" s="98"/>
      <c r="I295" s="98"/>
      <c r="J295" s="98"/>
      <c r="K295" s="98"/>
      <c r="L295" s="98"/>
      <c r="M295" s="98"/>
      <c r="N295" s="98"/>
      <c r="O295" s="98"/>
      <c r="P295" s="1252"/>
      <c r="Q295" s="14"/>
      <c r="R295" s="14"/>
      <c r="S295" s="14"/>
      <c r="T295" s="14"/>
      <c r="U295" s="14"/>
      <c r="V295" s="14"/>
      <c r="W295" s="14"/>
    </row>
    <row r="296" spans="2:23" s="9" customFormat="1">
      <c r="B296" s="86"/>
      <c r="C296" s="19" t="s">
        <v>110</v>
      </c>
      <c r="D296" s="103">
        <f t="shared" ref="D296:O296" si="95">SUMIF($C241:$C295,"Revenue",D241:D295)</f>
        <v>47258.285379247296</v>
      </c>
      <c r="E296" s="103">
        <f t="shared" si="95"/>
        <v>46753.308003681683</v>
      </c>
      <c r="F296" s="103">
        <f t="shared" si="95"/>
        <v>49002.460619951285</v>
      </c>
      <c r="G296" s="103">
        <f t="shared" si="95"/>
        <v>89540.452049860323</v>
      </c>
      <c r="H296" s="103">
        <f t="shared" si="95"/>
        <v>108776.98734146635</v>
      </c>
      <c r="I296" s="103">
        <f t="shared" si="95"/>
        <v>141666.07746965098</v>
      </c>
      <c r="J296" s="103">
        <f t="shared" si="95"/>
        <v>141666.07746965098</v>
      </c>
      <c r="K296" s="103">
        <f t="shared" si="95"/>
        <v>138943.15489669374</v>
      </c>
      <c r="L296" s="103">
        <f t="shared" si="95"/>
        <v>138943.15489669374</v>
      </c>
      <c r="M296" s="103">
        <f t="shared" si="95"/>
        <v>130769.98169864871</v>
      </c>
      <c r="N296" s="103">
        <f t="shared" si="95"/>
        <v>56489.9921125787</v>
      </c>
      <c r="O296" s="103">
        <f t="shared" si="95"/>
        <v>49337.367230079333</v>
      </c>
      <c r="P296" s="1252">
        <f>SUM(D296:O296)</f>
        <v>1139147.299168203</v>
      </c>
      <c r="Q296" s="14"/>
      <c r="R296" s="14"/>
      <c r="S296" s="14"/>
      <c r="T296" s="14"/>
      <c r="U296" s="14"/>
      <c r="V296" s="14"/>
      <c r="W296" s="14"/>
    </row>
    <row r="297" spans="2:23" s="9" customFormat="1">
      <c r="B297" s="86"/>
      <c r="C297" s="19" t="s">
        <v>124</v>
      </c>
      <c r="D297" s="103">
        <f t="shared" ref="D297:O297" si="96">SUMIF($C241:$C295,"Expenses",D241:D295)</f>
        <v>10378.800000000005</v>
      </c>
      <c r="E297" s="103">
        <f t="shared" si="96"/>
        <v>10378.800000000001</v>
      </c>
      <c r="F297" s="103">
        <f t="shared" si="96"/>
        <v>10578.276132656129</v>
      </c>
      <c r="G297" s="103">
        <f t="shared" si="96"/>
        <v>24713.200000000001</v>
      </c>
      <c r="H297" s="103">
        <f t="shared" si="96"/>
        <v>28234.799999999996</v>
      </c>
      <c r="I297" s="103">
        <f t="shared" si="96"/>
        <v>36453.316653475835</v>
      </c>
      <c r="J297" s="103">
        <f t="shared" si="96"/>
        <v>36453.316653475835</v>
      </c>
      <c r="K297" s="103">
        <f t="shared" si="96"/>
        <v>34100</v>
      </c>
      <c r="L297" s="103">
        <f t="shared" si="96"/>
        <v>34100</v>
      </c>
      <c r="M297" s="103">
        <f t="shared" si="96"/>
        <v>31743.528318823424</v>
      </c>
      <c r="N297" s="103">
        <f t="shared" si="96"/>
        <v>11742.8</v>
      </c>
      <c r="O297" s="103">
        <f t="shared" si="96"/>
        <v>10577.2</v>
      </c>
      <c r="P297" s="1252">
        <f>SUM(D297:O297)</f>
        <v>279454.03775843122</v>
      </c>
      <c r="Q297" s="14"/>
      <c r="R297" s="14"/>
      <c r="S297" s="14"/>
      <c r="T297" s="14"/>
      <c r="U297" s="14"/>
      <c r="V297" s="14"/>
      <c r="W297" s="14"/>
    </row>
    <row r="298" spans="2:23" s="9" customFormat="1">
      <c r="B298" s="86"/>
      <c r="C298" s="85" t="s">
        <v>506</v>
      </c>
      <c r="D298" s="103">
        <f t="shared" ref="D298:O298" si="97">SUMIF($C241:$C295,"Contribution",D241:D295)</f>
        <v>36879.4853792473</v>
      </c>
      <c r="E298" s="103">
        <f t="shared" si="97"/>
        <v>36374.50800368168</v>
      </c>
      <c r="F298" s="103">
        <f t="shared" si="97"/>
        <v>38424.184487295162</v>
      </c>
      <c r="G298" s="103">
        <f t="shared" si="97"/>
        <v>64827.252049860319</v>
      </c>
      <c r="H298" s="103">
        <f t="shared" si="97"/>
        <v>80542.187341466342</v>
      </c>
      <c r="I298" s="103">
        <f t="shared" si="97"/>
        <v>105212.76081617513</v>
      </c>
      <c r="J298" s="103">
        <f t="shared" si="97"/>
        <v>105212.76081617513</v>
      </c>
      <c r="K298" s="103">
        <f t="shared" si="97"/>
        <v>104843.15489669373</v>
      </c>
      <c r="L298" s="103">
        <f t="shared" si="97"/>
        <v>104843.15489669373</v>
      </c>
      <c r="M298" s="103">
        <f t="shared" si="97"/>
        <v>99026.453379825296</v>
      </c>
      <c r="N298" s="103">
        <f t="shared" si="97"/>
        <v>44747.192112578705</v>
      </c>
      <c r="O298" s="103">
        <f t="shared" si="97"/>
        <v>38760.167230079343</v>
      </c>
      <c r="P298" s="1252">
        <f>SUM(D298:O298)</f>
        <v>859693.26140977186</v>
      </c>
      <c r="Q298" s="14"/>
      <c r="R298" s="14"/>
      <c r="S298" s="14"/>
      <c r="T298" s="14"/>
      <c r="U298" s="14"/>
      <c r="V298" s="14"/>
      <c r="W298" s="14"/>
    </row>
    <row r="299" spans="2:23" s="9" customFormat="1">
      <c r="B299" s="86"/>
      <c r="C299" s="85"/>
      <c r="D299" s="101"/>
      <c r="E299" s="100"/>
      <c r="F299" s="100"/>
      <c r="G299" s="100"/>
      <c r="H299" s="100"/>
      <c r="I299" s="100"/>
      <c r="J299" s="100"/>
      <c r="K299" s="100"/>
      <c r="L299" s="100"/>
      <c r="M299" s="100"/>
      <c r="N299" s="100"/>
      <c r="O299" s="100"/>
      <c r="P299" s="1252"/>
      <c r="Q299" s="14"/>
      <c r="R299" s="14"/>
      <c r="S299" s="14"/>
      <c r="T299" s="14"/>
      <c r="U299" s="14"/>
      <c r="V299" s="14"/>
      <c r="W299" s="14"/>
    </row>
    <row r="300" spans="2:23" s="9" customFormat="1">
      <c r="B300" s="86" t="s">
        <v>120</v>
      </c>
      <c r="C300" s="14" t="s">
        <v>119</v>
      </c>
      <c r="D300" s="101"/>
      <c r="E300" s="100"/>
      <c r="F300" s="100"/>
      <c r="G300" s="100"/>
      <c r="H300" s="100"/>
      <c r="I300" s="100"/>
      <c r="J300" s="100"/>
      <c r="K300" s="100"/>
      <c r="L300" s="100"/>
      <c r="M300" s="100"/>
      <c r="N300" s="100"/>
      <c r="O300" s="100"/>
      <c r="P300" s="1252"/>
      <c r="Q300" s="14"/>
      <c r="R300" s="14"/>
      <c r="S300" s="14"/>
      <c r="T300" s="14"/>
      <c r="U300" s="14"/>
      <c r="V300" s="14"/>
      <c r="W300" s="14"/>
    </row>
    <row r="301" spans="2:23" s="9" customFormat="1">
      <c r="C301" s="56" t="s">
        <v>370</v>
      </c>
      <c r="D301" s="84">
        <f>E65/12</f>
        <v>8470</v>
      </c>
      <c r="E301" s="84">
        <f t="shared" ref="E301:O304" si="98">$D301</f>
        <v>8470</v>
      </c>
      <c r="F301" s="84">
        <f t="shared" si="98"/>
        <v>8470</v>
      </c>
      <c r="G301" s="84">
        <f t="shared" si="98"/>
        <v>8470</v>
      </c>
      <c r="H301" s="84">
        <f t="shared" si="98"/>
        <v>8470</v>
      </c>
      <c r="I301" s="84">
        <f t="shared" si="98"/>
        <v>8470</v>
      </c>
      <c r="J301" s="84">
        <f t="shared" si="98"/>
        <v>8470</v>
      </c>
      <c r="K301" s="84">
        <f t="shared" si="98"/>
        <v>8470</v>
      </c>
      <c r="L301" s="84">
        <f t="shared" si="98"/>
        <v>8470</v>
      </c>
      <c r="M301" s="84">
        <f t="shared" si="98"/>
        <v>8470</v>
      </c>
      <c r="N301" s="84">
        <f t="shared" si="98"/>
        <v>8470</v>
      </c>
      <c r="O301" s="84">
        <f t="shared" si="98"/>
        <v>8470</v>
      </c>
      <c r="P301" s="1252">
        <f>SUM(D301:O301)</f>
        <v>101640</v>
      </c>
      <c r="Q301" s="14"/>
      <c r="R301" s="14"/>
      <c r="S301" s="14"/>
      <c r="T301" s="14"/>
      <c r="U301" s="14"/>
      <c r="V301" s="14"/>
      <c r="W301" s="14"/>
    </row>
    <row r="302" spans="2:23" s="9" customFormat="1">
      <c r="C302" s="56" t="s">
        <v>388</v>
      </c>
      <c r="D302" s="189">
        <f>E66/12</f>
        <v>2152.0833333333335</v>
      </c>
      <c r="E302" s="84">
        <f t="shared" si="98"/>
        <v>2152.0833333333335</v>
      </c>
      <c r="F302" s="84">
        <f t="shared" si="98"/>
        <v>2152.0833333333335</v>
      </c>
      <c r="G302" s="84">
        <f t="shared" si="98"/>
        <v>2152.0833333333335</v>
      </c>
      <c r="H302" s="84">
        <f t="shared" si="98"/>
        <v>2152.0833333333335</v>
      </c>
      <c r="I302" s="84">
        <f t="shared" si="98"/>
        <v>2152.0833333333335</v>
      </c>
      <c r="J302" s="84">
        <f t="shared" si="98"/>
        <v>2152.0833333333335</v>
      </c>
      <c r="K302" s="84">
        <f t="shared" si="98"/>
        <v>2152.0833333333335</v>
      </c>
      <c r="L302" s="84">
        <f t="shared" si="98"/>
        <v>2152.0833333333335</v>
      </c>
      <c r="M302" s="84">
        <f t="shared" si="98"/>
        <v>2152.0833333333335</v>
      </c>
      <c r="N302" s="84">
        <f t="shared" si="98"/>
        <v>2152.0833333333335</v>
      </c>
      <c r="O302" s="84">
        <f t="shared" si="98"/>
        <v>2152.0833333333335</v>
      </c>
      <c r="P302" s="1252">
        <f>SUM(D302:O302)</f>
        <v>25824.999999999996</v>
      </c>
      <c r="Q302" s="14"/>
      <c r="R302" s="14"/>
      <c r="S302" s="14"/>
      <c r="T302" s="14"/>
      <c r="U302" s="14"/>
      <c r="V302" s="14"/>
      <c r="W302" s="14"/>
    </row>
    <row r="303" spans="2:23" s="9" customFormat="1">
      <c r="C303" s="56" t="s">
        <v>366</v>
      </c>
      <c r="D303" s="189">
        <f>E67/12</f>
        <v>8762.4166666666661</v>
      </c>
      <c r="E303" s="84">
        <f t="shared" si="98"/>
        <v>8762.4166666666661</v>
      </c>
      <c r="F303" s="84">
        <f t="shared" si="98"/>
        <v>8762.4166666666661</v>
      </c>
      <c r="G303" s="84">
        <f t="shared" si="98"/>
        <v>8762.4166666666661</v>
      </c>
      <c r="H303" s="84">
        <f t="shared" si="98"/>
        <v>8762.4166666666661</v>
      </c>
      <c r="I303" s="84">
        <f t="shared" si="98"/>
        <v>8762.4166666666661</v>
      </c>
      <c r="J303" s="84">
        <f t="shared" si="98"/>
        <v>8762.4166666666661</v>
      </c>
      <c r="K303" s="84">
        <f t="shared" si="98"/>
        <v>8762.4166666666661</v>
      </c>
      <c r="L303" s="84">
        <f t="shared" si="98"/>
        <v>8762.4166666666661</v>
      </c>
      <c r="M303" s="84">
        <f t="shared" si="98"/>
        <v>8762.4166666666661</v>
      </c>
      <c r="N303" s="84">
        <f t="shared" si="98"/>
        <v>8762.4166666666661</v>
      </c>
      <c r="O303" s="84">
        <f t="shared" si="98"/>
        <v>8762.4166666666661</v>
      </c>
      <c r="P303" s="1252">
        <f>SUM(D303:O303)</f>
        <v>105149.00000000001</v>
      </c>
      <c r="Q303" s="14"/>
      <c r="R303" s="14"/>
      <c r="S303" s="14"/>
      <c r="T303" s="14"/>
      <c r="U303" s="14"/>
      <c r="V303" s="14"/>
      <c r="W303" s="14"/>
    </row>
    <row r="304" spans="2:23" s="9" customFormat="1">
      <c r="C304" s="56" t="s">
        <v>83</v>
      </c>
      <c r="D304" s="189">
        <f>E68/12</f>
        <v>7492.5</v>
      </c>
      <c r="E304" s="84">
        <f t="shared" si="98"/>
        <v>7492.5</v>
      </c>
      <c r="F304" s="84">
        <f t="shared" si="98"/>
        <v>7492.5</v>
      </c>
      <c r="G304" s="84">
        <f t="shared" si="98"/>
        <v>7492.5</v>
      </c>
      <c r="H304" s="84">
        <f t="shared" si="98"/>
        <v>7492.5</v>
      </c>
      <c r="I304" s="84">
        <f t="shared" si="98"/>
        <v>7492.5</v>
      </c>
      <c r="J304" s="84">
        <f t="shared" si="98"/>
        <v>7492.5</v>
      </c>
      <c r="K304" s="84">
        <f t="shared" si="98"/>
        <v>7492.5</v>
      </c>
      <c r="L304" s="84">
        <f t="shared" si="98"/>
        <v>7492.5</v>
      </c>
      <c r="M304" s="84">
        <f t="shared" si="98"/>
        <v>7492.5</v>
      </c>
      <c r="N304" s="84">
        <f t="shared" si="98"/>
        <v>7492.5</v>
      </c>
      <c r="O304" s="84">
        <f t="shared" si="98"/>
        <v>7492.5</v>
      </c>
      <c r="P304" s="1252">
        <f>SUM(D304:O304)</f>
        <v>89910</v>
      </c>
      <c r="Q304" s="14"/>
      <c r="R304" s="14"/>
      <c r="S304" s="14"/>
      <c r="T304" s="14"/>
      <c r="U304" s="14"/>
      <c r="V304" s="14"/>
      <c r="W304" s="14"/>
    </row>
    <row r="305" spans="1:49" s="9" customFormat="1">
      <c r="C305" s="85"/>
      <c r="D305" s="99"/>
      <c r="E305" s="98"/>
      <c r="F305" s="98"/>
      <c r="G305" s="98"/>
      <c r="H305" s="98"/>
      <c r="I305" s="98"/>
      <c r="J305" s="98"/>
      <c r="K305" s="98"/>
      <c r="L305" s="98"/>
      <c r="M305" s="98"/>
      <c r="N305" s="98"/>
      <c r="O305" s="98"/>
      <c r="P305" s="1252"/>
      <c r="Q305" s="14"/>
      <c r="R305" s="14"/>
      <c r="S305" s="14"/>
      <c r="T305" s="14"/>
      <c r="U305" s="14"/>
      <c r="V305" s="14"/>
      <c r="W305" s="14"/>
    </row>
    <row r="306" spans="1:49" s="9" customFormat="1">
      <c r="C306" s="102" t="s">
        <v>108</v>
      </c>
      <c r="D306" s="84">
        <f>debtMonthlyPaymentsFY3(CycleInCalculation,1)</f>
        <v>1179.6873482711903</v>
      </c>
      <c r="E306" s="84">
        <f>debtMonthlyPaymentsFY3(CycleInCalculation,2)</f>
        <v>1179.6873482711903</v>
      </c>
      <c r="F306" s="84">
        <f>debtMonthlyPaymentsFY3(CycleInCalculation,3)</f>
        <v>1179.6873482711903</v>
      </c>
      <c r="G306" s="84">
        <f>debtMonthlyPaymentsFY3(CycleInCalculation,4)</f>
        <v>1179.6873482711903</v>
      </c>
      <c r="H306" s="84">
        <f>debtMonthlyPaymentsFY3(CycleInCalculation,5)</f>
        <v>1179.6873482711903</v>
      </c>
      <c r="I306" s="84">
        <f>debtMonthlyPaymentsFY3(CycleInCalculation,6)</f>
        <v>1179.6873482711903</v>
      </c>
      <c r="J306" s="84">
        <f>debtMonthlyPaymentsFY3(CycleInCalculation,7)</f>
        <v>1179.6873482711903</v>
      </c>
      <c r="K306" s="84">
        <f>debtMonthlyPaymentsFY3(CycleInCalculation,8)</f>
        <v>1179.6873482711903</v>
      </c>
      <c r="L306" s="84">
        <f>debtMonthlyPaymentsFY3(CycleInCalculation,9)</f>
        <v>1179.6873482711903</v>
      </c>
      <c r="M306" s="84">
        <f>debtMonthlyPaymentsFY3(CycleInCalculation,10)</f>
        <v>1179.6873482711903</v>
      </c>
      <c r="N306" s="84">
        <f>debtMonthlyPaymentsFY3(CycleInCalculation,11)</f>
        <v>1179.6873482711903</v>
      </c>
      <c r="O306" s="84">
        <f>debtMonthlyPaymentsFY3(CycleInCalculation,12)</f>
        <v>1179.6873482711903</v>
      </c>
      <c r="P306" s="1252">
        <f>SUM(D306:O306)</f>
        <v>14156.248179254288</v>
      </c>
      <c r="Q306" s="14"/>
      <c r="R306" s="14"/>
      <c r="S306" s="14"/>
      <c r="T306" s="14"/>
      <c r="U306" s="14"/>
      <c r="V306" s="14"/>
      <c r="W306" s="14"/>
    </row>
    <row r="307" spans="1:49" s="9" customFormat="1">
      <c r="B307" s="14"/>
      <c r="C307" s="14"/>
      <c r="D307" s="101"/>
      <c r="E307" s="100"/>
      <c r="F307" s="100"/>
      <c r="G307" s="100"/>
      <c r="H307" s="100"/>
      <c r="I307" s="100"/>
      <c r="J307" s="100"/>
      <c r="K307" s="100"/>
      <c r="L307" s="100"/>
      <c r="M307" s="100"/>
      <c r="N307" s="100"/>
      <c r="O307" s="100"/>
      <c r="P307" s="1250"/>
      <c r="Q307" s="14"/>
      <c r="R307" s="14"/>
      <c r="S307" s="14"/>
      <c r="T307" s="14"/>
      <c r="U307" s="14"/>
      <c r="V307" s="14"/>
      <c r="W307" s="14"/>
    </row>
    <row r="308" spans="1:49" s="9" customFormat="1">
      <c r="B308" s="86"/>
      <c r="C308" s="85" t="s">
        <v>107</v>
      </c>
      <c r="D308" s="97">
        <f>SUM(D301:D306)+D310</f>
        <v>29125.437348271189</v>
      </c>
      <c r="E308" s="97">
        <f t="shared" ref="E308:O308" si="99">SUM(E301:E306)+E310</f>
        <v>29125.437348271189</v>
      </c>
      <c r="F308" s="97">
        <f t="shared" si="99"/>
        <v>29125.437348271189</v>
      </c>
      <c r="G308" s="97">
        <f t="shared" si="99"/>
        <v>29125.437348271189</v>
      </c>
      <c r="H308" s="97">
        <f t="shared" si="99"/>
        <v>29125.437348271189</v>
      </c>
      <c r="I308" s="97">
        <f t="shared" si="99"/>
        <v>29125.437348271189</v>
      </c>
      <c r="J308" s="97">
        <f t="shared" si="99"/>
        <v>29125.437348271189</v>
      </c>
      <c r="K308" s="97">
        <f t="shared" si="99"/>
        <v>29125.437348271189</v>
      </c>
      <c r="L308" s="97">
        <f t="shared" si="99"/>
        <v>29125.437348271189</v>
      </c>
      <c r="M308" s="97">
        <f t="shared" si="99"/>
        <v>29125.437348271189</v>
      </c>
      <c r="N308" s="97">
        <f t="shared" si="99"/>
        <v>29125.437348271189</v>
      </c>
      <c r="O308" s="97">
        <f t="shared" si="99"/>
        <v>29125.437348271189</v>
      </c>
      <c r="P308" s="1253">
        <f>SUM(D308:O308)</f>
        <v>349505.2481792543</v>
      </c>
      <c r="Q308" s="14"/>
      <c r="R308" s="14"/>
      <c r="S308" s="14"/>
      <c r="T308" s="14"/>
      <c r="U308" s="14"/>
      <c r="V308" s="14"/>
      <c r="W308" s="14"/>
    </row>
    <row r="309" spans="1:49" s="9" customFormat="1">
      <c r="C309" s="14"/>
      <c r="D309" s="101"/>
      <c r="E309" s="100"/>
      <c r="F309" s="100"/>
      <c r="G309" s="100"/>
      <c r="H309" s="100"/>
      <c r="I309" s="100"/>
      <c r="J309" s="100"/>
      <c r="K309" s="100"/>
      <c r="L309" s="100"/>
      <c r="M309" s="100"/>
      <c r="N309" s="100"/>
      <c r="O309" s="100"/>
      <c r="P309" s="1250"/>
      <c r="Q309" s="14"/>
      <c r="R309" s="14"/>
      <c r="S309" s="14"/>
      <c r="T309" s="14"/>
      <c r="U309" s="14"/>
      <c r="V309" s="14"/>
      <c r="W309" s="14"/>
    </row>
    <row r="310" spans="1:49" s="9" customFormat="1">
      <c r="B310" s="50"/>
      <c r="C310" s="49" t="s">
        <v>76</v>
      </c>
      <c r="D310" s="546">
        <f>P310/12</f>
        <v>1068.7500000000002</v>
      </c>
      <c r="E310" s="546">
        <f>P310/12</f>
        <v>1068.7500000000002</v>
      </c>
      <c r="F310" s="546">
        <f>P310/12</f>
        <v>1068.7500000000002</v>
      </c>
      <c r="G310" s="546">
        <f>P310/12</f>
        <v>1068.7500000000002</v>
      </c>
      <c r="H310" s="546">
        <f>P310/12</f>
        <v>1068.7500000000002</v>
      </c>
      <c r="I310" s="546">
        <f>P310/12</f>
        <v>1068.7500000000002</v>
      </c>
      <c r="J310" s="546">
        <f>P310/12</f>
        <v>1068.7500000000002</v>
      </c>
      <c r="K310" s="546">
        <f>P310/12</f>
        <v>1068.7500000000002</v>
      </c>
      <c r="L310" s="546">
        <f>P310/12</f>
        <v>1068.7500000000002</v>
      </c>
      <c r="M310" s="546">
        <f>P310/12</f>
        <v>1068.7500000000002</v>
      </c>
      <c r="N310" s="546">
        <f>P310/12</f>
        <v>1068.7500000000002</v>
      </c>
      <c r="O310" s="546">
        <f>P310/12</f>
        <v>1068.7500000000002</v>
      </c>
      <c r="P310" s="1249">
        <f>VLOOKUP(2.721,'Sim-Report'!1:1048576,3+CycleInCalculation,FALSE)*'Project-Start'!D36</f>
        <v>12825.000000000002</v>
      </c>
      <c r="Q310" s="14"/>
      <c r="R310" s="14"/>
      <c r="S310" s="14"/>
      <c r="T310" s="14"/>
      <c r="U310" s="14"/>
      <c r="V310" s="14"/>
      <c r="W310" s="14"/>
      <c r="AW310" s="87"/>
    </row>
    <row r="311" spans="1:49" s="9" customFormat="1">
      <c r="B311" s="86"/>
      <c r="C311" s="77" t="s">
        <v>126</v>
      </c>
      <c r="D311" s="97">
        <f t="shared" ref="D311:O311" si="100">D298-D308</f>
        <v>7754.0480309761115</v>
      </c>
      <c r="E311" s="84">
        <f t="shared" si="100"/>
        <v>7249.0706554104909</v>
      </c>
      <c r="F311" s="84">
        <f t="shared" si="100"/>
        <v>9298.7471390239734</v>
      </c>
      <c r="G311" s="84">
        <f t="shared" si="100"/>
        <v>35701.81470158913</v>
      </c>
      <c r="H311" s="84">
        <f t="shared" si="100"/>
        <v>51416.749993195153</v>
      </c>
      <c r="I311" s="84">
        <f t="shared" si="100"/>
        <v>76087.323467903945</v>
      </c>
      <c r="J311" s="84">
        <f t="shared" si="100"/>
        <v>76087.323467903945</v>
      </c>
      <c r="K311" s="84">
        <f t="shared" si="100"/>
        <v>75717.717548422544</v>
      </c>
      <c r="L311" s="84">
        <f t="shared" si="100"/>
        <v>75717.717548422544</v>
      </c>
      <c r="M311" s="84">
        <f t="shared" si="100"/>
        <v>69901.016031554114</v>
      </c>
      <c r="N311" s="84">
        <f t="shared" si="100"/>
        <v>15621.754764307516</v>
      </c>
      <c r="O311" s="84">
        <f t="shared" si="100"/>
        <v>9634.7298818081545</v>
      </c>
      <c r="P311" s="1253">
        <f>SUM(D311:O311)</f>
        <v>510188.01323051762</v>
      </c>
      <c r="Q311" s="14"/>
      <c r="R311" s="14"/>
      <c r="S311" s="14"/>
      <c r="T311" s="14"/>
      <c r="U311" s="14"/>
      <c r="V311" s="14"/>
      <c r="W311" s="14"/>
    </row>
    <row r="312" spans="1:49" s="9" customFormat="1">
      <c r="C312" s="14" t="s">
        <v>393</v>
      </c>
      <c r="D312" s="85">
        <f>VLOOKUP(3.11,'Sim-Report'!1:1048576,3+CycleInCalculation,FALSE)</f>
        <v>0.25</v>
      </c>
      <c r="E312" s="98"/>
      <c r="F312" s="98"/>
      <c r="G312" s="98"/>
      <c r="H312" s="98"/>
      <c r="I312" s="98"/>
      <c r="J312" s="98"/>
      <c r="K312" s="98"/>
      <c r="L312" s="98"/>
      <c r="M312" s="98"/>
      <c r="N312" s="98"/>
      <c r="O312" s="98"/>
      <c r="P312" s="1250"/>
      <c r="Q312" s="14"/>
      <c r="R312" s="14"/>
      <c r="S312" s="14"/>
      <c r="T312" s="14"/>
      <c r="U312" s="14"/>
      <c r="V312" s="14"/>
      <c r="W312" s="14"/>
    </row>
    <row r="313" spans="1:49" s="9" customFormat="1">
      <c r="B313" s="86"/>
      <c r="C313" s="85" t="s">
        <v>117</v>
      </c>
      <c r="D313" s="97">
        <f>D311</f>
        <v>7754.0480309761115</v>
      </c>
      <c r="E313" s="84">
        <f t="shared" ref="E313:O313" si="101">D313+E311</f>
        <v>15003.118686386602</v>
      </c>
      <c r="F313" s="84">
        <f t="shared" si="101"/>
        <v>24301.865825410576</v>
      </c>
      <c r="G313" s="84">
        <f t="shared" si="101"/>
        <v>60003.680526999706</v>
      </c>
      <c r="H313" s="84">
        <f t="shared" si="101"/>
        <v>111420.43052019486</v>
      </c>
      <c r="I313" s="84">
        <f t="shared" si="101"/>
        <v>187507.75398809882</v>
      </c>
      <c r="J313" s="84">
        <f t="shared" si="101"/>
        <v>263595.07745600276</v>
      </c>
      <c r="K313" s="84">
        <f t="shared" si="101"/>
        <v>339312.79500442534</v>
      </c>
      <c r="L313" s="84">
        <f t="shared" si="101"/>
        <v>415030.51255284785</v>
      </c>
      <c r="M313" s="84">
        <f t="shared" si="101"/>
        <v>484931.52858440194</v>
      </c>
      <c r="N313" s="84">
        <f t="shared" si="101"/>
        <v>500553.28334870946</v>
      </c>
      <c r="O313" s="84">
        <f t="shared" si="101"/>
        <v>510188.01323051762</v>
      </c>
      <c r="P313" s="1250"/>
      <c r="Q313" s="14"/>
      <c r="R313" s="14"/>
      <c r="S313" s="14"/>
      <c r="T313" s="14"/>
      <c r="U313" s="14"/>
      <c r="V313" s="14"/>
      <c r="W313" s="14"/>
    </row>
    <row r="314" spans="1:49" s="9" customFormat="1">
      <c r="B314" s="86"/>
      <c r="C314" s="85" t="s">
        <v>684</v>
      </c>
      <c r="D314" s="97"/>
      <c r="E314" s="84"/>
      <c r="F314" s="84"/>
      <c r="G314" s="84"/>
      <c r="H314" s="84"/>
      <c r="I314" s="84"/>
      <c r="J314" s="84"/>
      <c r="K314" s="84"/>
      <c r="L314" s="84"/>
      <c r="M314" s="84"/>
      <c r="N314" s="84"/>
      <c r="O314" s="84"/>
      <c r="P314" s="1252">
        <f>P315+P233</f>
        <v>930476.85944999987</v>
      </c>
      <c r="Q314" s="14"/>
      <c r="R314" s="14"/>
      <c r="S314" s="14"/>
      <c r="T314" s="14"/>
      <c r="U314" s="14"/>
      <c r="V314" s="14"/>
      <c r="W314" s="14"/>
    </row>
    <row r="315" spans="1:49" s="9" customFormat="1" ht="12" thickBot="1">
      <c r="B315" s="85"/>
      <c r="C315" s="86" t="s">
        <v>105</v>
      </c>
      <c r="D315" s="96">
        <f>ProfitAfterTaxes(D311,D313,D312)</f>
        <v>5815.5360000000001</v>
      </c>
      <c r="E315" s="96">
        <f>ProfitAfterTaxes(E311,E313,D312)</f>
        <v>5436.8030250000002</v>
      </c>
      <c r="F315" s="96">
        <f>ProfitAfterTaxes(F311,F313,D312)</f>
        <v>6974.0603250000004</v>
      </c>
      <c r="G315" s="96">
        <f>ProfitAfterTaxes(G311,G313,D312)</f>
        <v>26776.361025000002</v>
      </c>
      <c r="H315" s="96">
        <f>ProfitAfterTaxes(H311,H313,D312)</f>
        <v>38562.5625</v>
      </c>
      <c r="I315" s="96">
        <f>ProfitAfterTaxes(I311,I313,D312)</f>
        <v>57065.492624999999</v>
      </c>
      <c r="J315" s="96">
        <f>ProfitAfterTaxes(J311,J313,D312)</f>
        <v>57065.492624999999</v>
      </c>
      <c r="K315" s="96">
        <f>ProfitAfterTaxes(K311,K313,D312)</f>
        <v>56788.288124999999</v>
      </c>
      <c r="L315" s="96">
        <f>ProfitAfterTaxes(L311,L313,D312)</f>
        <v>56788.288124999999</v>
      </c>
      <c r="M315" s="96">
        <f>ProfitAfterTaxes(M311,M313,D312)</f>
        <v>52425.762000000002</v>
      </c>
      <c r="N315" s="96">
        <f>ProfitAfterTaxes(N311,N313,D312)</f>
        <v>11716.3161</v>
      </c>
      <c r="O315" s="96">
        <f>ProfitAfterTaxes(O311,O313,D312)</f>
        <v>7226.0474250000007</v>
      </c>
      <c r="P315" s="1253">
        <f>SUM(D315:O315)</f>
        <v>382641.00989999995</v>
      </c>
      <c r="Q315" s="14"/>
      <c r="R315" s="14"/>
      <c r="S315" s="14"/>
      <c r="T315" s="14"/>
      <c r="U315" s="14"/>
      <c r="V315" s="14"/>
      <c r="W315" s="14"/>
    </row>
    <row r="316" spans="1:49" s="9" customFormat="1" ht="12" thickBot="1">
      <c r="B316" s="15"/>
      <c r="C316" s="15" t="s">
        <v>116</v>
      </c>
      <c r="D316" s="76" t="s">
        <v>33</v>
      </c>
      <c r="E316" s="76" t="s">
        <v>33</v>
      </c>
      <c r="F316" s="76" t="s">
        <v>33</v>
      </c>
      <c r="G316" s="76" t="s">
        <v>33</v>
      </c>
      <c r="H316" s="76" t="s">
        <v>33</v>
      </c>
      <c r="I316" s="76" t="s">
        <v>33</v>
      </c>
      <c r="J316" s="76" t="s">
        <v>33</v>
      </c>
      <c r="K316" s="76" t="s">
        <v>33</v>
      </c>
      <c r="L316" s="76" t="s">
        <v>33</v>
      </c>
      <c r="M316" s="76" t="s">
        <v>33</v>
      </c>
      <c r="N316" s="76" t="s">
        <v>33</v>
      </c>
      <c r="O316" s="81" t="s">
        <v>33</v>
      </c>
      <c r="P316" s="1251" t="s">
        <v>103</v>
      </c>
      <c r="Q316" s="14"/>
      <c r="R316" s="14"/>
      <c r="S316" s="14"/>
      <c r="T316" s="14"/>
      <c r="U316" s="14"/>
      <c r="V316" s="14"/>
      <c r="W316" s="14"/>
    </row>
    <row r="317" spans="1:49" s="9" customFormat="1" ht="12" thickBot="1">
      <c r="B317" s="15"/>
      <c r="C317" s="15" t="s">
        <v>115</v>
      </c>
      <c r="D317" s="252" t="s">
        <v>47</v>
      </c>
      <c r="E317" s="252" t="s">
        <v>46</v>
      </c>
      <c r="F317" s="252" t="s">
        <v>45</v>
      </c>
      <c r="G317" s="252" t="s">
        <v>44</v>
      </c>
      <c r="H317" s="252" t="s">
        <v>43</v>
      </c>
      <c r="I317" s="252" t="s">
        <v>42</v>
      </c>
      <c r="J317" s="252" t="s">
        <v>41</v>
      </c>
      <c r="K317" s="252" t="s">
        <v>40</v>
      </c>
      <c r="L317" s="252" t="s">
        <v>39</v>
      </c>
      <c r="M317" s="252" t="s">
        <v>38</v>
      </c>
      <c r="N317" s="252" t="s">
        <v>37</v>
      </c>
      <c r="O317" s="94" t="s">
        <v>36</v>
      </c>
      <c r="P317" s="1251"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28">
        <v>7</v>
      </c>
      <c r="B319" s="165" t="s">
        <v>661</v>
      </c>
      <c r="C319" s="165"/>
      <c r="D319" s="165"/>
      <c r="E319" s="49"/>
      <c r="F319" s="49"/>
      <c r="G319" s="93"/>
      <c r="H319" s="92"/>
      <c r="I319" s="92"/>
      <c r="J319" s="92"/>
      <c r="K319" s="93"/>
      <c r="L319" s="92"/>
      <c r="M319" s="92"/>
      <c r="N319" s="92"/>
      <c r="O319" s="93"/>
      <c r="P319" s="92"/>
      <c r="Q319" s="92"/>
      <c r="R319" s="92"/>
      <c r="S319" s="93"/>
      <c r="T319" s="92"/>
      <c r="U319" s="49"/>
      <c r="V319" s="14"/>
      <c r="W319" s="14"/>
    </row>
    <row r="320" spans="1:49" s="9" customFormat="1">
      <c r="B320" s="212"/>
      <c r="C320" s="213"/>
      <c r="D320" s="214" t="s">
        <v>104</v>
      </c>
      <c r="E320" s="214" t="s">
        <v>35</v>
      </c>
      <c r="F320" s="214" t="s">
        <v>34</v>
      </c>
      <c r="G320" s="214" t="s">
        <v>103</v>
      </c>
      <c r="H320" s="49"/>
      <c r="I320" s="49"/>
      <c r="J320" s="49"/>
      <c r="K320" s="49"/>
      <c r="L320" s="49"/>
      <c r="M320" s="49"/>
      <c r="N320" s="49"/>
      <c r="O320" s="49"/>
      <c r="P320" s="49"/>
      <c r="Q320" s="49"/>
      <c r="R320" s="49"/>
      <c r="S320" s="49"/>
      <c r="T320" s="49"/>
      <c r="U320" s="49"/>
      <c r="V320" s="14"/>
      <c r="W320" s="14"/>
    </row>
    <row r="321" spans="2:23" s="9" customFormat="1">
      <c r="B321" s="212"/>
      <c r="C321" s="213"/>
      <c r="D321" s="214" t="s">
        <v>101</v>
      </c>
      <c r="E321" s="214" t="s">
        <v>102</v>
      </c>
      <c r="F321" s="214" t="s">
        <v>101</v>
      </c>
      <c r="G321" s="214" t="s">
        <v>101</v>
      </c>
      <c r="H321" s="91"/>
      <c r="I321" s="49"/>
      <c r="J321" s="49"/>
      <c r="K321" s="49"/>
      <c r="L321" s="49"/>
      <c r="M321" s="49"/>
      <c r="N321" s="49"/>
      <c r="O321" s="49"/>
      <c r="P321" s="49"/>
      <c r="Q321" s="49"/>
      <c r="R321" s="49"/>
      <c r="S321" s="49"/>
      <c r="T321" s="49"/>
      <c r="U321" s="49"/>
      <c r="V321" s="14"/>
      <c r="W321" s="14"/>
    </row>
    <row r="322" spans="2:23" s="131" customFormat="1">
      <c r="B322" s="82" t="s">
        <v>699</v>
      </c>
      <c r="C322" s="57"/>
      <c r="D322" s="277"/>
      <c r="E322" s="277"/>
      <c r="F322" s="277"/>
      <c r="G322" s="277"/>
      <c r="H322" s="18"/>
      <c r="I322" s="18"/>
      <c r="J322" s="18"/>
      <c r="K322" s="18"/>
      <c r="L322" s="18"/>
      <c r="M322" s="18"/>
      <c r="N322" s="18"/>
      <c r="O322" s="18"/>
      <c r="P322" s="18"/>
      <c r="Q322" s="18"/>
      <c r="R322" s="18"/>
      <c r="S322" s="18"/>
      <c r="T322" s="18"/>
      <c r="U322" s="18"/>
      <c r="V322" s="79"/>
      <c r="W322" s="79"/>
    </row>
    <row r="323" spans="2:23" s="9" customFormat="1">
      <c r="B323" s="82"/>
      <c r="C323" s="57"/>
      <c r="D323" s="277"/>
      <c r="E323" s="277"/>
      <c r="F323" s="277"/>
      <c r="G323" s="277"/>
      <c r="H323" s="18"/>
      <c r="I323" s="18"/>
      <c r="J323" s="49"/>
      <c r="K323" s="49"/>
      <c r="L323" s="49"/>
      <c r="M323" s="49"/>
      <c r="N323" s="49"/>
      <c r="O323" s="49"/>
      <c r="P323" s="49"/>
      <c r="Q323" s="49"/>
      <c r="R323" s="49"/>
      <c r="S323" s="49"/>
      <c r="T323" s="49"/>
      <c r="U323" s="49"/>
      <c r="V323" s="14"/>
      <c r="W323" s="14"/>
    </row>
    <row r="324" spans="2:23" s="9" customFormat="1">
      <c r="B324" s="82"/>
      <c r="C324" s="201" t="s">
        <v>114</v>
      </c>
      <c r="D324" s="200">
        <f>SUM(E324:G324)</f>
        <v>37088.798432422795</v>
      </c>
      <c r="E324" s="200">
        <v>10350.923520417262</v>
      </c>
      <c r="F324" s="200">
        <v>10723.728119541249</v>
      </c>
      <c r="G324" s="200">
        <v>16014.146792464284</v>
      </c>
      <c r="H324" s="154"/>
      <c r="I324" s="154"/>
      <c r="J324" s="90"/>
      <c r="K324" s="49"/>
      <c r="L324" s="49"/>
      <c r="M324" s="49"/>
      <c r="N324" s="49"/>
      <c r="O324" s="49"/>
      <c r="P324" s="49"/>
      <c r="Q324" s="49"/>
      <c r="R324" s="49"/>
      <c r="S324" s="49"/>
      <c r="T324" s="49"/>
      <c r="U324" s="49"/>
      <c r="V324" s="14"/>
      <c r="W324" s="14"/>
    </row>
    <row r="325" spans="2:23" s="9" customFormat="1">
      <c r="B325" s="82"/>
      <c r="C325" s="57" t="s">
        <v>113</v>
      </c>
      <c r="D325" s="240">
        <f>SUM(E325:G325)</f>
        <v>166528.70500000002</v>
      </c>
      <c r="E325" s="203">
        <v>46475.6466</v>
      </c>
      <c r="F325" s="203">
        <v>48149.539299999997</v>
      </c>
      <c r="G325" s="203">
        <v>71903.519100000005</v>
      </c>
      <c r="H325" s="144"/>
      <c r="I325" s="144"/>
      <c r="J325" s="89"/>
      <c r="K325" s="49"/>
      <c r="L325" s="49"/>
      <c r="M325" s="49"/>
      <c r="N325" s="49"/>
      <c r="O325" s="49"/>
      <c r="P325" s="49"/>
      <c r="Q325" s="49"/>
      <c r="R325" s="49"/>
      <c r="S325" s="49"/>
      <c r="T325" s="49"/>
      <c r="U325" s="49"/>
      <c r="V325" s="14"/>
      <c r="W325" s="14"/>
    </row>
    <row r="326" spans="2:23" s="9" customFormat="1">
      <c r="B326" s="82"/>
      <c r="C326" s="202" t="s">
        <v>112</v>
      </c>
      <c r="D326" s="276">
        <f>SUM(E326:G326)</f>
        <v>34492.582599999994</v>
      </c>
      <c r="E326" s="200">
        <v>9626.3588999999993</v>
      </c>
      <c r="F326" s="200">
        <v>9973.0671999999995</v>
      </c>
      <c r="G326" s="200">
        <v>14893.156499999999</v>
      </c>
      <c r="H326" s="144"/>
      <c r="I326" s="144"/>
      <c r="J326" s="89"/>
      <c r="K326" s="49"/>
      <c r="L326" s="49"/>
      <c r="M326" s="49"/>
      <c r="N326" s="49"/>
      <c r="O326" s="49"/>
      <c r="P326" s="49"/>
      <c r="Q326" s="49"/>
      <c r="R326" s="49"/>
      <c r="S326" s="49"/>
      <c r="T326" s="49"/>
      <c r="U326" s="49"/>
      <c r="V326" s="14"/>
      <c r="W326" s="14"/>
    </row>
    <row r="327" spans="2:23" s="9" customFormat="1">
      <c r="B327" s="82"/>
      <c r="C327" s="57" t="s">
        <v>111</v>
      </c>
      <c r="D327" s="240">
        <f>SUM(E327:G327)</f>
        <v>132036.12239999999</v>
      </c>
      <c r="E327" s="203">
        <v>36849.287700000001</v>
      </c>
      <c r="F327" s="203">
        <v>38176.472099999999</v>
      </c>
      <c r="G327" s="203">
        <v>57010.3626</v>
      </c>
      <c r="H327" s="144"/>
      <c r="I327" s="144"/>
      <c r="J327" s="89"/>
      <c r="K327" s="49"/>
      <c r="L327" s="49"/>
      <c r="M327" s="49"/>
      <c r="N327" s="49"/>
      <c r="O327" s="49"/>
      <c r="P327" s="49"/>
      <c r="Q327" s="49"/>
      <c r="R327" s="49"/>
      <c r="S327" s="49"/>
      <c r="T327" s="49"/>
      <c r="U327" s="49"/>
      <c r="V327" s="14"/>
      <c r="W327" s="14"/>
    </row>
    <row r="328" spans="2:23" s="9" customFormat="1">
      <c r="B328" s="82" t="s">
        <v>700</v>
      </c>
      <c r="C328" s="57"/>
      <c r="D328" s="240"/>
      <c r="E328" s="203"/>
      <c r="F328" s="203"/>
      <c r="G328" s="203"/>
      <c r="H328" s="144"/>
      <c r="I328" s="144"/>
      <c r="J328" s="89"/>
      <c r="K328" s="49"/>
      <c r="L328" s="49"/>
      <c r="M328" s="49"/>
      <c r="N328" s="49"/>
      <c r="O328" s="49"/>
      <c r="P328" s="49"/>
      <c r="Q328" s="49"/>
      <c r="R328" s="49"/>
      <c r="S328" s="49"/>
      <c r="T328" s="49"/>
      <c r="U328" s="49"/>
      <c r="V328" s="14"/>
      <c r="W328" s="14"/>
    </row>
    <row r="329" spans="2:23" s="9" customFormat="1">
      <c r="B329" s="82"/>
      <c r="C329" s="57"/>
      <c r="D329" s="240"/>
      <c r="E329" s="203"/>
      <c r="F329" s="203"/>
      <c r="G329" s="203"/>
      <c r="H329" s="144"/>
      <c r="I329" s="144"/>
      <c r="J329" s="89"/>
      <c r="K329" s="49"/>
      <c r="L329" s="49"/>
      <c r="M329" s="49"/>
      <c r="N329" s="49"/>
      <c r="O329" s="49"/>
      <c r="P329" s="49"/>
      <c r="Q329" s="49"/>
      <c r="R329" s="49"/>
      <c r="S329" s="49"/>
      <c r="T329" s="49"/>
      <c r="U329" s="49"/>
      <c r="V329" s="14"/>
      <c r="W329" s="14"/>
    </row>
    <row r="330" spans="2:23" s="9" customFormat="1">
      <c r="B330" s="82"/>
      <c r="C330" s="201" t="s">
        <v>114</v>
      </c>
      <c r="D330" s="200">
        <f>SUM(E330:G330)</f>
        <v>37756.37646702004</v>
      </c>
      <c r="E330" s="200">
        <v>10011.717753559007</v>
      </c>
      <c r="F330" s="200">
        <v>10741.718548949209</v>
      </c>
      <c r="G330" s="200">
        <v>17002.940164511823</v>
      </c>
      <c r="H330" s="154"/>
      <c r="I330" s="154"/>
      <c r="J330" s="90"/>
      <c r="K330" s="49"/>
      <c r="L330" s="49"/>
      <c r="M330" s="49"/>
      <c r="N330" s="49"/>
      <c r="O330" s="49"/>
      <c r="P330" s="49"/>
      <c r="Q330" s="49"/>
      <c r="R330" s="49"/>
      <c r="S330" s="49"/>
      <c r="T330" s="49"/>
      <c r="U330" s="49"/>
      <c r="V330" s="14"/>
      <c r="W330" s="14"/>
    </row>
    <row r="331" spans="2:23" s="9" customFormat="1">
      <c r="B331" s="82"/>
      <c r="C331" s="57" t="s">
        <v>113</v>
      </c>
      <c r="D331" s="240">
        <f>SUM(E331:G331)</f>
        <v>263917.07150000002</v>
      </c>
      <c r="E331" s="203">
        <v>69981.907099999997</v>
      </c>
      <c r="F331" s="203">
        <v>75084.612699999998</v>
      </c>
      <c r="G331" s="203">
        <v>118850.5517</v>
      </c>
      <c r="H331" s="144"/>
      <c r="I331" s="144"/>
      <c r="J331" s="89"/>
      <c r="K331" s="49"/>
      <c r="L331" s="49"/>
      <c r="M331" s="49"/>
      <c r="N331" s="49"/>
      <c r="O331" s="49"/>
      <c r="P331" s="49"/>
      <c r="Q331" s="49"/>
      <c r="R331" s="49"/>
      <c r="S331" s="49"/>
      <c r="T331" s="49"/>
      <c r="U331" s="49"/>
      <c r="V331" s="14"/>
      <c r="W331" s="14"/>
    </row>
    <row r="332" spans="2:23" s="9" customFormat="1">
      <c r="B332" s="82"/>
      <c r="C332" s="202" t="s">
        <v>112</v>
      </c>
      <c r="D332" s="276">
        <f>SUM(E332:G332)</f>
        <v>36475.544999999998</v>
      </c>
      <c r="E332" s="200">
        <v>9675.0059999999994</v>
      </c>
      <c r="F332" s="200">
        <v>10381.413699999999</v>
      </c>
      <c r="G332" s="200">
        <v>16419.1253</v>
      </c>
      <c r="H332" s="144"/>
      <c r="I332" s="144"/>
      <c r="J332" s="89"/>
      <c r="K332" s="49"/>
      <c r="L332" s="49"/>
      <c r="M332" s="49"/>
      <c r="N332" s="49"/>
      <c r="O332" s="49"/>
      <c r="P332" s="49"/>
      <c r="Q332" s="49"/>
      <c r="R332" s="49"/>
      <c r="S332" s="49"/>
      <c r="T332" s="49"/>
      <c r="U332" s="49"/>
      <c r="V332" s="14"/>
      <c r="W332" s="14"/>
    </row>
    <row r="333" spans="2:23" s="9" customFormat="1">
      <c r="B333" s="82"/>
      <c r="C333" s="57" t="s">
        <v>111</v>
      </c>
      <c r="D333" s="240">
        <f>SUM(E333:G333)</f>
        <v>227441.52660000001</v>
      </c>
      <c r="E333" s="203">
        <v>60306.901100000003</v>
      </c>
      <c r="F333" s="203">
        <v>64703.199000000001</v>
      </c>
      <c r="G333" s="203">
        <v>102431.4265</v>
      </c>
      <c r="H333" s="144"/>
      <c r="I333" s="144"/>
      <c r="J333" s="89"/>
      <c r="K333" s="49"/>
      <c r="L333" s="49"/>
      <c r="M333" s="49"/>
      <c r="N333" s="49"/>
      <c r="O333" s="49"/>
      <c r="P333" s="49"/>
      <c r="Q333" s="49"/>
      <c r="R333" s="49"/>
      <c r="S333" s="49"/>
      <c r="T333" s="49"/>
      <c r="U333" s="49"/>
      <c r="V333" s="14"/>
      <c r="W333" s="14"/>
    </row>
    <row r="334" spans="2:23" s="9" customFormat="1">
      <c r="B334" s="82" t="s">
        <v>701</v>
      </c>
      <c r="C334" s="57"/>
      <c r="D334" s="240"/>
      <c r="E334" s="203"/>
      <c r="F334" s="203"/>
      <c r="G334" s="203"/>
      <c r="H334" s="144"/>
      <c r="I334" s="144"/>
      <c r="J334" s="89"/>
      <c r="K334" s="49"/>
      <c r="L334" s="49"/>
      <c r="M334" s="49"/>
      <c r="N334" s="49"/>
      <c r="O334" s="49"/>
      <c r="P334" s="49"/>
      <c r="Q334" s="49"/>
      <c r="R334" s="49"/>
      <c r="S334" s="49"/>
      <c r="T334" s="49"/>
      <c r="U334" s="49"/>
      <c r="V334" s="14"/>
      <c r="W334" s="14"/>
    </row>
    <row r="335" spans="2:23" s="9" customFormat="1">
      <c r="B335" s="82"/>
      <c r="C335" s="57"/>
      <c r="D335" s="240"/>
      <c r="E335" s="203"/>
      <c r="F335" s="203"/>
      <c r="G335" s="203"/>
      <c r="H335" s="144"/>
      <c r="I335" s="144"/>
      <c r="J335" s="89"/>
      <c r="K335" s="49"/>
      <c r="L335" s="49"/>
      <c r="M335" s="49"/>
      <c r="N335" s="49"/>
      <c r="O335" s="49"/>
      <c r="P335" s="49"/>
      <c r="Q335" s="49"/>
      <c r="R335" s="49"/>
      <c r="S335" s="49"/>
      <c r="T335" s="49"/>
      <c r="U335" s="49"/>
      <c r="V335" s="14"/>
      <c r="W335" s="14"/>
    </row>
    <row r="336" spans="2:23" s="9" customFormat="1">
      <c r="B336" s="82"/>
      <c r="C336" s="201" t="s">
        <v>114</v>
      </c>
      <c r="D336" s="200">
        <f>SUM(E336:G336)</f>
        <v>22818.720276976641</v>
      </c>
      <c r="E336" s="200">
        <v>7572.4279361728004</v>
      </c>
      <c r="F336" s="200">
        <v>7980.9716739904006</v>
      </c>
      <c r="G336" s="200">
        <v>7265.3206668134417</v>
      </c>
      <c r="H336" s="154"/>
      <c r="I336" s="154"/>
      <c r="J336" s="90"/>
      <c r="K336" s="49"/>
      <c r="L336" s="49"/>
      <c r="M336" s="49"/>
      <c r="N336" s="49"/>
      <c r="O336" s="49"/>
      <c r="P336" s="49"/>
      <c r="Q336" s="49"/>
      <c r="R336" s="49"/>
      <c r="S336" s="49"/>
      <c r="T336" s="49"/>
      <c r="U336" s="49"/>
      <c r="V336" s="14"/>
      <c r="W336" s="14"/>
    </row>
    <row r="337" spans="2:33" s="9" customFormat="1">
      <c r="B337" s="82"/>
      <c r="C337" s="57" t="s">
        <v>113</v>
      </c>
      <c r="D337" s="240">
        <f>SUM(E337:G337)</f>
        <v>125274.77439999999</v>
      </c>
      <c r="E337" s="203">
        <v>41572.629399999998</v>
      </c>
      <c r="F337" s="203">
        <v>43815.534500000002</v>
      </c>
      <c r="G337" s="203">
        <v>39886.610500000003</v>
      </c>
      <c r="H337" s="215"/>
      <c r="I337" s="144"/>
      <c r="J337" s="14"/>
      <c r="K337" s="49"/>
      <c r="L337" s="49"/>
      <c r="M337" s="49"/>
      <c r="N337" s="49"/>
      <c r="O337" s="49"/>
      <c r="P337" s="49"/>
      <c r="Q337" s="49"/>
      <c r="R337" s="18"/>
      <c r="S337" s="18"/>
      <c r="T337" s="18"/>
      <c r="U337" s="18"/>
      <c r="V337" s="18"/>
      <c r="W337" s="18"/>
      <c r="X337" s="82"/>
      <c r="Y337" s="82"/>
      <c r="Z337" s="82"/>
      <c r="AA337" s="82"/>
      <c r="AB337" s="82"/>
      <c r="AC337" s="82"/>
      <c r="AD337" s="82"/>
      <c r="AE337" s="82"/>
      <c r="AF337" s="82"/>
      <c r="AG337" s="82"/>
    </row>
    <row r="338" spans="2:33" s="9" customFormat="1">
      <c r="B338" s="82"/>
      <c r="C338" s="202" t="s">
        <v>112</v>
      </c>
      <c r="D338" s="276">
        <f>SUM(E338:G338)</f>
        <v>21449.597099999999</v>
      </c>
      <c r="E338" s="200">
        <v>7118.0823</v>
      </c>
      <c r="F338" s="200">
        <v>7502.1134000000002</v>
      </c>
      <c r="G338" s="200">
        <v>6829.4013999999997</v>
      </c>
      <c r="H338" s="144"/>
      <c r="I338" s="144"/>
      <c r="J338" s="89"/>
      <c r="K338" s="49"/>
      <c r="L338" s="49"/>
      <c r="M338" s="49"/>
      <c r="N338" s="49"/>
      <c r="O338" s="49"/>
      <c r="P338" s="49"/>
      <c r="Q338" s="49"/>
      <c r="R338" s="18"/>
      <c r="S338" s="18"/>
      <c r="T338" s="18"/>
      <c r="U338" s="18"/>
      <c r="V338" s="18"/>
      <c r="W338" s="18"/>
      <c r="X338" s="82"/>
      <c r="Y338" s="82"/>
      <c r="Z338" s="82"/>
      <c r="AA338" s="82"/>
      <c r="AB338" s="82"/>
      <c r="AC338" s="82"/>
      <c r="AD338" s="82"/>
      <c r="AE338" s="82"/>
      <c r="AF338" s="82"/>
      <c r="AG338" s="82"/>
    </row>
    <row r="339" spans="2:33" s="9" customFormat="1">
      <c r="B339" s="82"/>
      <c r="C339" s="57" t="s">
        <v>111</v>
      </c>
      <c r="D339" s="240">
        <f>SUM(E339:G339)</f>
        <v>103825.17720000001</v>
      </c>
      <c r="E339" s="203">
        <v>34454.547100000003</v>
      </c>
      <c r="F339" s="203">
        <v>36313.4211</v>
      </c>
      <c r="G339" s="203">
        <v>33057.209000000003</v>
      </c>
      <c r="H339" s="144"/>
      <c r="I339" s="144"/>
      <c r="J339" s="89"/>
      <c r="K339" s="49"/>
      <c r="L339" s="49"/>
      <c r="M339" s="49"/>
      <c r="N339" s="49"/>
      <c r="O339" s="49"/>
      <c r="P339" s="49"/>
      <c r="Q339" s="49"/>
      <c r="R339" s="18"/>
      <c r="S339" s="18"/>
      <c r="T339" s="18"/>
      <c r="U339" s="18"/>
      <c r="V339" s="18"/>
      <c r="W339" s="18"/>
      <c r="X339" s="82"/>
      <c r="Y339" s="82"/>
      <c r="Z339" s="82"/>
      <c r="AA339" s="82"/>
      <c r="AB339" s="82"/>
      <c r="AC339" s="82"/>
      <c r="AD339" s="82"/>
      <c r="AE339" s="82"/>
      <c r="AF339" s="82"/>
      <c r="AG339" s="82"/>
    </row>
    <row r="340" spans="2:33" s="9" customFormat="1">
      <c r="B340" s="82" t="s">
        <v>702</v>
      </c>
      <c r="C340" s="57"/>
      <c r="D340" s="240"/>
      <c r="E340" s="203"/>
      <c r="F340" s="203"/>
      <c r="G340" s="203"/>
      <c r="H340" s="144"/>
      <c r="I340" s="144"/>
      <c r="J340" s="89"/>
      <c r="K340" s="49"/>
      <c r="L340" s="49"/>
      <c r="M340" s="49"/>
      <c r="N340" s="49"/>
      <c r="O340" s="49"/>
      <c r="P340" s="49"/>
      <c r="Q340" s="49"/>
      <c r="R340" s="18"/>
      <c r="S340" s="18"/>
      <c r="T340" s="18"/>
      <c r="U340" s="18"/>
      <c r="V340" s="18"/>
      <c r="W340" s="18"/>
      <c r="X340" s="82"/>
      <c r="Y340" s="82"/>
      <c r="Z340" s="82"/>
      <c r="AA340" s="82"/>
      <c r="AB340" s="82"/>
      <c r="AC340" s="82"/>
      <c r="AD340" s="82"/>
      <c r="AE340" s="82"/>
      <c r="AF340" s="82"/>
      <c r="AG340" s="82"/>
    </row>
    <row r="341" spans="2:33" s="9" customFormat="1">
      <c r="B341" s="82"/>
      <c r="C341" s="57"/>
      <c r="D341" s="240"/>
      <c r="E341" s="203"/>
      <c r="F341" s="203"/>
      <c r="G341" s="203"/>
      <c r="H341" s="144"/>
      <c r="I341" s="144"/>
      <c r="J341" s="89"/>
      <c r="K341" s="49"/>
      <c r="L341" s="49"/>
      <c r="M341" s="49"/>
      <c r="N341" s="49"/>
      <c r="O341" s="49"/>
      <c r="P341" s="49"/>
      <c r="Q341" s="49"/>
      <c r="R341" s="18"/>
      <c r="S341" s="18"/>
      <c r="T341" s="18"/>
      <c r="U341" s="18"/>
      <c r="V341" s="18"/>
      <c r="W341" s="18"/>
      <c r="X341" s="82"/>
      <c r="Y341" s="82"/>
      <c r="Z341" s="82"/>
      <c r="AA341" s="82"/>
      <c r="AB341" s="82"/>
      <c r="AC341" s="82"/>
      <c r="AD341" s="82"/>
      <c r="AE341" s="82"/>
      <c r="AF341" s="82"/>
      <c r="AG341" s="82"/>
    </row>
    <row r="342" spans="2:33" s="9" customFormat="1">
      <c r="B342" s="82"/>
      <c r="C342" s="201" t="s">
        <v>114</v>
      </c>
      <c r="D342" s="200">
        <f>SUM(E342:G342)</f>
        <v>62555.10493942273</v>
      </c>
      <c r="E342" s="200">
        <v>20575.516311046402</v>
      </c>
      <c r="F342" s="200">
        <v>21751.760703281921</v>
      </c>
      <c r="G342" s="200">
        <v>20227.827925094403</v>
      </c>
      <c r="H342" s="154"/>
      <c r="I342" s="154"/>
      <c r="J342" s="90"/>
      <c r="K342" s="49"/>
      <c r="L342" s="49"/>
      <c r="M342" s="49"/>
      <c r="N342" s="49"/>
      <c r="O342" s="49"/>
      <c r="P342" s="49"/>
      <c r="Q342" s="49"/>
      <c r="R342" s="18"/>
      <c r="S342" s="18"/>
      <c r="T342" s="18"/>
      <c r="U342" s="18"/>
      <c r="V342" s="18"/>
      <c r="W342" s="18"/>
      <c r="X342" s="82"/>
      <c r="Y342" s="82"/>
      <c r="Z342" s="82"/>
      <c r="AA342" s="82"/>
      <c r="AB342" s="82"/>
      <c r="AC342" s="82"/>
      <c r="AD342" s="82"/>
      <c r="AE342" s="82"/>
      <c r="AF342" s="82"/>
      <c r="AG342" s="82"/>
    </row>
    <row r="343" spans="2:33" s="9" customFormat="1">
      <c r="B343" s="82"/>
      <c r="C343" s="57" t="s">
        <v>113</v>
      </c>
      <c r="D343" s="240">
        <f>SUM(E343:G343)</f>
        <v>437260.18349999998</v>
      </c>
      <c r="E343" s="203">
        <v>143822.859</v>
      </c>
      <c r="F343" s="203">
        <v>152044.80729999999</v>
      </c>
      <c r="G343" s="203">
        <v>141392.5172</v>
      </c>
      <c r="H343" s="144"/>
      <c r="I343" s="144"/>
      <c r="J343" s="89"/>
      <c r="K343" s="49"/>
      <c r="L343" s="49"/>
      <c r="M343" s="49"/>
      <c r="N343" s="49"/>
      <c r="O343" s="49"/>
      <c r="P343" s="49"/>
      <c r="Q343" s="49"/>
      <c r="R343" s="18"/>
      <c r="S343" s="18"/>
      <c r="T343" s="18"/>
      <c r="U343" s="18"/>
      <c r="V343" s="18"/>
      <c r="W343" s="18"/>
      <c r="X343" s="82"/>
      <c r="Y343" s="82"/>
      <c r="Z343" s="82"/>
      <c r="AA343" s="82"/>
      <c r="AB343" s="82"/>
      <c r="AC343" s="82"/>
      <c r="AD343" s="82"/>
      <c r="AE343" s="82"/>
      <c r="AF343" s="82"/>
      <c r="AG343" s="82"/>
    </row>
    <row r="344" spans="2:33" s="9" customFormat="1">
      <c r="B344" s="82"/>
      <c r="C344" s="202" t="s">
        <v>112</v>
      </c>
      <c r="D344" s="276">
        <f>SUM(E344:G344)</f>
        <v>59287.659800000009</v>
      </c>
      <c r="E344" s="200">
        <v>19500.503700000001</v>
      </c>
      <c r="F344" s="200">
        <v>20614.9529</v>
      </c>
      <c r="G344" s="200">
        <v>19172.2032</v>
      </c>
      <c r="H344" s="144"/>
      <c r="I344" s="144"/>
      <c r="J344" s="89"/>
      <c r="K344" s="49"/>
      <c r="L344" s="49"/>
      <c r="M344" s="49"/>
      <c r="N344" s="49"/>
      <c r="O344" s="49"/>
      <c r="P344" s="49"/>
      <c r="Q344" s="49"/>
      <c r="R344" s="18"/>
      <c r="S344" s="18"/>
      <c r="T344" s="18"/>
      <c r="U344" s="18"/>
      <c r="V344" s="18"/>
      <c r="W344" s="18"/>
      <c r="X344" s="82"/>
      <c r="Y344" s="82"/>
      <c r="Z344" s="82"/>
      <c r="AA344" s="82"/>
      <c r="AB344" s="82"/>
      <c r="AC344" s="82"/>
      <c r="AD344" s="82"/>
      <c r="AE344" s="82"/>
      <c r="AF344" s="82"/>
      <c r="AG344" s="82"/>
    </row>
    <row r="345" spans="2:33" s="9" customFormat="1">
      <c r="B345" s="82"/>
      <c r="C345" s="57" t="s">
        <v>111</v>
      </c>
      <c r="D345" s="240">
        <f>SUM(E345:G345)</f>
        <v>377972.52370000002</v>
      </c>
      <c r="E345" s="203">
        <v>124322.3553</v>
      </c>
      <c r="F345" s="203">
        <v>131429.85440000001</v>
      </c>
      <c r="G345" s="203">
        <v>122220.314</v>
      </c>
      <c r="H345" s="144"/>
      <c r="I345" s="144"/>
      <c r="J345" s="89"/>
      <c r="K345" s="49"/>
      <c r="L345" s="49"/>
      <c r="M345" s="49"/>
      <c r="N345" s="49"/>
      <c r="O345" s="49"/>
      <c r="P345" s="49"/>
      <c r="Q345" s="49"/>
      <c r="R345" s="18"/>
      <c r="S345" s="18"/>
      <c r="T345" s="18"/>
      <c r="U345" s="18"/>
      <c r="V345" s="18"/>
      <c r="W345" s="18"/>
      <c r="X345" s="82"/>
      <c r="Y345" s="82"/>
      <c r="Z345" s="82"/>
      <c r="AA345" s="82"/>
      <c r="AB345" s="82"/>
      <c r="AC345" s="82"/>
      <c r="AD345" s="82"/>
      <c r="AE345" s="82"/>
      <c r="AF345" s="82"/>
      <c r="AG345" s="82"/>
    </row>
    <row r="346" spans="2:33" s="9" customFormat="1">
      <c r="B346" s="82" t="s">
        <v>703</v>
      </c>
      <c r="C346" s="57"/>
      <c r="D346" s="240"/>
      <c r="E346" s="203"/>
      <c r="F346" s="203"/>
      <c r="G346" s="203"/>
      <c r="H346" s="144"/>
      <c r="I346" s="144"/>
      <c r="J346" s="89"/>
      <c r="K346" s="49"/>
      <c r="L346" s="49"/>
      <c r="M346" s="49"/>
      <c r="N346" s="49"/>
      <c r="O346" s="49"/>
      <c r="P346" s="49"/>
      <c r="Q346" s="49"/>
      <c r="R346" s="18"/>
      <c r="S346" s="18"/>
      <c r="T346" s="18"/>
      <c r="U346" s="18"/>
      <c r="V346" s="18"/>
      <c r="W346" s="18"/>
      <c r="X346" s="82"/>
      <c r="Y346" s="82"/>
      <c r="Z346" s="82"/>
      <c r="AA346" s="82"/>
      <c r="AB346" s="82"/>
      <c r="AC346" s="82"/>
      <c r="AD346" s="82"/>
      <c r="AE346" s="82"/>
      <c r="AF346" s="82"/>
      <c r="AG346" s="82"/>
    </row>
    <row r="347" spans="2:33" s="9" customFormat="1">
      <c r="B347" s="82"/>
      <c r="C347" s="57"/>
      <c r="D347" s="240"/>
      <c r="E347" s="203"/>
      <c r="F347" s="203"/>
      <c r="G347" s="203"/>
      <c r="H347" s="144"/>
      <c r="I347" s="144"/>
      <c r="J347" s="89"/>
      <c r="K347" s="49"/>
      <c r="L347" s="49"/>
      <c r="M347" s="49"/>
      <c r="N347" s="49"/>
      <c r="O347" s="49"/>
      <c r="P347" s="49"/>
      <c r="Q347" s="49"/>
      <c r="R347" s="18"/>
      <c r="S347" s="18"/>
      <c r="T347" s="18"/>
      <c r="U347" s="18"/>
      <c r="V347" s="18"/>
      <c r="W347" s="18"/>
      <c r="X347" s="82"/>
      <c r="Y347" s="82"/>
      <c r="Z347" s="82"/>
      <c r="AA347" s="82"/>
      <c r="AB347" s="82"/>
      <c r="AC347" s="82"/>
      <c r="AD347" s="82"/>
      <c r="AE347" s="82"/>
      <c r="AF347" s="82"/>
      <c r="AG347" s="82"/>
    </row>
    <row r="348" spans="2:33" s="9" customFormat="1">
      <c r="B348" s="82"/>
      <c r="C348" s="202" t="s">
        <v>114</v>
      </c>
      <c r="D348" s="276">
        <f>SUM(E348:G348)</f>
        <v>62555.10493942273</v>
      </c>
      <c r="E348" s="200">
        <v>20575.516311046402</v>
      </c>
      <c r="F348" s="200">
        <v>21751.760703281921</v>
      </c>
      <c r="G348" s="200">
        <v>20227.827925094403</v>
      </c>
      <c r="H348" s="144"/>
      <c r="I348" s="144"/>
      <c r="J348" s="89"/>
      <c r="K348" s="49"/>
      <c r="L348" s="49"/>
      <c r="M348" s="49"/>
      <c r="N348" s="49"/>
      <c r="O348" s="49"/>
      <c r="P348" s="49"/>
      <c r="Q348" s="49"/>
      <c r="R348" s="18"/>
      <c r="S348" s="18"/>
      <c r="T348" s="18"/>
      <c r="U348" s="18"/>
      <c r="V348" s="18"/>
      <c r="W348" s="18"/>
      <c r="X348" s="82"/>
      <c r="Y348" s="82"/>
      <c r="Z348" s="82"/>
      <c r="AA348" s="82"/>
      <c r="AB348" s="82"/>
      <c r="AC348" s="82"/>
      <c r="AD348" s="82"/>
      <c r="AE348" s="82"/>
      <c r="AF348" s="82"/>
      <c r="AG348" s="82"/>
    </row>
    <row r="349" spans="2:33" s="9" customFormat="1">
      <c r="B349" s="82"/>
      <c r="C349" s="57" t="s">
        <v>113</v>
      </c>
      <c r="D349" s="240">
        <f>SUM(E349:G349)</f>
        <v>374705.07860000001</v>
      </c>
      <c r="E349" s="203">
        <v>123247.34269999999</v>
      </c>
      <c r="F349" s="203">
        <v>130293.0466</v>
      </c>
      <c r="G349" s="203">
        <v>121164.6893</v>
      </c>
      <c r="H349" s="144"/>
      <c r="I349" s="144"/>
      <c r="J349" s="89"/>
      <c r="K349" s="49"/>
      <c r="L349" s="49"/>
      <c r="M349" s="49"/>
      <c r="N349" s="49"/>
      <c r="O349" s="49"/>
      <c r="P349" s="49"/>
      <c r="Q349" s="49"/>
      <c r="R349" s="18"/>
      <c r="S349" s="18"/>
      <c r="T349" s="18"/>
      <c r="U349" s="18"/>
      <c r="V349" s="18"/>
      <c r="W349" s="18"/>
      <c r="X349" s="82"/>
      <c r="Y349" s="82"/>
      <c r="Z349" s="82"/>
      <c r="AA349" s="82"/>
      <c r="AB349" s="82"/>
      <c r="AC349" s="82"/>
      <c r="AD349" s="82"/>
      <c r="AE349" s="82"/>
      <c r="AF349" s="82"/>
      <c r="AG349" s="82"/>
    </row>
    <row r="350" spans="2:33" s="9" customFormat="1">
      <c r="B350" s="82"/>
      <c r="C350" s="202" t="s">
        <v>112</v>
      </c>
      <c r="D350" s="276">
        <f>SUM(E350:G350)</f>
        <v>58731.953699999998</v>
      </c>
      <c r="E350" s="200">
        <v>19317.866900000001</v>
      </c>
      <c r="F350" s="200">
        <v>20422.0452</v>
      </c>
      <c r="G350" s="200">
        <v>18992.0416</v>
      </c>
      <c r="H350" s="18"/>
      <c r="I350" s="79"/>
      <c r="J350" s="14"/>
      <c r="K350" s="14"/>
      <c r="L350" s="14"/>
      <c r="M350" s="14"/>
      <c r="N350" s="14"/>
      <c r="O350" s="14"/>
      <c r="P350" s="14"/>
      <c r="Q350" s="14"/>
      <c r="R350" s="18"/>
      <c r="S350" s="18"/>
      <c r="T350" s="18"/>
      <c r="U350" s="18"/>
      <c r="V350" s="18"/>
      <c r="W350" s="18"/>
      <c r="X350" s="82"/>
      <c r="Y350" s="82"/>
      <c r="Z350" s="82"/>
      <c r="AA350" s="82"/>
      <c r="AB350" s="82"/>
      <c r="AC350" s="82"/>
      <c r="AD350" s="82"/>
      <c r="AE350" s="82"/>
      <c r="AF350" s="82"/>
      <c r="AG350" s="82"/>
    </row>
    <row r="351" spans="2:33" s="9" customFormat="1">
      <c r="B351" s="57"/>
      <c r="C351" s="57" t="s">
        <v>111</v>
      </c>
      <c r="D351" s="240">
        <f>SUM(E351:G351)</f>
        <v>315973.1249</v>
      </c>
      <c r="E351" s="203">
        <v>103929.4758</v>
      </c>
      <c r="F351" s="203">
        <v>109871.00139999999</v>
      </c>
      <c r="G351" s="203">
        <v>102172.6477</v>
      </c>
      <c r="H351" s="18"/>
      <c r="I351" s="79"/>
      <c r="J351" s="14"/>
      <c r="K351" s="14"/>
      <c r="L351" s="14"/>
      <c r="M351" s="14"/>
      <c r="N351" s="14"/>
      <c r="O351" s="14"/>
      <c r="P351" s="14"/>
      <c r="Q351" s="14"/>
      <c r="R351" s="18"/>
      <c r="S351" s="18"/>
      <c r="T351" s="18"/>
      <c r="U351" s="18"/>
      <c r="V351" s="18"/>
      <c r="W351" s="18"/>
      <c r="X351" s="82"/>
      <c r="Y351" s="82"/>
      <c r="Z351" s="82"/>
      <c r="AA351" s="82"/>
      <c r="AB351" s="82"/>
      <c r="AC351" s="82"/>
      <c r="AD351" s="82"/>
      <c r="AE351" s="82"/>
      <c r="AF351" s="82"/>
      <c r="AG351" s="82"/>
    </row>
    <row r="352" spans="2:33" s="9" customFormat="1">
      <c r="B352" s="82" t="s">
        <v>704</v>
      </c>
      <c r="C352" s="57"/>
      <c r="D352" s="1285"/>
      <c r="E352" s="1285"/>
      <c r="F352" s="1285"/>
      <c r="G352" s="1285"/>
      <c r="H352" s="18"/>
      <c r="I352" s="79"/>
      <c r="J352" s="14"/>
      <c r="K352" s="14"/>
      <c r="L352" s="14"/>
      <c r="M352" s="14"/>
      <c r="N352" s="14"/>
      <c r="O352" s="14"/>
      <c r="P352" s="14"/>
      <c r="Q352" s="14"/>
      <c r="R352" s="18"/>
      <c r="S352" s="18"/>
      <c r="T352" s="18"/>
      <c r="U352" s="18"/>
      <c r="V352" s="18"/>
      <c r="W352" s="18"/>
      <c r="X352" s="82"/>
      <c r="Y352" s="82"/>
      <c r="Z352" s="82"/>
      <c r="AA352" s="82"/>
      <c r="AB352" s="82"/>
      <c r="AC352" s="82"/>
      <c r="AD352" s="82"/>
      <c r="AE352" s="82"/>
      <c r="AF352" s="82"/>
      <c r="AG352" s="82"/>
    </row>
    <row r="353" spans="2:33" s="9" customFormat="1">
      <c r="B353" s="82"/>
      <c r="C353" s="56"/>
      <c r="D353" s="240"/>
      <c r="E353" s="203"/>
      <c r="F353" s="203"/>
      <c r="G353" s="203"/>
      <c r="H353" s="18"/>
      <c r="I353" s="79"/>
      <c r="J353" s="14"/>
      <c r="K353" s="14"/>
      <c r="L353" s="14"/>
      <c r="M353" s="14"/>
      <c r="N353" s="14"/>
      <c r="O353" s="14"/>
      <c r="P353" s="14"/>
      <c r="Q353" s="14"/>
      <c r="R353" s="18"/>
      <c r="S353" s="18"/>
      <c r="T353" s="18"/>
      <c r="U353" s="18"/>
      <c r="V353" s="18"/>
      <c r="W353" s="18"/>
      <c r="X353" s="82"/>
      <c r="Y353" s="82"/>
      <c r="Z353" s="82"/>
      <c r="AA353" s="82"/>
      <c r="AB353" s="82"/>
      <c r="AC353" s="82"/>
      <c r="AD353" s="82"/>
      <c r="AE353" s="82"/>
      <c r="AF353" s="82"/>
      <c r="AG353" s="82"/>
    </row>
    <row r="354" spans="2:33" s="9" customFormat="1">
      <c r="B354" s="82"/>
      <c r="C354" s="202" t="s">
        <v>114</v>
      </c>
      <c r="D354" s="276">
        <f>SUM(E354:G354)</f>
        <v>62555.10493942273</v>
      </c>
      <c r="E354" s="200">
        <v>20575.516311046402</v>
      </c>
      <c r="F354" s="200">
        <v>21751.760703281921</v>
      </c>
      <c r="G354" s="200">
        <v>20227.827925094403</v>
      </c>
      <c r="H354" s="18"/>
      <c r="I354" s="79"/>
      <c r="J354" s="14"/>
      <c r="K354" s="14"/>
      <c r="L354" s="14"/>
      <c r="M354" s="14"/>
      <c r="N354" s="14"/>
      <c r="O354" s="14"/>
      <c r="P354" s="14"/>
      <c r="Q354" s="14"/>
      <c r="R354" s="18"/>
      <c r="S354" s="18"/>
      <c r="T354" s="18"/>
      <c r="U354" s="18"/>
      <c r="V354" s="18"/>
      <c r="W354" s="18"/>
      <c r="X354" s="82"/>
      <c r="Y354" s="82"/>
      <c r="Z354" s="82"/>
      <c r="AA354" s="82"/>
      <c r="AB354" s="82"/>
      <c r="AC354" s="82"/>
      <c r="AD354" s="82"/>
      <c r="AE354" s="82"/>
      <c r="AF354" s="82"/>
      <c r="AG354" s="82"/>
    </row>
    <row r="355" spans="2:33" s="9" customFormat="1">
      <c r="B355" s="82"/>
      <c r="C355" s="57" t="s">
        <v>113</v>
      </c>
      <c r="D355" s="240">
        <f>SUM(E355:G355)</f>
        <v>374705.07860000001</v>
      </c>
      <c r="E355" s="203">
        <v>123247.34269999999</v>
      </c>
      <c r="F355" s="203">
        <v>130293.0466</v>
      </c>
      <c r="G355" s="203">
        <v>121164.6893</v>
      </c>
      <c r="H355" s="18"/>
      <c r="I355" s="79"/>
      <c r="J355" s="14"/>
      <c r="K355" s="14"/>
      <c r="L355" s="14"/>
      <c r="M355" s="14"/>
      <c r="N355" s="14"/>
      <c r="O355" s="14"/>
      <c r="P355" s="14"/>
      <c r="Q355" s="14"/>
      <c r="R355" s="18"/>
      <c r="S355" s="18"/>
      <c r="T355" s="18"/>
      <c r="U355" s="18"/>
      <c r="V355" s="18"/>
      <c r="W355" s="18"/>
      <c r="X355" s="82"/>
      <c r="Y355" s="82"/>
      <c r="Z355" s="82"/>
      <c r="AA355" s="82"/>
      <c r="AB355" s="82"/>
      <c r="AC355" s="82"/>
      <c r="AD355" s="82"/>
      <c r="AE355" s="82"/>
      <c r="AF355" s="82"/>
      <c r="AG355" s="82"/>
    </row>
    <row r="356" spans="2:33" s="9" customFormat="1">
      <c r="B356" s="82"/>
      <c r="C356" s="202" t="s">
        <v>112</v>
      </c>
      <c r="D356" s="276">
        <f>SUM(E356:G356)</f>
        <v>58731.953699999998</v>
      </c>
      <c r="E356" s="200">
        <v>19317.866900000001</v>
      </c>
      <c r="F356" s="200">
        <v>20422.0452</v>
      </c>
      <c r="G356" s="200">
        <v>18992.0416</v>
      </c>
      <c r="H356" s="18"/>
      <c r="I356" s="79"/>
      <c r="J356" s="14"/>
      <c r="K356" s="14"/>
      <c r="L356" s="14"/>
      <c r="M356" s="14"/>
      <c r="N356" s="14"/>
      <c r="O356" s="14"/>
      <c r="P356" s="14"/>
      <c r="Q356" s="14"/>
      <c r="R356" s="18"/>
      <c r="S356" s="18"/>
      <c r="T356" s="18"/>
      <c r="U356" s="18"/>
      <c r="V356" s="18"/>
      <c r="W356" s="18"/>
      <c r="X356" s="82"/>
      <c r="Y356" s="82"/>
      <c r="Z356" s="82"/>
      <c r="AA356" s="82"/>
      <c r="AB356" s="82"/>
      <c r="AC356" s="82"/>
      <c r="AD356" s="82"/>
      <c r="AE356" s="82"/>
      <c r="AF356" s="82"/>
      <c r="AG356" s="82"/>
    </row>
    <row r="357" spans="2:33" s="9" customFormat="1">
      <c r="B357" s="204"/>
      <c r="C357" s="57" t="s">
        <v>111</v>
      </c>
      <c r="D357" s="240">
        <f>SUM(E357:G357)</f>
        <v>315973.1249</v>
      </c>
      <c r="E357" s="203">
        <v>103929.4758</v>
      </c>
      <c r="F357" s="203">
        <v>109871.00139999999</v>
      </c>
      <c r="G357" s="203">
        <v>102172.6477</v>
      </c>
      <c r="H357" s="18"/>
      <c r="I357" s="79"/>
      <c r="J357" s="14"/>
      <c r="K357" s="14"/>
      <c r="L357" s="14"/>
      <c r="M357" s="14"/>
      <c r="N357" s="14"/>
      <c r="O357" s="14"/>
      <c r="P357" s="14"/>
      <c r="Q357" s="14"/>
      <c r="R357" s="18"/>
      <c r="S357" s="18"/>
      <c r="T357" s="18"/>
      <c r="U357" s="18"/>
      <c r="V357" s="18"/>
      <c r="W357" s="18"/>
      <c r="X357" s="82"/>
      <c r="Y357" s="82"/>
      <c r="Z357" s="82"/>
      <c r="AA357" s="82"/>
      <c r="AB357" s="82"/>
      <c r="AC357" s="82"/>
      <c r="AD357" s="82"/>
      <c r="AE357" s="82"/>
      <c r="AF357" s="82"/>
      <c r="AG357" s="82"/>
    </row>
    <row r="358" spans="2:33" s="9" customFormat="1">
      <c r="B358" s="18" t="s">
        <v>705</v>
      </c>
      <c r="C358" s="18"/>
      <c r="D358" s="240"/>
      <c r="E358" s="203"/>
      <c r="F358" s="203"/>
      <c r="G358" s="203"/>
      <c r="H358" s="18"/>
      <c r="I358" s="79"/>
      <c r="J358" s="14"/>
      <c r="K358" s="14"/>
      <c r="L358" s="14"/>
      <c r="M358" s="14"/>
      <c r="N358" s="14"/>
      <c r="O358" s="14"/>
      <c r="P358" s="14"/>
      <c r="Q358" s="14"/>
      <c r="R358" s="18"/>
      <c r="S358" s="18"/>
      <c r="T358" s="18"/>
      <c r="U358" s="18"/>
      <c r="V358" s="18"/>
      <c r="W358" s="18"/>
      <c r="X358" s="82"/>
      <c r="Y358" s="82"/>
      <c r="Z358" s="82"/>
      <c r="AA358" s="82"/>
      <c r="AB358" s="82"/>
      <c r="AC358" s="82"/>
      <c r="AD358" s="82"/>
      <c r="AE358" s="82"/>
      <c r="AF358" s="82"/>
      <c r="AG358" s="82"/>
    </row>
    <row r="359" spans="2:33" s="9" customFormat="1">
      <c r="B359" s="57"/>
      <c r="C359" s="57"/>
      <c r="D359" s="240"/>
      <c r="E359" s="203"/>
      <c r="F359" s="203"/>
      <c r="G359" s="203"/>
      <c r="H359" s="18"/>
      <c r="I359" s="79"/>
      <c r="J359" s="14"/>
      <c r="K359" s="14"/>
      <c r="L359" s="14"/>
      <c r="M359" s="14"/>
      <c r="N359" s="14"/>
      <c r="O359" s="14"/>
      <c r="P359" s="14"/>
      <c r="Q359" s="14"/>
      <c r="R359" s="18"/>
      <c r="S359" s="18"/>
      <c r="T359" s="18"/>
      <c r="U359" s="18"/>
      <c r="V359" s="18"/>
      <c r="W359" s="18"/>
      <c r="X359" s="82"/>
      <c r="Y359" s="82"/>
      <c r="Z359" s="82"/>
      <c r="AA359" s="82"/>
      <c r="AB359" s="82"/>
      <c r="AC359" s="82"/>
      <c r="AD359" s="82"/>
      <c r="AE359" s="82"/>
      <c r="AF359" s="82"/>
      <c r="AG359" s="82"/>
    </row>
    <row r="360" spans="2:33" s="9" customFormat="1">
      <c r="B360" s="82"/>
      <c r="C360" s="202" t="s">
        <v>114</v>
      </c>
      <c r="D360" s="276">
        <f>SUM(E360:G360)</f>
        <v>243717.04122892953</v>
      </c>
      <c r="E360" s="200">
        <v>70129.228228556181</v>
      </c>
      <c r="F360" s="200">
        <v>78324.799589676026</v>
      </c>
      <c r="G360" s="200">
        <v>95263.013410697327</v>
      </c>
      <c r="H360" s="18"/>
      <c r="I360" s="79"/>
      <c r="J360" s="14"/>
      <c r="K360" s="14"/>
      <c r="L360" s="14"/>
      <c r="M360" s="14"/>
      <c r="N360" s="14"/>
      <c r="O360" s="14"/>
      <c r="P360" s="14"/>
      <c r="Q360" s="14"/>
      <c r="R360" s="18"/>
      <c r="S360" s="18"/>
      <c r="T360" s="18"/>
      <c r="U360" s="18"/>
      <c r="V360" s="18"/>
      <c r="W360" s="18"/>
      <c r="X360" s="82"/>
      <c r="Y360" s="82"/>
      <c r="Z360" s="82"/>
      <c r="AA360" s="82"/>
      <c r="AB360" s="82"/>
      <c r="AC360" s="82"/>
      <c r="AD360" s="82"/>
      <c r="AE360" s="82"/>
      <c r="AF360" s="82"/>
      <c r="AG360" s="82"/>
    </row>
    <row r="361" spans="2:33" s="9" customFormat="1">
      <c r="B361" s="57"/>
      <c r="C361" s="78" t="s">
        <v>113</v>
      </c>
      <c r="D361" s="240">
        <f>SUM(E361:G361)</f>
        <v>597106.75109999999</v>
      </c>
      <c r="E361" s="277">
        <v>171816.60920000001</v>
      </c>
      <c r="F361" s="277">
        <v>191895.75899999999</v>
      </c>
      <c r="G361" s="277">
        <v>233394.3829</v>
      </c>
      <c r="H361" s="18"/>
      <c r="I361" s="79"/>
      <c r="J361" s="14"/>
      <c r="K361" s="14"/>
      <c r="L361" s="14"/>
      <c r="M361" s="14"/>
      <c r="N361" s="14"/>
      <c r="O361" s="14"/>
      <c r="P361" s="14"/>
      <c r="Q361" s="14"/>
      <c r="R361" s="18"/>
      <c r="S361" s="18"/>
      <c r="T361" s="18"/>
      <c r="U361" s="18"/>
      <c r="V361" s="18"/>
      <c r="W361" s="18"/>
      <c r="X361" s="82"/>
      <c r="Y361" s="82"/>
      <c r="Z361" s="82"/>
      <c r="AA361" s="82"/>
      <c r="AB361" s="82"/>
      <c r="AC361" s="82"/>
      <c r="AD361" s="82"/>
      <c r="AE361" s="82"/>
      <c r="AF361" s="82"/>
      <c r="AG361" s="82"/>
    </row>
    <row r="362" spans="2:33" s="9" customFormat="1">
      <c r="B362" s="18"/>
      <c r="C362" s="202" t="s">
        <v>112</v>
      </c>
      <c r="D362" s="278">
        <f>SUM(E362:G362)</f>
        <v>226656.84839999996</v>
      </c>
      <c r="E362" s="279">
        <v>65220.1823</v>
      </c>
      <c r="F362" s="279">
        <v>72842.063599999994</v>
      </c>
      <c r="G362" s="279">
        <v>88594.602499999994</v>
      </c>
      <c r="H362" s="18"/>
      <c r="I362" s="79"/>
      <c r="J362" s="14"/>
      <c r="K362" s="14"/>
      <c r="L362" s="14"/>
      <c r="M362" s="14"/>
      <c r="N362" s="14"/>
      <c r="O362" s="14"/>
      <c r="P362" s="14"/>
      <c r="Q362" s="14"/>
      <c r="R362" s="18"/>
      <c r="S362" s="18"/>
      <c r="T362" s="18"/>
      <c r="U362" s="18"/>
      <c r="V362" s="18"/>
      <c r="W362" s="18"/>
      <c r="X362" s="82"/>
      <c r="Y362" s="82"/>
      <c r="Z362" s="82"/>
      <c r="AA362" s="82"/>
      <c r="AB362" s="82"/>
      <c r="AC362" s="82"/>
      <c r="AD362" s="82"/>
      <c r="AE362" s="82"/>
      <c r="AF362" s="82"/>
      <c r="AG362" s="82"/>
    </row>
    <row r="363" spans="2:33" s="9" customFormat="1">
      <c r="B363" s="82"/>
      <c r="C363" s="78" t="s">
        <v>111</v>
      </c>
      <c r="D363" s="240">
        <f>SUM(E363:G363)</f>
        <v>370449.90269999998</v>
      </c>
      <c r="E363" s="277">
        <v>106596.42690000001</v>
      </c>
      <c r="F363" s="277">
        <v>119053.6954</v>
      </c>
      <c r="G363" s="277">
        <v>144799.78039999999</v>
      </c>
      <c r="H363" s="18"/>
      <c r="I363" s="79"/>
      <c r="J363" s="14"/>
      <c r="K363" s="14"/>
      <c r="L363" s="14"/>
      <c r="M363" s="14"/>
      <c r="N363" s="14"/>
      <c r="O363" s="14"/>
      <c r="P363" s="14"/>
      <c r="Q363" s="14"/>
      <c r="R363" s="18"/>
      <c r="S363" s="18"/>
      <c r="T363" s="18"/>
      <c r="U363" s="18"/>
      <c r="V363" s="18"/>
      <c r="W363" s="18"/>
      <c r="X363" s="82"/>
      <c r="Y363" s="82"/>
      <c r="Z363" s="82"/>
      <c r="AA363" s="82"/>
      <c r="AB363" s="82"/>
      <c r="AC363" s="82"/>
      <c r="AD363" s="82"/>
      <c r="AE363" s="82"/>
      <c r="AF363" s="82"/>
      <c r="AG363" s="82"/>
    </row>
    <row r="364" spans="2:33" s="9" customFormat="1">
      <c r="B364" s="82" t="s">
        <v>706</v>
      </c>
      <c r="C364" s="18"/>
      <c r="D364" s="277"/>
      <c r="E364" s="277"/>
      <c r="F364" s="277"/>
      <c r="G364" s="277"/>
      <c r="H364" s="18"/>
      <c r="I364" s="79"/>
      <c r="J364" s="14"/>
      <c r="K364" s="14"/>
      <c r="L364" s="14"/>
      <c r="M364" s="14"/>
      <c r="N364" s="14"/>
      <c r="O364" s="14"/>
      <c r="P364" s="14"/>
      <c r="Q364" s="14"/>
      <c r="R364" s="18"/>
      <c r="S364" s="18"/>
      <c r="T364" s="18"/>
      <c r="U364" s="18"/>
      <c r="V364" s="18"/>
      <c r="W364" s="18"/>
      <c r="X364" s="82"/>
      <c r="Y364" s="82"/>
      <c r="Z364" s="82"/>
      <c r="AA364" s="82"/>
      <c r="AB364" s="82"/>
      <c r="AC364" s="82"/>
      <c r="AD364" s="82"/>
      <c r="AE364" s="82"/>
      <c r="AF364" s="82"/>
      <c r="AG364" s="82"/>
    </row>
    <row r="365" spans="2:33" s="9" customFormat="1">
      <c r="B365" s="18"/>
      <c r="C365" s="18"/>
      <c r="D365" s="277"/>
      <c r="E365" s="277"/>
      <c r="F365" s="277"/>
      <c r="G365" s="277"/>
      <c r="H365" s="18"/>
      <c r="I365" s="18"/>
      <c r="J365" s="18"/>
      <c r="K365" s="18"/>
      <c r="L365" s="18"/>
      <c r="M365" s="18"/>
      <c r="N365" s="18"/>
      <c r="O365" s="18"/>
      <c r="P365" s="18"/>
      <c r="Q365" s="18"/>
      <c r="R365" s="18"/>
      <c r="S365" s="18"/>
      <c r="T365" s="18"/>
      <c r="U365" s="18"/>
      <c r="V365" s="18"/>
      <c r="W365" s="18"/>
      <c r="X365" s="82"/>
      <c r="Y365" s="82"/>
      <c r="Z365" s="82"/>
      <c r="AA365" s="82"/>
      <c r="AB365" s="82"/>
      <c r="AC365" s="82"/>
      <c r="AD365" s="82"/>
      <c r="AE365" s="82"/>
      <c r="AF365" s="82"/>
      <c r="AG365" s="82"/>
    </row>
    <row r="366" spans="2:33" s="9" customFormat="1">
      <c r="B366" s="18"/>
      <c r="C366" s="202" t="s">
        <v>114</v>
      </c>
      <c r="D366" s="278">
        <f>SUM(E366:G366)</f>
        <v>264336.55381006538</v>
      </c>
      <c r="E366" s="278">
        <v>84184.462324666907</v>
      </c>
      <c r="F366" s="278">
        <v>85555.031649910306</v>
      </c>
      <c r="G366" s="278">
        <v>94597.05983548818</v>
      </c>
      <c r="H366" s="18"/>
      <c r="I366" s="18"/>
      <c r="J366" s="18"/>
      <c r="K366" s="18"/>
      <c r="L366" s="18"/>
      <c r="M366" s="18"/>
      <c r="N366" s="18"/>
      <c r="O366" s="18"/>
      <c r="P366" s="18"/>
      <c r="Q366" s="18"/>
      <c r="R366" s="18"/>
      <c r="S366" s="18"/>
      <c r="T366" s="18"/>
      <c r="U366" s="18"/>
      <c r="V366" s="18"/>
      <c r="W366" s="18"/>
      <c r="X366" s="82"/>
      <c r="Y366" s="82"/>
      <c r="Z366" s="82"/>
      <c r="AA366" s="82"/>
      <c r="AB366" s="82"/>
      <c r="AC366" s="82"/>
      <c r="AD366" s="82"/>
      <c r="AE366" s="82"/>
      <c r="AF366" s="82"/>
      <c r="AG366" s="82"/>
    </row>
    <row r="367" spans="2:33" s="87" customFormat="1">
      <c r="B367" s="57"/>
      <c r="C367" s="57" t="s">
        <v>113</v>
      </c>
      <c r="D367" s="280">
        <f>SUM(E367:G367)</f>
        <v>790366.29590000003</v>
      </c>
      <c r="E367" s="280">
        <v>251711.54240000001</v>
      </c>
      <c r="F367" s="280">
        <v>255809.54459999999</v>
      </c>
      <c r="G367" s="280">
        <v>282845.20890000003</v>
      </c>
      <c r="H367" s="197"/>
      <c r="I367" s="197"/>
      <c r="J367" s="197"/>
      <c r="K367" s="197"/>
      <c r="L367" s="197"/>
      <c r="M367" s="197"/>
      <c r="N367" s="197"/>
      <c r="O367" s="197"/>
      <c r="P367" s="198"/>
      <c r="Q367" s="49"/>
      <c r="R367" s="49"/>
      <c r="S367" s="49"/>
      <c r="T367" s="49"/>
      <c r="U367" s="49"/>
      <c r="V367" s="49"/>
      <c r="W367" s="49"/>
    </row>
    <row r="368" spans="2:33" s="87" customFormat="1">
      <c r="B368" s="57"/>
      <c r="C368" s="202" t="s">
        <v>112</v>
      </c>
      <c r="D368" s="281">
        <f>SUM(E368:G368)</f>
        <v>255860.1973</v>
      </c>
      <c r="E368" s="281">
        <v>81496.888600000006</v>
      </c>
      <c r="F368" s="281">
        <v>82828.034</v>
      </c>
      <c r="G368" s="281">
        <v>91535.274699999994</v>
      </c>
      <c r="H368" s="197"/>
      <c r="I368" s="197"/>
      <c r="J368" s="197"/>
      <c r="K368" s="197"/>
      <c r="L368" s="197"/>
      <c r="M368" s="197"/>
      <c r="N368" s="197"/>
      <c r="O368" s="197"/>
      <c r="P368" s="198"/>
      <c r="Q368" s="49"/>
      <c r="R368" s="49"/>
      <c r="S368" s="49"/>
      <c r="T368" s="49"/>
      <c r="U368" s="49"/>
      <c r="V368" s="49"/>
      <c r="W368" s="49"/>
    </row>
    <row r="369" spans="2:33" s="87" customFormat="1">
      <c r="B369" s="57"/>
      <c r="C369" s="57" t="s">
        <v>111</v>
      </c>
      <c r="D369" s="280">
        <f>SUM(E369:G369)</f>
        <v>534506.09849999996</v>
      </c>
      <c r="E369" s="280">
        <v>170214.6537</v>
      </c>
      <c r="F369" s="280">
        <v>172981.51060000001</v>
      </c>
      <c r="G369" s="280">
        <v>191309.93419999999</v>
      </c>
      <c r="H369" s="197"/>
      <c r="I369" s="197"/>
      <c r="J369" s="197"/>
      <c r="K369" s="197"/>
      <c r="L369" s="197"/>
      <c r="M369" s="197"/>
      <c r="N369" s="197"/>
      <c r="O369" s="197"/>
      <c r="P369" s="198"/>
      <c r="Q369" s="49"/>
      <c r="R369" s="49"/>
      <c r="S369" s="49"/>
      <c r="T369" s="49"/>
      <c r="U369" s="49"/>
      <c r="V369" s="49"/>
      <c r="W369" s="49"/>
    </row>
    <row r="370" spans="2:33" s="87" customFormat="1">
      <c r="B370" s="18" t="s">
        <v>707</v>
      </c>
      <c r="C370" s="18"/>
      <c r="D370" s="277"/>
      <c r="E370" s="277"/>
      <c r="F370" s="277"/>
      <c r="G370" s="277"/>
      <c r="H370" s="18"/>
      <c r="I370" s="18"/>
      <c r="J370" s="18"/>
      <c r="K370" s="18"/>
      <c r="L370" s="18"/>
      <c r="M370" s="18"/>
      <c r="N370" s="18"/>
      <c r="O370" s="18"/>
      <c r="P370" s="18"/>
      <c r="Q370" s="18"/>
      <c r="R370" s="18"/>
      <c r="S370" s="18"/>
      <c r="T370" s="18"/>
      <c r="U370" s="18"/>
      <c r="V370" s="18"/>
      <c r="W370" s="18"/>
      <c r="X370" s="82"/>
      <c r="Y370" s="82"/>
      <c r="Z370" s="82"/>
      <c r="AA370" s="82"/>
      <c r="AB370" s="82"/>
      <c r="AC370" s="82"/>
      <c r="AD370" s="82"/>
      <c r="AE370" s="82"/>
      <c r="AF370" s="82"/>
      <c r="AG370" s="82"/>
    </row>
    <row r="371" spans="2:33" s="9" customFormat="1">
      <c r="B371" s="18"/>
      <c r="C371" s="18"/>
      <c r="D371" s="277"/>
      <c r="E371" s="277"/>
      <c r="F371" s="277"/>
      <c r="G371" s="277"/>
      <c r="H371" s="18"/>
      <c r="I371" s="18"/>
      <c r="J371" s="18"/>
      <c r="K371" s="18"/>
      <c r="L371" s="18"/>
      <c r="M371" s="18"/>
      <c r="N371" s="18"/>
      <c r="O371" s="18"/>
      <c r="P371" s="18"/>
      <c r="Q371" s="18"/>
      <c r="R371" s="18"/>
      <c r="S371" s="18"/>
      <c r="T371" s="18"/>
      <c r="U371" s="18"/>
      <c r="V371" s="18"/>
      <c r="W371" s="18"/>
      <c r="X371" s="82"/>
      <c r="Y371" s="82"/>
      <c r="Z371" s="82"/>
      <c r="AA371" s="82"/>
      <c r="AB371" s="82"/>
      <c r="AC371" s="82"/>
      <c r="AD371" s="82"/>
      <c r="AE371" s="82"/>
      <c r="AF371" s="82"/>
      <c r="AG371" s="82"/>
    </row>
    <row r="372" spans="2:33" s="9" customFormat="1">
      <c r="B372" s="18"/>
      <c r="C372" s="202" t="s">
        <v>114</v>
      </c>
      <c r="D372" s="278">
        <f>SUM(E372:G372)</f>
        <v>10543.877736021723</v>
      </c>
      <c r="E372" s="278">
        <v>3191.374073192952</v>
      </c>
      <c r="F372" s="278">
        <v>3058.4683080870236</v>
      </c>
      <c r="G372" s="278">
        <v>4294.0353547417471</v>
      </c>
      <c r="H372" s="18"/>
      <c r="I372" s="18"/>
      <c r="J372" s="18"/>
      <c r="K372" s="18"/>
      <c r="L372" s="18"/>
      <c r="M372" s="18"/>
      <c r="N372" s="18"/>
      <c r="O372" s="18"/>
      <c r="P372" s="18"/>
      <c r="Q372" s="18"/>
      <c r="R372" s="18"/>
      <c r="S372" s="18"/>
      <c r="T372" s="18"/>
      <c r="U372" s="18"/>
      <c r="V372" s="18"/>
      <c r="W372" s="18"/>
      <c r="X372" s="82"/>
      <c r="Y372" s="82"/>
      <c r="Z372" s="82"/>
      <c r="AA372" s="82"/>
      <c r="AB372" s="82"/>
      <c r="AC372" s="82"/>
      <c r="AD372" s="82"/>
      <c r="AE372" s="82"/>
      <c r="AF372" s="82"/>
      <c r="AG372" s="82"/>
    </row>
    <row r="373" spans="2:33" s="9" customFormat="1">
      <c r="B373" s="18"/>
      <c r="C373" s="57" t="s">
        <v>113</v>
      </c>
      <c r="D373" s="277">
        <f>SUM(E373:G373)</f>
        <v>20982.316699999999</v>
      </c>
      <c r="E373" s="277">
        <v>6350.8343999999997</v>
      </c>
      <c r="F373" s="277">
        <v>6086.3518999999997</v>
      </c>
      <c r="G373" s="277">
        <v>8545.1304</v>
      </c>
      <c r="H373" s="18"/>
      <c r="I373" s="18"/>
      <c r="J373" s="18"/>
      <c r="K373" s="18"/>
      <c r="L373" s="18"/>
      <c r="M373" s="18"/>
      <c r="N373" s="18"/>
      <c r="O373" s="18"/>
      <c r="P373" s="18"/>
      <c r="Q373" s="18"/>
      <c r="R373" s="18"/>
      <c r="S373" s="18"/>
      <c r="T373" s="18"/>
      <c r="U373" s="18"/>
      <c r="V373" s="18"/>
      <c r="W373" s="18"/>
      <c r="X373" s="82"/>
      <c r="Y373" s="82"/>
      <c r="Z373" s="82"/>
      <c r="AA373" s="82"/>
      <c r="AB373" s="82"/>
      <c r="AC373" s="82"/>
      <c r="AD373" s="82"/>
      <c r="AE373" s="82"/>
      <c r="AF373" s="82"/>
      <c r="AG373" s="82"/>
    </row>
    <row r="374" spans="2:33" s="9" customFormat="1">
      <c r="B374" s="18"/>
      <c r="C374" s="202" t="s">
        <v>112</v>
      </c>
      <c r="D374" s="278">
        <f>SUM(E374:G374)</f>
        <v>9891.3608000000004</v>
      </c>
      <c r="E374" s="278">
        <v>2990.78</v>
      </c>
      <c r="F374" s="278">
        <v>2874.3899000000001</v>
      </c>
      <c r="G374" s="278">
        <v>4026.1909000000001</v>
      </c>
      <c r="H374" s="18"/>
      <c r="I374" s="18"/>
      <c r="J374" s="18"/>
      <c r="K374" s="18"/>
      <c r="L374" s="18"/>
      <c r="M374" s="18"/>
      <c r="N374" s="18"/>
      <c r="O374" s="18"/>
      <c r="P374" s="18"/>
      <c r="Q374" s="18"/>
      <c r="R374" s="18"/>
      <c r="S374" s="18"/>
      <c r="T374" s="18"/>
      <c r="U374" s="18"/>
      <c r="V374" s="18"/>
      <c r="W374" s="18"/>
      <c r="X374" s="82"/>
      <c r="Y374" s="82"/>
      <c r="Z374" s="82"/>
      <c r="AA374" s="82"/>
      <c r="AB374" s="82"/>
      <c r="AC374" s="82"/>
      <c r="AD374" s="82"/>
      <c r="AE374" s="82"/>
      <c r="AF374" s="82"/>
      <c r="AG374" s="82"/>
    </row>
    <row r="375" spans="2:33" s="9" customFormat="1">
      <c r="B375" s="18"/>
      <c r="C375" s="57" t="s">
        <v>111</v>
      </c>
      <c r="D375" s="277">
        <f>SUM(E375:G375)</f>
        <v>11090.9558</v>
      </c>
      <c r="E375" s="277">
        <v>3360.0544</v>
      </c>
      <c r="F375" s="277">
        <v>3211.962</v>
      </c>
      <c r="G375" s="277">
        <v>4518.9394000000002</v>
      </c>
      <c r="H375" s="18"/>
      <c r="I375" s="18"/>
      <c r="J375" s="18"/>
      <c r="K375" s="18"/>
      <c r="L375" s="18"/>
      <c r="M375" s="18"/>
      <c r="N375" s="18"/>
      <c r="O375" s="18"/>
      <c r="P375" s="18"/>
      <c r="Q375" s="18"/>
      <c r="R375" s="18"/>
      <c r="S375" s="18"/>
      <c r="T375" s="18"/>
      <c r="U375" s="18"/>
      <c r="V375" s="18"/>
      <c r="W375" s="18"/>
      <c r="X375" s="82"/>
      <c r="Y375" s="82"/>
      <c r="Z375" s="82"/>
      <c r="AA375" s="82"/>
      <c r="AB375" s="82"/>
      <c r="AC375" s="82"/>
      <c r="AD375" s="82"/>
      <c r="AE375" s="82"/>
      <c r="AF375" s="82"/>
      <c r="AG375" s="82"/>
    </row>
    <row r="376" spans="2:33" s="9" customFormat="1">
      <c r="B376" s="18"/>
      <c r="C376" s="18"/>
      <c r="D376" s="277"/>
      <c r="E376" s="277"/>
      <c r="F376" s="277"/>
      <c r="G376" s="277"/>
      <c r="H376" s="18"/>
      <c r="I376" s="18"/>
      <c r="J376" s="18"/>
      <c r="K376" s="18"/>
      <c r="L376" s="18"/>
      <c r="M376" s="18"/>
      <c r="N376" s="18"/>
      <c r="O376" s="18"/>
      <c r="P376" s="18"/>
      <c r="Q376" s="18"/>
      <c r="R376" s="18"/>
      <c r="S376" s="18"/>
      <c r="T376" s="18"/>
      <c r="U376" s="18"/>
      <c r="V376" s="18"/>
      <c r="W376" s="18"/>
      <c r="X376" s="82"/>
      <c r="Y376" s="82"/>
      <c r="Z376" s="82"/>
      <c r="AA376" s="82"/>
      <c r="AB376" s="82"/>
      <c r="AC376" s="82"/>
      <c r="AD376" s="82"/>
      <c r="AE376" s="82"/>
      <c r="AF376" s="82"/>
      <c r="AG376" s="82"/>
    </row>
    <row r="377" spans="2:33" s="9" customFormat="1">
      <c r="B377" s="18"/>
      <c r="C377" s="78" t="s">
        <v>110</v>
      </c>
      <c r="D377" s="277">
        <f>SUM(E377:G377)</f>
        <v>3150846.2550999997</v>
      </c>
      <c r="E377" s="277">
        <v>978226.71340000001</v>
      </c>
      <c r="F377" s="277">
        <v>1033472.2425000001</v>
      </c>
      <c r="G377" s="277">
        <v>1139147.2992</v>
      </c>
      <c r="H377" s="18"/>
      <c r="I377" s="18"/>
      <c r="J377" s="18"/>
      <c r="K377" s="18"/>
      <c r="L377" s="18"/>
      <c r="M377" s="18"/>
      <c r="N377" s="18"/>
      <c r="O377" s="18"/>
      <c r="P377" s="18"/>
      <c r="Q377" s="18"/>
      <c r="R377" s="18"/>
      <c r="S377" s="18"/>
      <c r="T377" s="18"/>
      <c r="U377" s="18"/>
      <c r="V377" s="18"/>
      <c r="W377" s="18"/>
      <c r="X377" s="82"/>
      <c r="Y377" s="82"/>
      <c r="Z377" s="82"/>
      <c r="AA377" s="82"/>
      <c r="AB377" s="82"/>
      <c r="AC377" s="82"/>
      <c r="AD377" s="82"/>
      <c r="AE377" s="82"/>
      <c r="AF377" s="82"/>
      <c r="AG377" s="82"/>
    </row>
    <row r="378" spans="2:33" s="9" customFormat="1">
      <c r="B378" s="18"/>
      <c r="C378" s="561" t="s">
        <v>124</v>
      </c>
      <c r="D378" s="278">
        <f>SUM(E378:G378)</f>
        <v>761577.69830000005</v>
      </c>
      <c r="E378" s="278">
        <v>234263.5356</v>
      </c>
      <c r="F378" s="278">
        <v>247860.1249</v>
      </c>
      <c r="G378" s="278">
        <v>279454.03779999999</v>
      </c>
      <c r="H378" s="18"/>
      <c r="I378" s="18"/>
      <c r="J378" s="18"/>
      <c r="K378" s="18"/>
      <c r="L378" s="18"/>
      <c r="M378" s="18"/>
      <c r="N378" s="18"/>
      <c r="O378" s="18"/>
      <c r="P378" s="18"/>
      <c r="Q378" s="18"/>
      <c r="R378" s="18"/>
      <c r="S378" s="18"/>
      <c r="T378" s="18"/>
      <c r="U378" s="18"/>
      <c r="V378" s="18"/>
      <c r="W378" s="18"/>
      <c r="X378" s="82"/>
      <c r="Y378" s="82"/>
      <c r="Z378" s="82"/>
      <c r="AA378" s="82"/>
      <c r="AB378" s="82"/>
      <c r="AC378" s="82"/>
      <c r="AD378" s="82"/>
      <c r="AE378" s="82"/>
      <c r="AF378" s="82"/>
      <c r="AG378" s="82"/>
    </row>
    <row r="379" spans="2:33" s="9" customFormat="1">
      <c r="B379" s="82"/>
      <c r="C379" s="141" t="s">
        <v>506</v>
      </c>
      <c r="D379" s="277">
        <f>SUM(E379:G379)</f>
        <v>2389268.5567999999</v>
      </c>
      <c r="E379" s="277">
        <v>743963.17779999995</v>
      </c>
      <c r="F379" s="277">
        <v>785612.1176</v>
      </c>
      <c r="G379" s="277">
        <v>859693.26139999996</v>
      </c>
      <c r="H379" s="82"/>
      <c r="I379" s="82"/>
      <c r="J379" s="82"/>
      <c r="K379" s="82"/>
      <c r="L379" s="82"/>
      <c r="M379" s="82"/>
      <c r="N379" s="82"/>
      <c r="O379" s="82"/>
      <c r="P379" s="82"/>
      <c r="Q379" s="82"/>
      <c r="R379" s="82"/>
      <c r="S379" s="82"/>
      <c r="T379" s="82"/>
      <c r="U379" s="82"/>
      <c r="V379" s="82"/>
      <c r="W379" s="82"/>
      <c r="X379" s="82"/>
      <c r="Y379" s="82"/>
      <c r="Z379" s="82"/>
      <c r="AA379" s="82"/>
      <c r="AB379" s="82"/>
      <c r="AC379" s="82"/>
      <c r="AD379" s="82"/>
      <c r="AE379" s="82"/>
      <c r="AF379" s="82"/>
      <c r="AG379" s="82"/>
    </row>
    <row r="380" spans="2:33" s="9" customFormat="1">
      <c r="B380" s="82"/>
      <c r="C380" s="82"/>
      <c r="D380" s="277"/>
      <c r="E380" s="277"/>
      <c r="F380" s="277"/>
      <c r="G380" s="277"/>
      <c r="H380" s="82"/>
      <c r="I380" s="82"/>
      <c r="J380" s="82"/>
      <c r="K380" s="82"/>
      <c r="L380" s="82"/>
      <c r="M380" s="82"/>
      <c r="N380" s="82"/>
      <c r="O380" s="82"/>
      <c r="P380" s="82"/>
      <c r="Q380" s="82"/>
      <c r="R380" s="82"/>
      <c r="S380" s="82"/>
      <c r="T380" s="82"/>
      <c r="U380" s="82"/>
      <c r="V380" s="82"/>
      <c r="W380" s="82"/>
      <c r="X380" s="82"/>
      <c r="Y380" s="82"/>
      <c r="Z380" s="82"/>
      <c r="AA380" s="82"/>
      <c r="AB380" s="82"/>
      <c r="AC380" s="82"/>
      <c r="AD380" s="82"/>
      <c r="AE380" s="82"/>
      <c r="AF380" s="82"/>
      <c r="AG380" s="82"/>
    </row>
    <row r="381" spans="2:33" s="9" customFormat="1">
      <c r="B381" s="9" t="s">
        <v>120</v>
      </c>
      <c r="D381" s="136"/>
      <c r="E381" s="136"/>
      <c r="F381" s="136"/>
      <c r="G381" s="136"/>
    </row>
    <row r="382" spans="2:33" s="9" customFormat="1">
      <c r="C382" s="562" t="s">
        <v>370</v>
      </c>
      <c r="D382" s="282">
        <f>SUM(E382:G382)</f>
        <v>278040</v>
      </c>
      <c r="E382" s="282">
        <v>84000</v>
      </c>
      <c r="F382" s="282">
        <v>92400</v>
      </c>
      <c r="G382" s="282">
        <v>101640</v>
      </c>
    </row>
    <row r="383" spans="2:33" s="9" customFormat="1">
      <c r="C383" s="1286" t="s">
        <v>388</v>
      </c>
      <c r="D383" s="1287">
        <f>SUM(E383:G383)</f>
        <v>73575</v>
      </c>
      <c r="E383" s="1287">
        <v>20500</v>
      </c>
      <c r="F383" s="1287">
        <v>27250</v>
      </c>
      <c r="G383" s="1287">
        <v>25825</v>
      </c>
    </row>
    <row r="384" spans="2:33" s="9" customFormat="1">
      <c r="C384" s="562" t="s">
        <v>366</v>
      </c>
      <c r="D384" s="282">
        <f>SUM(E384:G384)</f>
        <v>287639</v>
      </c>
      <c r="E384" s="282">
        <v>86900</v>
      </c>
      <c r="F384" s="282">
        <v>95590</v>
      </c>
      <c r="G384" s="282">
        <v>105149</v>
      </c>
    </row>
    <row r="385" spans="2:7" s="9" customFormat="1">
      <c r="C385" s="1286" t="s">
        <v>83</v>
      </c>
      <c r="D385" s="1287">
        <f>SUM(E385:G385)</f>
        <v>232335</v>
      </c>
      <c r="E385" s="1287">
        <v>67500</v>
      </c>
      <c r="F385" s="1287">
        <v>74925</v>
      </c>
      <c r="G385" s="1287">
        <v>89910</v>
      </c>
    </row>
    <row r="386" spans="2:7" s="9" customFormat="1">
      <c r="C386" s="26"/>
      <c r="D386" s="136"/>
      <c r="E386" s="136"/>
      <c r="F386" s="136"/>
      <c r="G386" s="136"/>
    </row>
    <row r="387" spans="2:7" s="9" customFormat="1">
      <c r="C387" s="1286" t="s">
        <v>108</v>
      </c>
      <c r="D387" s="1287">
        <f>SUM(E387:G387)</f>
        <v>42468.744599999998</v>
      </c>
      <c r="E387" s="1287">
        <v>14156.2482</v>
      </c>
      <c r="F387" s="1287">
        <v>14156.2482</v>
      </c>
      <c r="G387" s="1287">
        <v>14156.2482</v>
      </c>
    </row>
    <row r="388" spans="2:7" s="9" customFormat="1">
      <c r="D388" s="136"/>
      <c r="E388" s="136"/>
      <c r="F388" s="136"/>
      <c r="G388" s="136"/>
    </row>
    <row r="389" spans="2:7" s="9" customFormat="1">
      <c r="C389" s="1286" t="s">
        <v>107</v>
      </c>
      <c r="D389" s="1287">
        <f>SUM(E389:G389)</f>
        <v>948632.74459999986</v>
      </c>
      <c r="E389" s="1287">
        <v>280556.24819999997</v>
      </c>
      <c r="F389" s="1287">
        <v>318571.24819999997</v>
      </c>
      <c r="G389" s="1287">
        <v>349505.24819999997</v>
      </c>
    </row>
    <row r="390" spans="2:7" s="9" customFormat="1">
      <c r="B390" s="26"/>
      <c r="C390" s="26"/>
      <c r="D390" s="136"/>
      <c r="E390" s="136"/>
      <c r="F390" s="136"/>
      <c r="G390" s="136"/>
    </row>
    <row r="391" spans="2:7" s="9" customFormat="1">
      <c r="C391" s="1286" t="s">
        <v>76</v>
      </c>
      <c r="D391" s="1287">
        <f>SUM(E391:G391)</f>
        <v>34575</v>
      </c>
      <c r="E391" s="1287">
        <v>7500</v>
      </c>
      <c r="F391" s="1287">
        <v>14250</v>
      </c>
      <c r="G391" s="1287">
        <v>12825</v>
      </c>
    </row>
    <row r="392" spans="2:7" s="9" customFormat="1">
      <c r="C392" s="562" t="s">
        <v>126</v>
      </c>
      <c r="D392" s="282">
        <f>SUM(E392:G392)</f>
        <v>1440635.8122</v>
      </c>
      <c r="E392" s="282">
        <v>463406.92959999997</v>
      </c>
      <c r="F392" s="282">
        <v>467040.86940000003</v>
      </c>
      <c r="G392" s="282">
        <v>510188.01319999999</v>
      </c>
    </row>
    <row r="393" spans="2:7" s="9" customFormat="1">
      <c r="C393" s="26"/>
      <c r="D393" s="136"/>
      <c r="E393" s="136"/>
      <c r="F393" s="136"/>
      <c r="G393" s="136"/>
    </row>
    <row r="394" spans="2:7" s="9" customFormat="1">
      <c r="C394" s="26"/>
      <c r="D394" s="136"/>
      <c r="E394" s="136"/>
      <c r="F394" s="136"/>
      <c r="G394" s="136"/>
    </row>
    <row r="395" spans="2:7">
      <c r="C395" s="1288" t="s">
        <v>684</v>
      </c>
      <c r="D395" s="1287"/>
      <c r="E395" s="1287">
        <v>197555.1973</v>
      </c>
      <c r="F395" s="1287">
        <v>547835.84950000001</v>
      </c>
      <c r="G395" s="1287">
        <v>930476.85939999996</v>
      </c>
    </row>
    <row r="396" spans="2:7">
      <c r="C396" s="1289" t="s">
        <v>105</v>
      </c>
      <c r="D396" s="282">
        <f>SUM(E396:G396)</f>
        <v>1080476.8594</v>
      </c>
      <c r="E396" s="282">
        <v>347555.1973</v>
      </c>
      <c r="F396" s="282">
        <v>350280.65220000001</v>
      </c>
      <c r="G396" s="282">
        <v>382641.0099</v>
      </c>
    </row>
    <row r="397" spans="2:7">
      <c r="C397" s="1288" t="s">
        <v>116</v>
      </c>
      <c r="D397" s="1287" t="s">
        <v>394</v>
      </c>
      <c r="E397" s="1287" t="s">
        <v>35</v>
      </c>
      <c r="F397" s="1287" t="s">
        <v>34</v>
      </c>
      <c r="G397" s="1287" t="s">
        <v>103</v>
      </c>
    </row>
    <row r="398" spans="2:7">
      <c r="D398" s="136"/>
      <c r="E398" s="136"/>
      <c r="F398" s="136"/>
      <c r="G398" s="136"/>
    </row>
    <row r="399" spans="2:7">
      <c r="D399" s="136"/>
      <c r="E399" s="136"/>
      <c r="F399" s="136"/>
      <c r="G399" s="136"/>
    </row>
    <row r="400" spans="2:7">
      <c r="D400" s="136"/>
      <c r="E400" s="136"/>
      <c r="F400" s="136"/>
      <c r="G400" s="136"/>
    </row>
  </sheetData>
  <sheetProtection algorithmName="SHA-512" hashValue="4rN02XrpAa0ZeSHTzbJkmIxQhRNz/6qjyZCQiI8Hw6IFnpEaa8n7a48p/OqsVH5GTejaFBDs3PgEj6wcOyhzlg==" saltValue="FOtqRQAZfo0bt9zMBCK7XA=="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 activePane="bottomLeft" state="frozen"/>
      <selection activeCell="D50" sqref="D50"/>
      <selection pane="bottomLeft" activeCell="A2" sqref="A2"/>
    </sheetView>
  </sheetViews>
  <sheetFormatPr defaultColWidth="9.140625" defaultRowHeight="11.25"/>
  <cols>
    <col min="1" max="1" width="10.140625" style="497" customWidth="1"/>
    <col min="2" max="2" width="19.42578125" style="497" customWidth="1"/>
    <col min="3" max="3" width="9.5703125" style="497" customWidth="1"/>
    <col min="4" max="4" width="13.42578125" style="497" customWidth="1"/>
    <col min="5" max="5" width="13.5703125" style="497" bestFit="1" customWidth="1"/>
    <col min="6" max="7" width="11.42578125" style="497" customWidth="1"/>
    <col min="8" max="8" width="12" style="497" customWidth="1"/>
    <col min="9" max="9" width="15.42578125" style="497" customWidth="1"/>
    <col min="10" max="10" width="16.42578125" style="497" customWidth="1"/>
    <col min="11" max="11" width="14.5703125" style="497" customWidth="1"/>
    <col min="12" max="12" width="13.140625" style="1059" customWidth="1"/>
    <col min="13" max="13" width="12.42578125" style="497" bestFit="1" customWidth="1"/>
    <col min="14" max="14" width="12" style="497" customWidth="1"/>
    <col min="15" max="15" width="11.140625" style="1059" customWidth="1"/>
    <col min="16" max="16" width="12.5703125" style="1059" customWidth="1"/>
    <col min="17" max="17" width="13.42578125" style="300" customWidth="1"/>
    <col min="18" max="18" width="10.5703125" style="497" customWidth="1"/>
    <col min="19" max="23" width="9.140625" style="497"/>
    <col min="24" max="24" width="10.42578125" style="497" bestFit="1" customWidth="1"/>
    <col min="25" max="16384" width="9.140625" style="497"/>
  </cols>
  <sheetData>
    <row r="1" spans="1:28" s="292" customFormat="1" ht="32.1" customHeight="1">
      <c r="F1" s="440"/>
      <c r="G1" s="440"/>
      <c r="H1" s="440"/>
      <c r="I1" s="1052" t="str">
        <f>"Current Cycle "&amp;CurrentCycle</f>
        <v>Current Cycle 8</v>
      </c>
      <c r="J1" s="1053" t="str">
        <f>"Calculating "&amp;CycleInCalculation</f>
        <v>Calculating 8</v>
      </c>
      <c r="K1" s="1053" t="str">
        <f>"MCS Interation:"&amp;MCSInt</f>
        <v>MCS Interation:0</v>
      </c>
      <c r="L1" s="1054"/>
      <c r="N1" s="440"/>
      <c r="O1" s="1055"/>
      <c r="P1" s="1056"/>
      <c r="Q1" s="300"/>
      <c r="R1" s="293"/>
      <c r="S1" s="293"/>
      <c r="T1" s="293"/>
      <c r="U1" s="293"/>
      <c r="V1" s="293"/>
      <c r="W1" s="293"/>
    </row>
    <row r="2" spans="1:28" s="292" customFormat="1" ht="41.25" customHeight="1">
      <c r="L2" s="1055"/>
      <c r="O2" s="1056"/>
      <c r="P2" s="1056"/>
      <c r="Q2" s="300"/>
      <c r="R2" s="293"/>
      <c r="S2" s="293"/>
      <c r="T2" s="293"/>
      <c r="U2" s="293"/>
      <c r="V2" s="293"/>
      <c r="W2" s="293"/>
      <c r="X2" s="293"/>
      <c r="Y2" s="293"/>
    </row>
    <row r="3" spans="1:28" s="292" customFormat="1" ht="12.75" customHeight="1">
      <c r="L3" s="1056"/>
      <c r="O3" s="1056"/>
      <c r="P3" s="1056"/>
      <c r="Q3" s="300"/>
      <c r="R3" s="293"/>
      <c r="S3" s="293"/>
      <c r="T3" s="293"/>
      <c r="U3" s="293"/>
      <c r="V3" s="293"/>
      <c r="W3" s="293"/>
      <c r="X3" s="293"/>
      <c r="Y3" s="293"/>
    </row>
    <row r="4" spans="1:28" ht="17.25" customHeight="1">
      <c r="A4" s="1057"/>
      <c r="B4" s="300"/>
      <c r="C4" s="1057"/>
      <c r="D4" s="300"/>
      <c r="E4" s="1057"/>
      <c r="F4" s="300"/>
      <c r="G4" s="1057"/>
      <c r="H4" s="300"/>
      <c r="I4" s="1057"/>
      <c r="J4" s="300"/>
      <c r="K4" s="1057"/>
      <c r="L4" s="300"/>
      <c r="M4" s="1057"/>
      <c r="N4" s="300"/>
      <c r="O4" s="1058"/>
      <c r="R4" s="300"/>
      <c r="S4" s="1057"/>
      <c r="T4" s="300"/>
      <c r="U4" s="1057"/>
      <c r="V4" s="300"/>
      <c r="W4" s="1057"/>
      <c r="X4" s="300"/>
      <c r="Y4" s="300"/>
      <c r="Z4" s="300"/>
      <c r="AA4" s="300"/>
    </row>
    <row r="5" spans="1:28" ht="15.75">
      <c r="A5" s="772">
        <v>1</v>
      </c>
      <c r="B5" s="773" t="s">
        <v>190</v>
      </c>
      <c r="C5" s="773"/>
      <c r="D5" s="773"/>
      <c r="E5" s="300"/>
      <c r="F5" s="300"/>
      <c r="G5" s="300"/>
      <c r="H5" s="885"/>
      <c r="I5" s="885"/>
      <c r="J5" s="301"/>
      <c r="K5" s="301"/>
      <c r="L5" s="1060"/>
      <c r="M5" s="300"/>
      <c r="N5" s="300"/>
      <c r="R5" s="300"/>
      <c r="S5" s="300"/>
      <c r="T5" s="300"/>
      <c r="U5" s="300"/>
      <c r="V5" s="300"/>
      <c r="W5" s="300"/>
      <c r="X5" s="300"/>
      <c r="Y5" s="300"/>
      <c r="Z5" s="300"/>
      <c r="AA5" s="300"/>
      <c r="AB5" s="300"/>
    </row>
    <row r="6" spans="1:28">
      <c r="B6" s="300"/>
      <c r="C6" s="300"/>
      <c r="D6" s="300"/>
      <c r="E6" s="300"/>
      <c r="F6" s="300"/>
      <c r="G6" s="304"/>
      <c r="H6" s="300"/>
      <c r="I6" s="300"/>
      <c r="J6" s="300"/>
      <c r="K6" s="300"/>
      <c r="L6" s="1061"/>
      <c r="M6" s="300"/>
      <c r="N6" s="300"/>
      <c r="R6" s="510"/>
      <c r="S6" s="510"/>
      <c r="T6" s="510"/>
      <c r="U6" s="510"/>
      <c r="V6" s="510"/>
      <c r="W6" s="510"/>
      <c r="X6" s="510"/>
      <c r="Y6" s="300"/>
      <c r="Z6" s="300"/>
      <c r="AA6" s="300"/>
      <c r="AB6" s="300"/>
    </row>
    <row r="7" spans="1:28" ht="12" thickBot="1">
      <c r="B7" s="300"/>
      <c r="C7" s="300"/>
      <c r="D7" s="300"/>
      <c r="E7" s="300"/>
      <c r="F7" s="300"/>
      <c r="G7" s="300"/>
      <c r="H7" s="300"/>
      <c r="I7" s="300"/>
      <c r="J7" s="300"/>
      <c r="K7" s="300"/>
      <c r="M7" s="300"/>
      <c r="N7" s="300"/>
      <c r="R7" s="510"/>
      <c r="S7" s="510"/>
      <c r="T7" s="510"/>
      <c r="U7" s="510"/>
      <c r="V7" s="510"/>
      <c r="W7" s="510"/>
      <c r="X7" s="510"/>
      <c r="Y7" s="300"/>
      <c r="Z7" s="300"/>
      <c r="AA7" s="300"/>
      <c r="AB7" s="300"/>
    </row>
    <row r="8" spans="1:28" ht="11.25" customHeight="1">
      <c r="B8" s="1062"/>
      <c r="C8" s="1063"/>
      <c r="D8" s="1063"/>
      <c r="E8" s="1064"/>
      <c r="F8" s="1065" t="s">
        <v>35</v>
      </c>
      <c r="G8" s="1066"/>
      <c r="H8" s="1066"/>
      <c r="I8" s="1066"/>
      <c r="J8" s="1066"/>
      <c r="K8" s="1066"/>
      <c r="L8" s="1066"/>
      <c r="M8" s="1066"/>
      <c r="N8" s="1066"/>
      <c r="O8" s="1067"/>
      <c r="R8" s="300"/>
      <c r="S8" s="300"/>
      <c r="T8" s="300"/>
      <c r="U8" s="300"/>
      <c r="V8" s="300"/>
      <c r="W8" s="300"/>
      <c r="X8" s="300"/>
      <c r="Y8" s="300"/>
      <c r="Z8" s="300"/>
      <c r="AA8" s="300"/>
      <c r="AB8" s="300"/>
    </row>
    <row r="9" spans="1:28" ht="11.25" customHeight="1" thickBot="1">
      <c r="B9" s="1068"/>
      <c r="C9" s="1069"/>
      <c r="D9" s="1070"/>
      <c r="E9" s="1071" t="s">
        <v>467</v>
      </c>
      <c r="F9" s="1072" t="s">
        <v>699</v>
      </c>
      <c r="G9" s="1072" t="s">
        <v>700</v>
      </c>
      <c r="H9" s="1072" t="s">
        <v>701</v>
      </c>
      <c r="I9" s="1072" t="s">
        <v>702</v>
      </c>
      <c r="J9" s="1073" t="s">
        <v>703</v>
      </c>
      <c r="K9" s="1074" t="s">
        <v>704</v>
      </c>
      <c r="L9" s="1074" t="s">
        <v>705</v>
      </c>
      <c r="M9" s="1074" t="s">
        <v>706</v>
      </c>
      <c r="N9" s="1075" t="s">
        <v>707</v>
      </c>
      <c r="O9" s="1076"/>
      <c r="R9" s="300"/>
      <c r="S9" s="300"/>
      <c r="T9" s="300"/>
      <c r="U9" s="300"/>
      <c r="V9" s="300"/>
      <c r="W9" s="300"/>
      <c r="X9" s="300"/>
      <c r="Y9" s="300"/>
      <c r="Z9" s="300"/>
      <c r="AA9" s="300"/>
      <c r="AB9" s="300"/>
    </row>
    <row r="10" spans="1:28" ht="11.25" customHeight="1" thickTop="1">
      <c r="B10" s="1463" t="s">
        <v>113</v>
      </c>
      <c r="C10" s="1464"/>
      <c r="D10" s="1077" t="s">
        <v>50</v>
      </c>
      <c r="E10" s="1078">
        <f>SUM(F10:O10)</f>
        <v>978226.71</v>
      </c>
      <c r="F10" s="508">
        <v>46475.65</v>
      </c>
      <c r="G10" s="508">
        <v>69981.91</v>
      </c>
      <c r="H10" s="508">
        <v>41572.629999999997</v>
      </c>
      <c r="I10" s="508">
        <v>143822.85999999999</v>
      </c>
      <c r="J10" s="508">
        <v>123247.34</v>
      </c>
      <c r="K10" s="508">
        <v>123247.34</v>
      </c>
      <c r="L10" s="508">
        <v>171816.61</v>
      </c>
      <c r="M10" s="508">
        <v>251711.54</v>
      </c>
      <c r="N10" s="508">
        <v>6350.83</v>
      </c>
      <c r="O10" s="1079"/>
      <c r="R10" s="510"/>
      <c r="S10" s="510"/>
      <c r="T10" s="510"/>
      <c r="U10" s="510"/>
      <c r="V10" s="510"/>
      <c r="W10" s="510"/>
      <c r="X10" s="510"/>
      <c r="Y10" s="300"/>
      <c r="Z10" s="300"/>
      <c r="AA10" s="300"/>
      <c r="AB10" s="300"/>
    </row>
    <row r="11" spans="1:28" ht="11.25" customHeight="1">
      <c r="B11" s="1463" t="s">
        <v>112</v>
      </c>
      <c r="C11" s="1464"/>
      <c r="D11" s="1077" t="s">
        <v>50</v>
      </c>
      <c r="E11" s="1078">
        <f>SUM(F11:O11)</f>
        <v>234263.54</v>
      </c>
      <c r="F11" s="508">
        <v>9626.36</v>
      </c>
      <c r="G11" s="508">
        <v>9675.01</v>
      </c>
      <c r="H11" s="508">
        <v>7118.08</v>
      </c>
      <c r="I11" s="508">
        <v>19500.5</v>
      </c>
      <c r="J11" s="508">
        <v>19317.87</v>
      </c>
      <c r="K11" s="508">
        <v>19317.87</v>
      </c>
      <c r="L11" s="508">
        <v>65220.18</v>
      </c>
      <c r="M11" s="508">
        <v>81496.89</v>
      </c>
      <c r="N11" s="508">
        <v>2990.78</v>
      </c>
      <c r="O11" s="1079"/>
      <c r="R11" s="300"/>
      <c r="S11" s="300"/>
      <c r="T11" s="300"/>
      <c r="U11" s="300"/>
      <c r="V11" s="300"/>
      <c r="W11" s="300"/>
      <c r="X11" s="300"/>
      <c r="Y11" s="300"/>
      <c r="Z11" s="300"/>
      <c r="AA11" s="300"/>
      <c r="AB11" s="300"/>
    </row>
    <row r="12" spans="1:28" ht="11.25" customHeight="1">
      <c r="B12" s="1463" t="s">
        <v>129</v>
      </c>
      <c r="C12" s="1464"/>
      <c r="D12" s="1077" t="s">
        <v>50</v>
      </c>
      <c r="E12" s="1080">
        <f>'36-Mo-Fin-Pr'!C71</f>
        <v>273056.25</v>
      </c>
      <c r="F12" s="508"/>
      <c r="G12" s="508"/>
      <c r="H12" s="303"/>
      <c r="I12" s="303"/>
      <c r="J12" s="382"/>
      <c r="K12" s="303"/>
      <c r="L12" s="303"/>
      <c r="M12" s="508"/>
      <c r="N12" s="508"/>
      <c r="O12" s="1079"/>
      <c r="R12" s="300"/>
      <c r="S12" s="300"/>
      <c r="T12" s="300"/>
      <c r="U12" s="300"/>
      <c r="V12" s="300"/>
      <c r="W12" s="300"/>
      <c r="X12" s="300"/>
      <c r="Y12" s="300"/>
      <c r="Z12" s="300"/>
      <c r="AA12" s="300"/>
      <c r="AB12" s="300"/>
    </row>
    <row r="13" spans="1:28" ht="11.25" customHeight="1">
      <c r="B13" s="1081"/>
      <c r="C13" s="1082"/>
      <c r="D13" s="1083"/>
      <c r="E13" s="1084"/>
      <c r="F13" s="508"/>
      <c r="G13" s="508"/>
      <c r="H13" s="303"/>
      <c r="I13" s="303"/>
      <c r="J13" s="382"/>
      <c r="K13" s="303"/>
      <c r="L13" s="303"/>
      <c r="M13" s="508"/>
      <c r="N13" s="508"/>
      <c r="O13" s="1079"/>
      <c r="R13" s="300"/>
      <c r="S13" s="300"/>
      <c r="T13" s="300"/>
      <c r="U13" s="300"/>
      <c r="V13" s="300"/>
      <c r="W13" s="300"/>
      <c r="X13" s="300"/>
      <c r="Y13" s="300"/>
      <c r="Z13" s="300"/>
      <c r="AA13" s="300"/>
      <c r="AB13" s="300"/>
    </row>
    <row r="14" spans="1:28" ht="11.25" customHeight="1">
      <c r="B14" s="1463" t="s">
        <v>179</v>
      </c>
      <c r="C14" s="1464"/>
      <c r="D14" s="1077" t="s">
        <v>50</v>
      </c>
      <c r="E14" s="1078">
        <f>SUM(F14:O14)</f>
        <v>743963.19000000006</v>
      </c>
      <c r="F14" s="508">
        <v>36849.29</v>
      </c>
      <c r="G14" s="508">
        <v>60306.9</v>
      </c>
      <c r="H14" s="508">
        <v>34454.550000000003</v>
      </c>
      <c r="I14" s="508">
        <v>124322.36</v>
      </c>
      <c r="J14" s="508">
        <v>103929.48</v>
      </c>
      <c r="K14" s="1085">
        <v>103929.48</v>
      </c>
      <c r="L14" s="508">
        <v>106596.43</v>
      </c>
      <c r="M14" s="508">
        <v>170214.65</v>
      </c>
      <c r="N14" s="508">
        <v>3360.05</v>
      </c>
      <c r="O14" s="1079"/>
      <c r="R14" s="300"/>
      <c r="S14" s="300"/>
      <c r="T14" s="300"/>
      <c r="U14" s="300"/>
      <c r="V14" s="300"/>
      <c r="W14" s="300"/>
      <c r="X14" s="300"/>
      <c r="Y14" s="300"/>
      <c r="Z14" s="300"/>
      <c r="AA14" s="300"/>
      <c r="AB14" s="300"/>
    </row>
    <row r="15" spans="1:28" ht="11.25" customHeight="1" thickBot="1">
      <c r="B15" s="1465" t="s">
        <v>188</v>
      </c>
      <c r="C15" s="1466"/>
      <c r="D15" s="1086"/>
      <c r="E15" s="1087">
        <f t="shared" ref="E15" si="0">(E10-E11)/E10*100</f>
        <v>76.052224131152585</v>
      </c>
      <c r="F15" s="1088">
        <f>(F10-F11)/F10*100</f>
        <v>79.287304211990588</v>
      </c>
      <c r="G15" s="1088">
        <f>(G10-G11)/G10*100</f>
        <v>86.174984363816307</v>
      </c>
      <c r="H15" s="1088">
        <f>(H10-H11)/H10*100</f>
        <v>82.87796562305536</v>
      </c>
      <c r="I15" s="1088">
        <f>(I10-I11)/I10*100</f>
        <v>86.441307035613107</v>
      </c>
      <c r="J15" s="1088">
        <f>(J10-J11)/J10*100</f>
        <v>84.325933525218474</v>
      </c>
      <c r="K15" s="1088">
        <f>(K10-K11)/K10*100</f>
        <v>84.325933525218474</v>
      </c>
      <c r="L15" s="1088">
        <f>(L10-L11)/L10*100</f>
        <v>62.040817823142945</v>
      </c>
      <c r="M15" s="1088">
        <f>(M10-M11)/M10*100</f>
        <v>67.622902787849938</v>
      </c>
      <c r="N15" s="1088">
        <f>(N10-N11)/N10*100</f>
        <v>52.907257791501259</v>
      </c>
      <c r="O15" s="1089"/>
      <c r="R15" s="300"/>
      <c r="S15" s="300"/>
      <c r="T15" s="300"/>
      <c r="U15" s="300"/>
      <c r="V15" s="300"/>
      <c r="W15" s="300"/>
      <c r="X15" s="300"/>
      <c r="Y15" s="300"/>
      <c r="Z15" s="300"/>
      <c r="AA15" s="300"/>
      <c r="AB15" s="300"/>
    </row>
    <row r="16" spans="1:28" ht="11.25" customHeight="1" thickBot="1">
      <c r="B16" s="300"/>
      <c r="C16" s="300"/>
      <c r="D16" s="300"/>
      <c r="E16" s="1090"/>
      <c r="F16" s="300"/>
      <c r="G16" s="1090"/>
      <c r="H16" s="300"/>
      <c r="I16" s="300"/>
      <c r="J16" s="300"/>
      <c r="K16" s="300"/>
      <c r="M16" s="300"/>
      <c r="N16" s="300"/>
      <c r="R16" s="300"/>
      <c r="S16" s="300"/>
      <c r="T16" s="300"/>
      <c r="U16" s="300"/>
      <c r="V16" s="300"/>
      <c r="W16" s="300"/>
      <c r="X16" s="300"/>
      <c r="Y16" s="300"/>
      <c r="Z16" s="300"/>
      <c r="AA16" s="300"/>
      <c r="AB16" s="300"/>
    </row>
    <row r="17" spans="2:29" ht="11.25" customHeight="1">
      <c r="C17" s="1471" t="s">
        <v>187</v>
      </c>
      <c r="D17" s="1472"/>
      <c r="E17" s="1091" t="s">
        <v>174</v>
      </c>
      <c r="F17" s="1092">
        <f>J17</f>
        <v>4.4043509733324306</v>
      </c>
      <c r="G17" s="301"/>
      <c r="H17" s="1093" t="s">
        <v>187</v>
      </c>
      <c r="I17" s="1093" t="s">
        <v>174</v>
      </c>
      <c r="J17" s="1094">
        <f>E12/E14*12</f>
        <v>4.4043509733324306</v>
      </c>
      <c r="K17" s="1095" t="s">
        <v>186</v>
      </c>
      <c r="L17" s="1096"/>
      <c r="M17" s="1097"/>
      <c r="N17" s="300"/>
      <c r="R17" s="300"/>
      <c r="S17" s="300"/>
      <c r="T17" s="300"/>
      <c r="U17" s="300"/>
      <c r="V17" s="300"/>
      <c r="W17" s="300"/>
      <c r="X17" s="300"/>
      <c r="Y17" s="300"/>
      <c r="Z17" s="300"/>
      <c r="AA17" s="300"/>
      <c r="AB17" s="300"/>
      <c r="AC17" s="300"/>
    </row>
    <row r="18" spans="2:29">
      <c r="C18" s="1473"/>
      <c r="D18" s="1474"/>
      <c r="E18" s="1098" t="s">
        <v>172</v>
      </c>
      <c r="F18" s="1099">
        <f>J18</f>
        <v>359037.82317938871</v>
      </c>
      <c r="G18" s="301"/>
      <c r="H18" s="1100"/>
      <c r="I18" s="1093" t="s">
        <v>172</v>
      </c>
      <c r="J18" s="1101">
        <f>E12/E15*100</f>
        <v>359037.82317938871</v>
      </c>
      <c r="K18" s="1095" t="s">
        <v>185</v>
      </c>
      <c r="L18" s="1102"/>
      <c r="M18" s="1097"/>
      <c r="N18" s="300"/>
      <c r="R18" s="300"/>
      <c r="S18" s="300"/>
      <c r="T18" s="300"/>
      <c r="U18" s="300"/>
      <c r="V18" s="300"/>
      <c r="W18" s="300"/>
      <c r="X18" s="300"/>
      <c r="Y18" s="300"/>
      <c r="Z18" s="300"/>
      <c r="AA18" s="300"/>
      <c r="AB18" s="300"/>
      <c r="AC18" s="300"/>
    </row>
    <row r="19" spans="2:29">
      <c r="C19" s="1475"/>
      <c r="D19" s="1476"/>
      <c r="E19" s="1476"/>
      <c r="F19" s="1477"/>
      <c r="G19" s="301"/>
      <c r="H19" s="300"/>
      <c r="I19" s="300"/>
      <c r="J19" s="300"/>
      <c r="K19" s="300"/>
      <c r="M19" s="899"/>
      <c r="N19" s="300"/>
      <c r="R19" s="300"/>
      <c r="S19" s="300"/>
      <c r="T19" s="300"/>
      <c r="U19" s="300"/>
      <c r="V19" s="300"/>
      <c r="W19" s="300"/>
      <c r="X19" s="300"/>
      <c r="Y19" s="300"/>
      <c r="Z19" s="300"/>
      <c r="AA19" s="300"/>
      <c r="AB19" s="300"/>
      <c r="AC19" s="300"/>
    </row>
    <row r="20" spans="2:29">
      <c r="C20" s="1469" t="s">
        <v>184</v>
      </c>
      <c r="D20" s="1470"/>
      <c r="E20" s="1103">
        <v>0</v>
      </c>
      <c r="F20" s="1104">
        <f>J17</f>
        <v>4.4043509733324306</v>
      </c>
      <c r="G20" s="301"/>
      <c r="H20" s="300"/>
      <c r="I20" s="300"/>
      <c r="J20" s="300"/>
      <c r="K20" s="300"/>
      <c r="L20" s="1105"/>
      <c r="M20" s="1090"/>
      <c r="N20" s="1090"/>
      <c r="R20" s="300"/>
      <c r="S20" s="300"/>
      <c r="T20" s="300"/>
      <c r="U20" s="300"/>
      <c r="V20" s="300"/>
      <c r="W20" s="300"/>
      <c r="X20" s="300"/>
      <c r="Y20" s="300"/>
      <c r="Z20" s="300"/>
      <c r="AA20" s="300"/>
      <c r="AB20" s="300"/>
      <c r="AC20" s="300"/>
    </row>
    <row r="21" spans="2:29">
      <c r="C21" s="1469" t="s">
        <v>183</v>
      </c>
      <c r="D21" s="1470"/>
      <c r="E21" s="1106">
        <f>E12</f>
        <v>273056.25</v>
      </c>
      <c r="F21" s="1099">
        <f>E12</f>
        <v>273056.25</v>
      </c>
      <c r="G21" s="301"/>
      <c r="H21" s="300"/>
      <c r="I21" s="300"/>
      <c r="J21" s="300"/>
      <c r="K21" s="300"/>
      <c r="M21" s="300"/>
      <c r="N21" s="300"/>
      <c r="R21" s="300"/>
      <c r="S21" s="300"/>
      <c r="T21" s="300"/>
      <c r="U21" s="300"/>
      <c r="V21" s="300"/>
      <c r="W21" s="300"/>
      <c r="X21" s="300"/>
      <c r="Y21" s="300"/>
      <c r="Z21" s="300"/>
      <c r="AA21" s="300"/>
      <c r="AB21" s="300"/>
      <c r="AC21" s="300"/>
    </row>
    <row r="22" spans="2:29">
      <c r="C22" s="1469" t="s">
        <v>182</v>
      </c>
      <c r="D22" s="1470"/>
      <c r="E22" s="1107">
        <v>0</v>
      </c>
      <c r="F22" s="1108">
        <f>J18</f>
        <v>359037.82317938871</v>
      </c>
      <c r="G22" s="1109"/>
      <c r="H22" s="1110"/>
      <c r="I22" s="1110"/>
      <c r="J22" s="1110"/>
      <c r="K22" s="300"/>
      <c r="L22" s="1111"/>
      <c r="M22" s="1110"/>
      <c r="N22" s="1110"/>
      <c r="O22" s="1111"/>
      <c r="R22" s="300"/>
      <c r="S22" s="300"/>
      <c r="T22" s="300"/>
      <c r="U22" s="300"/>
      <c r="V22" s="300"/>
      <c r="W22" s="300"/>
      <c r="X22" s="300"/>
      <c r="Y22" s="300"/>
      <c r="Z22" s="300"/>
      <c r="AA22" s="300"/>
      <c r="AB22" s="300"/>
      <c r="AC22" s="300"/>
    </row>
    <row r="23" spans="2:29" ht="11.25" customHeight="1" thickBot="1">
      <c r="C23" s="1467" t="s">
        <v>181</v>
      </c>
      <c r="D23" s="1468"/>
      <c r="E23" s="1112">
        <f>E21</f>
        <v>273056.25</v>
      </c>
      <c r="F23" s="1113">
        <f>J18</f>
        <v>359037.82317938871</v>
      </c>
      <c r="G23" s="301"/>
      <c r="H23" s="300"/>
      <c r="I23" s="300"/>
      <c r="J23" s="300"/>
      <c r="K23" s="300"/>
      <c r="M23" s="300"/>
      <c r="N23" s="1110"/>
      <c r="R23" s="300"/>
      <c r="S23" s="300"/>
      <c r="T23" s="300"/>
      <c r="U23" s="300"/>
      <c r="V23" s="300"/>
      <c r="W23" s="300"/>
      <c r="X23" s="300"/>
      <c r="Y23" s="300"/>
      <c r="Z23" s="300"/>
      <c r="AA23" s="300"/>
      <c r="AB23" s="300"/>
      <c r="AC23" s="300"/>
    </row>
    <row r="24" spans="2:29">
      <c r="C24" s="301"/>
      <c r="D24" s="301"/>
      <c r="E24" s="301"/>
      <c r="F24" s="301"/>
      <c r="G24" s="301"/>
      <c r="H24" s="300"/>
      <c r="I24" s="300"/>
      <c r="J24" s="300"/>
      <c r="K24" s="300"/>
      <c r="M24" s="300"/>
      <c r="N24" s="300"/>
      <c r="R24" s="300"/>
      <c r="S24" s="300"/>
      <c r="T24" s="300"/>
      <c r="U24" s="300"/>
      <c r="V24" s="300"/>
      <c r="W24" s="300"/>
      <c r="X24" s="300"/>
      <c r="Y24" s="300"/>
      <c r="Z24" s="300"/>
      <c r="AA24" s="300"/>
      <c r="AB24" s="300"/>
      <c r="AC24" s="300"/>
    </row>
    <row r="25" spans="2:29">
      <c r="B25" s="300"/>
      <c r="C25" s="300"/>
      <c r="D25" s="300"/>
      <c r="E25" s="300"/>
      <c r="F25" s="300"/>
      <c r="G25" s="300"/>
      <c r="H25" s="300"/>
      <c r="I25" s="300"/>
      <c r="J25" s="300"/>
      <c r="K25" s="300"/>
      <c r="M25" s="300"/>
      <c r="N25" s="300"/>
      <c r="R25" s="300"/>
      <c r="S25" s="300"/>
      <c r="T25" s="300"/>
      <c r="U25" s="300"/>
      <c r="V25" s="300"/>
      <c r="W25" s="300"/>
      <c r="X25" s="300"/>
      <c r="Y25" s="300"/>
      <c r="Z25" s="300"/>
      <c r="AA25" s="300"/>
      <c r="AB25" s="300"/>
    </row>
    <row r="26" spans="2:29">
      <c r="B26" s="300"/>
      <c r="C26" s="300"/>
      <c r="D26" s="300"/>
      <c r="E26" s="300"/>
      <c r="F26" s="300"/>
      <c r="G26" s="300"/>
      <c r="H26" s="300"/>
      <c r="I26" s="300"/>
      <c r="J26" s="300"/>
      <c r="K26" s="300"/>
      <c r="M26" s="300"/>
      <c r="N26" s="300"/>
      <c r="R26" s="300"/>
      <c r="S26" s="300"/>
      <c r="T26" s="300"/>
      <c r="U26" s="300"/>
      <c r="V26" s="300"/>
      <c r="W26" s="300"/>
      <c r="X26" s="300"/>
      <c r="Y26" s="300"/>
      <c r="Z26" s="300"/>
      <c r="AA26" s="300"/>
      <c r="AB26" s="300"/>
    </row>
    <row r="27" spans="2:29">
      <c r="B27" s="300"/>
      <c r="C27" s="300"/>
      <c r="D27" s="300"/>
      <c r="E27" s="300"/>
      <c r="F27" s="300"/>
      <c r="G27" s="300"/>
      <c r="H27" s="300"/>
      <c r="I27" s="300"/>
      <c r="J27" s="300"/>
      <c r="K27" s="300"/>
      <c r="M27" s="300"/>
      <c r="N27" s="300"/>
      <c r="R27" s="300"/>
      <c r="S27" s="300"/>
      <c r="T27" s="300"/>
      <c r="U27" s="300"/>
      <c r="V27" s="300"/>
      <c r="W27" s="300"/>
      <c r="X27" s="300"/>
      <c r="Y27" s="300"/>
      <c r="Z27" s="300"/>
      <c r="AA27" s="300"/>
      <c r="AB27" s="300"/>
    </row>
    <row r="28" spans="2:29">
      <c r="B28" s="300"/>
      <c r="C28" s="300"/>
      <c r="D28" s="300"/>
      <c r="E28" s="300"/>
      <c r="F28" s="300"/>
      <c r="G28" s="300"/>
      <c r="H28" s="300"/>
      <c r="I28" s="300"/>
      <c r="J28" s="300"/>
      <c r="K28" s="300"/>
      <c r="M28" s="300"/>
      <c r="N28" s="300"/>
      <c r="R28" s="300"/>
      <c r="S28" s="300"/>
      <c r="T28" s="300"/>
      <c r="U28" s="300"/>
      <c r="V28" s="300"/>
      <c r="W28" s="300"/>
      <c r="X28" s="300"/>
      <c r="Y28" s="300"/>
      <c r="Z28" s="300"/>
      <c r="AA28" s="300"/>
      <c r="AB28" s="300"/>
    </row>
    <row r="29" spans="2:29">
      <c r="B29" s="300"/>
      <c r="C29" s="300"/>
      <c r="D29" s="300"/>
      <c r="E29" s="300"/>
      <c r="F29" s="300"/>
      <c r="G29" s="300"/>
      <c r="H29" s="300"/>
      <c r="I29" s="300"/>
      <c r="J29" s="300"/>
      <c r="K29" s="300"/>
      <c r="M29" s="300"/>
      <c r="N29" s="300"/>
      <c r="R29" s="300"/>
      <c r="S29" s="300"/>
      <c r="T29" s="300"/>
      <c r="U29" s="300"/>
      <c r="V29" s="300"/>
      <c r="W29" s="300"/>
      <c r="X29" s="300"/>
      <c r="Y29" s="300"/>
      <c r="Z29" s="300"/>
      <c r="AA29" s="300"/>
      <c r="AB29" s="300"/>
    </row>
    <row r="30" spans="2:29">
      <c r="B30" s="300"/>
      <c r="C30" s="300"/>
      <c r="D30" s="300"/>
      <c r="E30" s="300"/>
      <c r="F30" s="300"/>
      <c r="G30" s="300"/>
      <c r="H30" s="300"/>
      <c r="I30" s="300"/>
      <c r="J30" s="300"/>
      <c r="K30" s="300"/>
      <c r="M30" s="300"/>
      <c r="N30" s="300"/>
      <c r="R30" s="300"/>
      <c r="S30" s="300"/>
      <c r="T30" s="300"/>
      <c r="U30" s="300"/>
      <c r="V30" s="300"/>
      <c r="W30" s="300"/>
      <c r="X30" s="300"/>
      <c r="Y30" s="300"/>
      <c r="Z30" s="300"/>
      <c r="AA30" s="300"/>
      <c r="AB30" s="300"/>
    </row>
    <row r="31" spans="2:29">
      <c r="B31" s="300"/>
      <c r="C31" s="300"/>
      <c r="D31" s="300"/>
      <c r="E31" s="300"/>
      <c r="F31" s="300"/>
      <c r="G31" s="300"/>
      <c r="H31" s="300"/>
      <c r="I31" s="300"/>
      <c r="J31" s="300"/>
      <c r="K31" s="300"/>
      <c r="M31" s="300"/>
      <c r="N31" s="300"/>
      <c r="R31" s="300"/>
      <c r="S31" s="300"/>
      <c r="T31" s="300"/>
      <c r="U31" s="300"/>
      <c r="V31" s="300"/>
      <c r="W31" s="300"/>
      <c r="X31" s="300"/>
      <c r="Y31" s="300"/>
      <c r="Z31" s="300"/>
      <c r="AA31" s="300"/>
      <c r="AB31" s="300"/>
    </row>
    <row r="32" spans="2:29">
      <c r="B32" s="300"/>
      <c r="C32" s="300"/>
      <c r="D32" s="300"/>
      <c r="E32" s="300"/>
      <c r="F32" s="300"/>
      <c r="G32" s="300"/>
      <c r="H32" s="300"/>
      <c r="I32" s="300"/>
      <c r="J32" s="300"/>
      <c r="K32" s="300"/>
      <c r="M32" s="300"/>
      <c r="N32" s="300"/>
      <c r="R32" s="300"/>
      <c r="S32" s="300"/>
      <c r="T32" s="300"/>
      <c r="U32" s="300"/>
      <c r="V32" s="300"/>
      <c r="W32" s="300"/>
      <c r="X32" s="300"/>
      <c r="Y32" s="300"/>
      <c r="Z32" s="300"/>
      <c r="AA32" s="300"/>
      <c r="AB32" s="300"/>
    </row>
    <row r="33" spans="2:28">
      <c r="B33" s="300"/>
      <c r="C33" s="300"/>
      <c r="D33" s="300"/>
      <c r="E33" s="300"/>
      <c r="F33" s="300"/>
      <c r="G33" s="300"/>
      <c r="H33" s="300"/>
      <c r="I33" s="300"/>
      <c r="J33" s="300"/>
      <c r="K33" s="300"/>
      <c r="M33" s="300"/>
      <c r="N33" s="300"/>
      <c r="R33" s="300"/>
      <c r="S33" s="300"/>
      <c r="T33" s="300"/>
      <c r="U33" s="300"/>
      <c r="V33" s="300"/>
      <c r="W33" s="300"/>
      <c r="X33" s="300"/>
      <c r="Y33" s="300"/>
      <c r="Z33" s="300"/>
      <c r="AA33" s="300"/>
      <c r="AB33" s="300"/>
    </row>
    <row r="34" spans="2:28">
      <c r="B34" s="300"/>
      <c r="C34" s="300"/>
      <c r="D34" s="300"/>
      <c r="E34" s="300"/>
      <c r="F34" s="300"/>
      <c r="G34" s="300"/>
      <c r="H34" s="300"/>
      <c r="I34" s="300"/>
      <c r="J34" s="300"/>
      <c r="K34" s="300"/>
      <c r="M34" s="300"/>
      <c r="N34" s="300"/>
      <c r="R34" s="300"/>
      <c r="S34" s="300"/>
      <c r="T34" s="300"/>
      <c r="U34" s="300"/>
      <c r="V34" s="300"/>
      <c r="W34" s="300"/>
      <c r="X34" s="300"/>
      <c r="Y34" s="300"/>
      <c r="Z34" s="300"/>
      <c r="AA34" s="300"/>
      <c r="AB34" s="300"/>
    </row>
    <row r="35" spans="2:28">
      <c r="B35" s="300"/>
      <c r="C35" s="300"/>
      <c r="D35" s="300"/>
      <c r="E35" s="300"/>
      <c r="F35" s="300"/>
      <c r="G35" s="300"/>
      <c r="H35" s="300"/>
      <c r="I35" s="300"/>
      <c r="J35" s="300"/>
      <c r="K35" s="300"/>
      <c r="M35" s="300"/>
      <c r="N35" s="300"/>
      <c r="R35" s="300"/>
      <c r="S35" s="300"/>
      <c r="T35" s="300"/>
      <c r="U35" s="300"/>
      <c r="V35" s="300"/>
      <c r="W35" s="300"/>
      <c r="X35" s="300"/>
      <c r="Y35" s="300"/>
      <c r="Z35" s="300"/>
      <c r="AA35" s="300"/>
      <c r="AB35" s="300"/>
    </row>
    <row r="36" spans="2:28">
      <c r="B36" s="300"/>
      <c r="C36" s="300"/>
      <c r="D36" s="300"/>
      <c r="E36" s="300"/>
      <c r="F36" s="300"/>
      <c r="G36" s="300"/>
      <c r="H36" s="300"/>
      <c r="I36" s="300"/>
      <c r="J36" s="300"/>
      <c r="K36" s="300"/>
      <c r="M36" s="300"/>
      <c r="N36" s="300"/>
      <c r="R36" s="300"/>
      <c r="S36" s="300"/>
      <c r="T36" s="300"/>
      <c r="U36" s="300"/>
      <c r="V36" s="300"/>
      <c r="W36" s="300"/>
      <c r="X36" s="300"/>
      <c r="Y36" s="300"/>
      <c r="Z36" s="300"/>
      <c r="AA36" s="300"/>
      <c r="AB36" s="300"/>
    </row>
    <row r="37" spans="2:28">
      <c r="B37" s="300"/>
      <c r="C37" s="300"/>
      <c r="D37" s="300"/>
      <c r="E37" s="300"/>
      <c r="F37" s="300"/>
      <c r="G37" s="300"/>
      <c r="H37" s="300"/>
      <c r="I37" s="300"/>
      <c r="J37" s="300"/>
      <c r="K37" s="300"/>
      <c r="M37" s="300"/>
      <c r="N37" s="300"/>
      <c r="R37" s="300"/>
      <c r="S37" s="300"/>
      <c r="T37" s="300"/>
      <c r="U37" s="300"/>
      <c r="V37" s="300"/>
      <c r="W37" s="300"/>
      <c r="X37" s="300"/>
      <c r="Y37" s="300"/>
      <c r="Z37" s="300"/>
      <c r="AA37" s="300"/>
      <c r="AB37" s="300"/>
    </row>
    <row r="38" spans="2:28">
      <c r="B38" s="300"/>
      <c r="C38" s="300"/>
      <c r="D38" s="300"/>
      <c r="E38" s="300"/>
      <c r="F38" s="300"/>
      <c r="G38" s="300"/>
      <c r="H38" s="300"/>
      <c r="I38" s="300"/>
      <c r="J38" s="300"/>
      <c r="K38" s="300"/>
      <c r="M38" s="300"/>
      <c r="N38" s="300"/>
      <c r="R38" s="300"/>
      <c r="S38" s="300"/>
      <c r="T38" s="300"/>
      <c r="U38" s="300"/>
      <c r="V38" s="300"/>
      <c r="W38" s="300"/>
      <c r="X38" s="300"/>
      <c r="Y38" s="300"/>
      <c r="Z38" s="300"/>
      <c r="AA38" s="300"/>
      <c r="AB38" s="300"/>
    </row>
    <row r="39" spans="2:28">
      <c r="B39" s="300"/>
      <c r="C39" s="300"/>
      <c r="D39" s="300"/>
      <c r="E39" s="300"/>
      <c r="F39" s="300"/>
      <c r="G39" s="300"/>
      <c r="H39" s="300"/>
      <c r="I39" s="300"/>
      <c r="J39" s="300"/>
      <c r="K39" s="300"/>
      <c r="M39" s="300"/>
      <c r="N39" s="300"/>
      <c r="R39" s="300"/>
      <c r="S39" s="300"/>
      <c r="T39" s="300"/>
      <c r="U39" s="300"/>
      <c r="V39" s="300"/>
      <c r="W39" s="300"/>
      <c r="X39" s="300"/>
      <c r="Y39" s="300"/>
      <c r="Z39" s="300"/>
      <c r="AA39" s="300"/>
      <c r="AB39" s="300"/>
    </row>
    <row r="40" spans="2:28">
      <c r="B40" s="300"/>
      <c r="C40" s="300"/>
      <c r="D40" s="300"/>
      <c r="E40" s="300"/>
      <c r="F40" s="300"/>
      <c r="G40" s="300"/>
      <c r="H40" s="300"/>
      <c r="I40" s="300"/>
      <c r="J40" s="300"/>
      <c r="K40" s="300"/>
      <c r="M40" s="300"/>
      <c r="N40" s="300"/>
      <c r="R40" s="300"/>
      <c r="S40" s="300"/>
      <c r="T40" s="300"/>
      <c r="U40" s="300"/>
      <c r="V40" s="300"/>
      <c r="W40" s="300"/>
      <c r="X40" s="300"/>
      <c r="Y40" s="300"/>
      <c r="Z40" s="300"/>
      <c r="AA40" s="300"/>
      <c r="AB40" s="300"/>
    </row>
    <row r="41" spans="2:28">
      <c r="B41" s="300"/>
      <c r="C41" s="300"/>
      <c r="D41" s="300"/>
      <c r="E41" s="300"/>
      <c r="F41" s="300"/>
      <c r="G41" s="300"/>
      <c r="H41" s="300"/>
      <c r="I41" s="300"/>
      <c r="J41" s="300"/>
      <c r="K41" s="300"/>
      <c r="M41" s="300"/>
      <c r="N41" s="300"/>
      <c r="R41" s="300"/>
      <c r="S41" s="300"/>
      <c r="T41" s="300"/>
      <c r="U41" s="300"/>
      <c r="V41" s="300"/>
      <c r="W41" s="300"/>
      <c r="X41" s="300"/>
      <c r="Y41" s="300"/>
      <c r="Z41" s="300"/>
      <c r="AA41" s="300"/>
      <c r="AB41" s="300"/>
    </row>
    <row r="42" spans="2:28">
      <c r="B42" s="300"/>
      <c r="C42" s="300"/>
      <c r="D42" s="300"/>
      <c r="E42" s="300"/>
      <c r="F42" s="300"/>
      <c r="G42" s="300"/>
      <c r="H42" s="300"/>
      <c r="I42" s="300"/>
      <c r="J42" s="300"/>
      <c r="K42" s="300"/>
      <c r="M42" s="300"/>
      <c r="N42" s="300"/>
      <c r="R42" s="300"/>
      <c r="S42" s="300"/>
      <c r="T42" s="300"/>
      <c r="U42" s="300"/>
      <c r="V42" s="300"/>
      <c r="W42" s="300"/>
      <c r="X42" s="300"/>
      <c r="Y42" s="300"/>
      <c r="Z42" s="300"/>
      <c r="AA42" s="300"/>
      <c r="AB42" s="300"/>
    </row>
    <row r="43" spans="2:28">
      <c r="B43" s="300"/>
      <c r="C43" s="300"/>
      <c r="D43" s="300"/>
      <c r="E43" s="300"/>
      <c r="F43" s="300"/>
      <c r="G43" s="300"/>
      <c r="H43" s="300"/>
      <c r="I43" s="300"/>
      <c r="J43" s="300"/>
      <c r="K43" s="300"/>
      <c r="M43" s="300"/>
      <c r="N43" s="300"/>
      <c r="R43" s="300"/>
      <c r="S43" s="300"/>
      <c r="T43" s="300"/>
      <c r="U43" s="300"/>
      <c r="V43" s="300"/>
      <c r="W43" s="300"/>
      <c r="X43" s="300"/>
      <c r="Y43" s="300"/>
      <c r="Z43" s="300"/>
      <c r="AA43" s="300"/>
      <c r="AB43" s="300"/>
    </row>
    <row r="44" spans="2:28">
      <c r="B44" s="300"/>
      <c r="C44" s="300"/>
      <c r="D44" s="300"/>
      <c r="E44" s="300"/>
      <c r="F44" s="300"/>
      <c r="G44" s="300"/>
      <c r="H44" s="300"/>
      <c r="I44" s="300"/>
      <c r="J44" s="300"/>
      <c r="K44" s="300"/>
      <c r="M44" s="300"/>
      <c r="N44" s="300"/>
      <c r="R44" s="300"/>
      <c r="S44" s="300"/>
      <c r="T44" s="300"/>
      <c r="U44" s="300"/>
      <c r="V44" s="300"/>
      <c r="W44" s="300"/>
      <c r="X44" s="300"/>
      <c r="Y44" s="300"/>
      <c r="Z44" s="300"/>
      <c r="AA44" s="300"/>
      <c r="AB44" s="300"/>
    </row>
    <row r="45" spans="2:28">
      <c r="B45" s="300"/>
      <c r="C45" s="300"/>
      <c r="D45" s="300"/>
      <c r="E45" s="300"/>
      <c r="F45" s="300"/>
      <c r="G45" s="300"/>
      <c r="H45" s="300"/>
      <c r="I45" s="300"/>
      <c r="J45" s="300"/>
      <c r="K45" s="300"/>
      <c r="M45" s="300"/>
      <c r="N45" s="300"/>
      <c r="R45" s="300"/>
      <c r="S45" s="300"/>
      <c r="T45" s="300"/>
      <c r="U45" s="300"/>
      <c r="V45" s="300"/>
      <c r="W45" s="300"/>
      <c r="X45" s="300"/>
      <c r="Y45" s="300"/>
      <c r="Z45" s="300"/>
      <c r="AA45" s="300"/>
      <c r="AB45" s="300"/>
    </row>
    <row r="46" spans="2:28">
      <c r="B46" s="300"/>
      <c r="C46" s="300"/>
      <c r="D46" s="300"/>
      <c r="E46" s="300"/>
      <c r="F46" s="300"/>
      <c r="G46" s="300"/>
      <c r="H46" s="300"/>
      <c r="I46" s="300"/>
      <c r="J46" s="300"/>
      <c r="K46" s="300"/>
      <c r="M46" s="300"/>
      <c r="N46" s="300"/>
      <c r="R46" s="300"/>
      <c r="S46" s="300"/>
      <c r="T46" s="300"/>
      <c r="U46" s="300"/>
      <c r="V46" s="300"/>
      <c r="W46" s="300"/>
      <c r="X46" s="300"/>
      <c r="Y46" s="300"/>
      <c r="Z46" s="300"/>
      <c r="AA46" s="300"/>
      <c r="AB46" s="300"/>
    </row>
    <row r="47" spans="2:28">
      <c r="B47" s="300"/>
      <c r="C47" s="300"/>
      <c r="D47" s="300"/>
      <c r="E47" s="300"/>
      <c r="F47" s="300"/>
      <c r="G47" s="300"/>
      <c r="H47" s="300"/>
      <c r="I47" s="300"/>
      <c r="J47" s="300"/>
      <c r="K47" s="300"/>
      <c r="M47" s="300"/>
      <c r="N47" s="300"/>
      <c r="R47" s="300"/>
      <c r="S47" s="300"/>
      <c r="T47" s="300"/>
      <c r="U47" s="300"/>
      <c r="V47" s="300"/>
      <c r="W47" s="300"/>
      <c r="X47" s="300"/>
      <c r="Y47" s="300"/>
      <c r="Z47" s="300"/>
      <c r="AA47" s="300"/>
      <c r="AB47" s="300"/>
    </row>
    <row r="48" spans="2:28">
      <c r="B48" s="300"/>
      <c r="C48" s="300"/>
      <c r="D48" s="300"/>
      <c r="E48" s="300"/>
      <c r="F48" s="300"/>
      <c r="G48" s="300"/>
      <c r="H48" s="300"/>
      <c r="I48" s="300"/>
      <c r="J48" s="300"/>
      <c r="K48" s="300"/>
      <c r="M48" s="300"/>
      <c r="N48" s="300"/>
      <c r="R48" s="300"/>
      <c r="S48" s="300"/>
      <c r="T48" s="300"/>
      <c r="U48" s="300"/>
      <c r="V48" s="300"/>
      <c r="W48" s="300"/>
      <c r="X48" s="300"/>
      <c r="Y48" s="300"/>
      <c r="Z48" s="300"/>
      <c r="AA48" s="300"/>
      <c r="AB48" s="300"/>
    </row>
    <row r="49" spans="1:28">
      <c r="B49" s="300"/>
      <c r="C49" s="300"/>
      <c r="D49" s="300"/>
      <c r="E49" s="300"/>
      <c r="F49" s="300"/>
      <c r="G49" s="300"/>
      <c r="H49" s="300"/>
      <c r="I49" s="300"/>
      <c r="J49" s="300"/>
      <c r="K49" s="300"/>
      <c r="M49" s="300"/>
      <c r="N49" s="300"/>
      <c r="R49" s="300"/>
      <c r="S49" s="300"/>
      <c r="T49" s="300"/>
      <c r="U49" s="300"/>
      <c r="V49" s="300"/>
      <c r="W49" s="300"/>
      <c r="X49" s="300"/>
      <c r="Y49" s="300"/>
      <c r="Z49" s="300"/>
      <c r="AA49" s="300"/>
      <c r="AB49" s="300"/>
    </row>
    <row r="50" spans="1:28">
      <c r="B50" s="300"/>
      <c r="C50" s="300"/>
      <c r="D50" s="300"/>
      <c r="E50" s="300"/>
      <c r="F50" s="300"/>
      <c r="G50" s="300"/>
      <c r="H50" s="300"/>
      <c r="I50" s="300"/>
      <c r="J50" s="300"/>
      <c r="K50" s="300"/>
      <c r="M50" s="300"/>
      <c r="N50" s="300"/>
      <c r="R50" s="300"/>
      <c r="S50" s="300"/>
      <c r="T50" s="300"/>
      <c r="U50" s="300"/>
      <c r="V50" s="300"/>
      <c r="W50" s="300"/>
      <c r="X50" s="300"/>
      <c r="Y50" s="300"/>
      <c r="Z50" s="300"/>
      <c r="AA50" s="300"/>
      <c r="AB50" s="300"/>
    </row>
    <row r="51" spans="1:28">
      <c r="B51" s="300"/>
      <c r="C51" s="300"/>
      <c r="D51" s="300"/>
      <c r="E51" s="300"/>
      <c r="F51" s="300"/>
      <c r="G51" s="300"/>
      <c r="H51" s="300"/>
      <c r="I51" s="300"/>
      <c r="J51" s="300"/>
      <c r="K51" s="300"/>
      <c r="M51" s="300"/>
      <c r="N51" s="300"/>
      <c r="R51" s="300"/>
      <c r="S51" s="300"/>
      <c r="T51" s="300"/>
      <c r="U51" s="300"/>
      <c r="V51" s="300"/>
      <c r="W51" s="300"/>
      <c r="X51" s="300"/>
      <c r="Y51" s="300"/>
      <c r="Z51" s="300"/>
      <c r="AA51" s="300"/>
      <c r="AB51" s="300"/>
    </row>
    <row r="52" spans="1:28">
      <c r="B52" s="300"/>
      <c r="C52" s="300"/>
      <c r="D52" s="300"/>
      <c r="E52" s="300"/>
      <c r="F52" s="300"/>
      <c r="G52" s="300"/>
      <c r="H52" s="300"/>
      <c r="I52" s="300"/>
      <c r="J52" s="300"/>
      <c r="K52" s="300"/>
      <c r="M52" s="300"/>
      <c r="N52" s="300"/>
      <c r="R52" s="300"/>
      <c r="S52" s="300"/>
      <c r="T52" s="300"/>
      <c r="U52" s="300"/>
      <c r="V52" s="300"/>
      <c r="W52" s="300"/>
      <c r="X52" s="300"/>
      <c r="Y52" s="300"/>
      <c r="Z52" s="300"/>
      <c r="AA52" s="300"/>
      <c r="AB52" s="300"/>
    </row>
    <row r="53" spans="1:28">
      <c r="B53" s="300"/>
      <c r="C53" s="300"/>
      <c r="D53" s="300"/>
      <c r="E53" s="300"/>
      <c r="F53" s="300"/>
      <c r="G53" s="300"/>
      <c r="H53" s="300"/>
      <c r="I53" s="300"/>
      <c r="J53" s="300"/>
      <c r="K53" s="300"/>
      <c r="M53" s="300"/>
      <c r="N53" s="300"/>
      <c r="R53" s="300"/>
      <c r="S53" s="300"/>
      <c r="T53" s="300"/>
      <c r="U53" s="300"/>
      <c r="V53" s="300"/>
      <c r="W53" s="300"/>
      <c r="X53" s="300"/>
      <c r="Y53" s="300"/>
      <c r="Z53" s="300"/>
      <c r="AA53" s="300"/>
      <c r="AB53" s="300"/>
    </row>
    <row r="54" spans="1:28">
      <c r="B54" s="300"/>
      <c r="C54" s="300"/>
      <c r="D54" s="300"/>
      <c r="E54" s="300"/>
      <c r="F54" s="300"/>
      <c r="G54" s="300"/>
      <c r="H54" s="300"/>
      <c r="I54" s="300"/>
      <c r="J54" s="300"/>
      <c r="K54" s="300"/>
      <c r="M54" s="300"/>
      <c r="N54" s="300"/>
      <c r="R54" s="300"/>
      <c r="S54" s="300"/>
      <c r="T54" s="300"/>
      <c r="U54" s="300"/>
      <c r="V54" s="300"/>
      <c r="W54" s="300"/>
      <c r="X54" s="300"/>
      <c r="Y54" s="300"/>
      <c r="Z54" s="300"/>
      <c r="AA54" s="300"/>
      <c r="AB54" s="300"/>
    </row>
    <row r="55" spans="1:28">
      <c r="B55" s="300"/>
      <c r="C55" s="300"/>
      <c r="D55" s="300"/>
      <c r="E55" s="300"/>
      <c r="F55" s="300"/>
      <c r="G55" s="300"/>
      <c r="H55" s="300"/>
      <c r="I55" s="300"/>
      <c r="J55" s="300"/>
      <c r="K55" s="300"/>
      <c r="M55" s="300"/>
      <c r="N55" s="300"/>
      <c r="R55" s="300"/>
      <c r="S55" s="300"/>
      <c r="T55" s="300"/>
      <c r="U55" s="300"/>
      <c r="V55" s="300"/>
      <c r="W55" s="300"/>
      <c r="X55" s="300"/>
      <c r="Y55" s="300"/>
      <c r="Z55" s="300"/>
      <c r="AA55" s="300"/>
      <c r="AB55" s="300"/>
    </row>
    <row r="56" spans="1:28">
      <c r="B56" s="300"/>
      <c r="C56" s="300"/>
      <c r="D56" s="300"/>
      <c r="E56" s="303"/>
      <c r="F56" s="303"/>
      <c r="G56" s="303"/>
      <c r="H56" s="391"/>
      <c r="I56" s="391"/>
      <c r="J56" s="391"/>
      <c r="K56" s="391"/>
      <c r="L56" s="1114"/>
      <c r="M56" s="382"/>
      <c r="N56" s="382"/>
      <c r="O56" s="1079"/>
      <c r="P56" s="1079"/>
      <c r="R56" s="300"/>
      <c r="S56" s="300"/>
      <c r="T56" s="300"/>
      <c r="U56" s="300"/>
      <c r="V56" s="300"/>
      <c r="W56" s="300"/>
      <c r="X56" s="300"/>
      <c r="Y56" s="300"/>
      <c r="Z56" s="300"/>
      <c r="AA56" s="300"/>
    </row>
    <row r="57" spans="1:28">
      <c r="A57" s="1057"/>
      <c r="B57" s="300"/>
      <c r="C57" s="1057"/>
      <c r="D57" s="300"/>
      <c r="E57" s="1462"/>
      <c r="F57" s="1462"/>
      <c r="G57" s="391"/>
      <c r="H57" s="1115"/>
      <c r="I57" s="1115"/>
      <c r="J57" s="508"/>
      <c r="K57" s="508"/>
      <c r="L57" s="508"/>
      <c r="M57" s="508"/>
      <c r="N57" s="508"/>
      <c r="O57" s="1079"/>
      <c r="P57" s="1079"/>
      <c r="R57" s="300"/>
      <c r="S57" s="300"/>
      <c r="T57" s="300"/>
      <c r="U57" s="300"/>
      <c r="V57" s="300"/>
      <c r="W57" s="300"/>
      <c r="X57" s="300"/>
      <c r="Y57" s="300"/>
      <c r="Z57" s="300"/>
      <c r="AA57" s="300"/>
    </row>
    <row r="58" spans="1:28">
      <c r="B58" s="300"/>
      <c r="C58" s="300"/>
      <c r="D58" s="300"/>
      <c r="E58" s="1462"/>
      <c r="F58" s="1462"/>
      <c r="G58" s="391"/>
      <c r="H58" s="1115"/>
      <c r="I58" s="1115"/>
      <c r="J58" s="508"/>
      <c r="K58" s="508"/>
      <c r="L58" s="508"/>
      <c r="M58" s="508"/>
      <c r="N58" s="508"/>
      <c r="O58" s="1079"/>
      <c r="P58" s="1079"/>
      <c r="R58" s="300"/>
      <c r="S58" s="300"/>
      <c r="T58" s="300"/>
      <c r="U58" s="300"/>
      <c r="V58" s="300"/>
      <c r="W58" s="300"/>
      <c r="X58" s="300"/>
      <c r="Y58" s="300"/>
      <c r="Z58" s="300"/>
      <c r="AA58" s="300"/>
    </row>
    <row r="59" spans="1:28" ht="15.75">
      <c r="A59" s="772">
        <v>2</v>
      </c>
      <c r="B59" s="773" t="s">
        <v>180</v>
      </c>
      <c r="C59" s="773"/>
      <c r="D59" s="772"/>
      <c r="E59" s="303"/>
      <c r="F59" s="303"/>
      <c r="G59" s="303"/>
      <c r="H59" s="1115"/>
      <c r="I59" s="1115"/>
      <c r="J59" s="508"/>
      <c r="K59" s="508"/>
      <c r="L59" s="508"/>
      <c r="M59" s="1085"/>
      <c r="N59" s="508"/>
      <c r="O59" s="1079"/>
      <c r="P59" s="1079"/>
      <c r="R59" s="300"/>
      <c r="S59" s="300"/>
      <c r="T59" s="300"/>
      <c r="U59" s="300"/>
      <c r="V59" s="300"/>
      <c r="W59" s="300"/>
      <c r="X59" s="300"/>
      <c r="Y59" s="300"/>
      <c r="Z59" s="300"/>
      <c r="AA59" s="300"/>
      <c r="AB59" s="300"/>
    </row>
    <row r="60" spans="1:28">
      <c r="B60" s="300"/>
      <c r="C60" s="300"/>
      <c r="D60" s="300"/>
      <c r="E60" s="300"/>
      <c r="F60" s="300"/>
      <c r="G60" s="300"/>
      <c r="H60" s="300"/>
      <c r="I60" s="300"/>
      <c r="J60" s="300"/>
      <c r="K60" s="300"/>
      <c r="M60" s="300"/>
      <c r="N60" s="300"/>
      <c r="R60" s="300"/>
      <c r="S60" s="300"/>
      <c r="T60" s="300"/>
      <c r="U60" s="300"/>
      <c r="V60" s="300"/>
      <c r="W60" s="300"/>
      <c r="X60" s="300"/>
      <c r="Y60" s="300"/>
      <c r="Z60" s="300"/>
      <c r="AA60" s="300"/>
      <c r="AB60" s="300"/>
    </row>
    <row r="61" spans="1:28" ht="18.75">
      <c r="B61" s="882">
        <v>2.1</v>
      </c>
      <c r="C61" s="1116" t="s">
        <v>468</v>
      </c>
      <c r="D61" s="1117"/>
      <c r="E61" s="1117"/>
      <c r="F61" s="1117"/>
      <c r="G61" s="1117"/>
      <c r="H61" s="1117"/>
      <c r="I61" s="1117"/>
      <c r="J61" s="300"/>
      <c r="K61" s="300"/>
      <c r="L61" s="1118"/>
      <c r="M61" s="300"/>
      <c r="N61" s="300"/>
      <c r="R61" s="300"/>
      <c r="S61" s="300"/>
      <c r="T61" s="300"/>
      <c r="U61" s="300"/>
      <c r="V61" s="300"/>
      <c r="W61" s="300"/>
      <c r="X61" s="300"/>
      <c r="Y61" s="300"/>
      <c r="Z61" s="300"/>
      <c r="AA61" s="300"/>
      <c r="AB61" s="300"/>
    </row>
    <row r="62" spans="1:28" ht="12" thickBot="1">
      <c r="B62" s="300"/>
      <c r="C62" s="362"/>
      <c r="D62" s="300"/>
      <c r="E62" s="300"/>
      <c r="F62" s="300"/>
      <c r="G62" s="300"/>
      <c r="H62" s="300"/>
      <c r="I62" s="300"/>
      <c r="J62" s="300"/>
      <c r="K62" s="300"/>
      <c r="M62" s="300"/>
      <c r="N62" s="300"/>
      <c r="R62" s="300"/>
      <c r="S62" s="300"/>
      <c r="T62" s="300"/>
      <c r="U62" s="300"/>
      <c r="V62" s="300"/>
      <c r="W62" s="300"/>
      <c r="X62" s="300"/>
      <c r="Y62" s="300"/>
      <c r="Z62" s="300"/>
      <c r="AA62" s="300"/>
      <c r="AB62" s="300"/>
    </row>
    <row r="63" spans="1:28" ht="15" customHeight="1">
      <c r="B63" s="1062"/>
      <c r="C63" s="1063"/>
      <c r="D63" s="1064"/>
      <c r="E63" s="1065" t="s">
        <v>35</v>
      </c>
      <c r="F63" s="1066"/>
      <c r="G63" s="1066"/>
      <c r="H63" s="1066"/>
      <c r="I63" s="1066"/>
      <c r="J63" s="1066"/>
      <c r="K63" s="1066"/>
      <c r="L63" s="1066"/>
      <c r="M63" s="1066"/>
      <c r="N63" s="1066"/>
      <c r="R63" s="300"/>
      <c r="S63" s="300"/>
      <c r="T63" s="300"/>
      <c r="U63" s="300"/>
      <c r="V63" s="300"/>
      <c r="W63" s="300"/>
      <c r="X63" s="300"/>
      <c r="Y63" s="300"/>
      <c r="Z63" s="300"/>
      <c r="AA63" s="300"/>
      <c r="AB63" s="300"/>
    </row>
    <row r="64" spans="1:28" ht="12" thickBot="1">
      <c r="B64" s="1119" t="s">
        <v>168</v>
      </c>
      <c r="C64" s="1070"/>
      <c r="D64" s="1071" t="str">
        <f>$E$9</f>
        <v>TOTAL BRAND 01</v>
      </c>
      <c r="E64" s="1072" t="s">
        <v>699</v>
      </c>
      <c r="F64" s="1072" t="s">
        <v>700</v>
      </c>
      <c r="G64" s="1072" t="s">
        <v>701</v>
      </c>
      <c r="H64" s="1072" t="s">
        <v>702</v>
      </c>
      <c r="I64" s="1073" t="s">
        <v>703</v>
      </c>
      <c r="J64" s="1074" t="s">
        <v>704</v>
      </c>
      <c r="K64" s="1074" t="s">
        <v>705</v>
      </c>
      <c r="L64" s="1074" t="s">
        <v>706</v>
      </c>
      <c r="M64" s="1075" t="s">
        <v>707</v>
      </c>
      <c r="N64" s="1075"/>
      <c r="R64" s="300"/>
      <c r="S64" s="300"/>
      <c r="T64" s="300"/>
      <c r="U64" s="300"/>
      <c r="V64" s="300"/>
      <c r="W64" s="300"/>
      <c r="X64" s="300"/>
      <c r="Y64" s="300"/>
      <c r="Z64" s="300"/>
      <c r="AA64" s="300"/>
      <c r="AB64" s="300"/>
    </row>
    <row r="65" spans="1:28" ht="12" thickTop="1">
      <c r="B65" s="1120" t="s">
        <v>129</v>
      </c>
      <c r="C65" s="1077" t="s">
        <v>50</v>
      </c>
      <c r="D65" s="1121">
        <f>$E$12</f>
        <v>273056.25</v>
      </c>
      <c r="E65" s="303"/>
      <c r="F65" s="303"/>
      <c r="G65" s="303"/>
      <c r="H65" s="303"/>
      <c r="I65" s="382"/>
      <c r="J65" s="382"/>
      <c r="K65" s="382"/>
      <c r="L65" s="382"/>
      <c r="M65" s="382"/>
      <c r="N65" s="382"/>
      <c r="R65" s="510"/>
      <c r="S65" s="510"/>
      <c r="T65" s="510"/>
      <c r="U65" s="510"/>
      <c r="V65" s="510"/>
      <c r="W65" s="510"/>
      <c r="X65" s="510"/>
      <c r="Y65" s="300"/>
      <c r="Z65" s="300"/>
      <c r="AA65" s="300"/>
      <c r="AB65" s="300"/>
    </row>
    <row r="66" spans="1:28">
      <c r="B66" s="1081" t="s">
        <v>167</v>
      </c>
      <c r="C66" s="1077" t="s">
        <v>50</v>
      </c>
      <c r="D66" s="1084"/>
      <c r="E66" s="1122">
        <v>4.49</v>
      </c>
      <c r="F66" s="1122">
        <v>6.99</v>
      </c>
      <c r="G66" s="1122">
        <v>5.49</v>
      </c>
      <c r="H66" s="1122">
        <v>6.99</v>
      </c>
      <c r="I66" s="1122">
        <v>5.99</v>
      </c>
      <c r="J66" s="1122">
        <v>5.99</v>
      </c>
      <c r="K66" s="1122">
        <v>2.4500000000000002</v>
      </c>
      <c r="L66" s="1122">
        <v>2.99</v>
      </c>
      <c r="M66" s="1122">
        <v>1.99</v>
      </c>
      <c r="N66" s="1122"/>
      <c r="R66" s="510"/>
      <c r="S66" s="510"/>
      <c r="T66" s="510"/>
      <c r="U66" s="510"/>
      <c r="V66" s="510"/>
      <c r="W66" s="510"/>
      <c r="X66" s="510"/>
      <c r="Y66" s="300"/>
      <c r="Z66" s="300"/>
      <c r="AA66" s="300"/>
      <c r="AB66" s="300"/>
    </row>
    <row r="67" spans="1:28">
      <c r="B67" s="1081" t="s">
        <v>165</v>
      </c>
      <c r="C67" s="1077" t="s">
        <v>50</v>
      </c>
      <c r="D67" s="1084"/>
      <c r="E67" s="1122">
        <v>0.93</v>
      </c>
      <c r="F67" s="1122">
        <v>0.97</v>
      </c>
      <c r="G67" s="1122">
        <v>0.94</v>
      </c>
      <c r="H67" s="1122">
        <v>0.95</v>
      </c>
      <c r="I67" s="1122">
        <v>0.94</v>
      </c>
      <c r="J67" s="1122">
        <v>0.94</v>
      </c>
      <c r="K67" s="1122">
        <v>0.93</v>
      </c>
      <c r="L67" s="1122">
        <v>0.97</v>
      </c>
      <c r="M67" s="1122">
        <v>0.94</v>
      </c>
      <c r="N67" s="1122"/>
      <c r="Q67" s="510"/>
      <c r="R67" s="510"/>
      <c r="S67" s="510"/>
      <c r="T67" s="510"/>
      <c r="U67" s="510"/>
      <c r="V67" s="510"/>
      <c r="W67" s="510"/>
      <c r="X67" s="510"/>
      <c r="Y67" s="300"/>
      <c r="Z67" s="300"/>
      <c r="AA67" s="300"/>
      <c r="AB67" s="300"/>
    </row>
    <row r="68" spans="1:28">
      <c r="B68" s="1081" t="s">
        <v>164</v>
      </c>
      <c r="C68" s="1077" t="s">
        <v>50</v>
      </c>
      <c r="D68" s="1084"/>
      <c r="E68" s="1122">
        <f>E66-E67</f>
        <v>3.56</v>
      </c>
      <c r="F68" s="1122">
        <f>F66-F67</f>
        <v>6.0200000000000005</v>
      </c>
      <c r="G68" s="1122">
        <f>G66-G67</f>
        <v>4.5500000000000007</v>
      </c>
      <c r="H68" s="1122">
        <f>H66-H67</f>
        <v>6.04</v>
      </c>
      <c r="I68" s="1122">
        <f>I66-I67</f>
        <v>5.0500000000000007</v>
      </c>
      <c r="J68" s="1122">
        <f>J66-J67</f>
        <v>5.0500000000000007</v>
      </c>
      <c r="K68" s="1122">
        <f>K66-K67</f>
        <v>1.52</v>
      </c>
      <c r="L68" s="1122">
        <f>L66-L67</f>
        <v>2.0200000000000005</v>
      </c>
      <c r="M68" s="1122">
        <f>M66-M67</f>
        <v>1.05</v>
      </c>
      <c r="N68" s="1122"/>
      <c r="Q68" s="1123"/>
      <c r="R68" s="1124"/>
      <c r="S68" s="1124"/>
      <c r="T68" s="1124"/>
      <c r="U68" s="1124"/>
      <c r="V68" s="1124"/>
      <c r="W68" s="1124"/>
      <c r="X68" s="1124"/>
      <c r="Y68" s="1124"/>
      <c r="Z68" s="1124"/>
      <c r="AA68" s="300"/>
      <c r="AB68" s="300"/>
    </row>
    <row r="69" spans="1:28">
      <c r="B69" s="1081" t="s">
        <v>163</v>
      </c>
      <c r="C69" s="1077" t="s">
        <v>49</v>
      </c>
      <c r="D69" s="1125">
        <f>(D71-D73)/D71</f>
        <v>0.76021558434681236</v>
      </c>
      <c r="E69" s="1126">
        <f>E68/E66</f>
        <v>0.79287305122494434</v>
      </c>
      <c r="F69" s="1126">
        <f>F68/F66</f>
        <v>0.86123032904148789</v>
      </c>
      <c r="G69" s="1126">
        <f>G68/G66</f>
        <v>0.82877959927140266</v>
      </c>
      <c r="H69" s="1126">
        <f>H68/H66</f>
        <v>0.86409155937052928</v>
      </c>
      <c r="I69" s="1126">
        <f>I68/I66</f>
        <v>0.8430717863105176</v>
      </c>
      <c r="J69" s="1126">
        <f>J68/J66</f>
        <v>0.8430717863105176</v>
      </c>
      <c r="K69" s="1126">
        <f>K68/K66</f>
        <v>0.62040816326530612</v>
      </c>
      <c r="L69" s="1126">
        <f>L68/L66</f>
        <v>0.67558528428093656</v>
      </c>
      <c r="M69" s="1126">
        <f>M68/M66</f>
        <v>0.52763819095477393</v>
      </c>
      <c r="N69" s="1126"/>
      <c r="Q69" s="1123"/>
      <c r="R69" s="1124"/>
      <c r="S69" s="1124"/>
      <c r="T69" s="1124"/>
      <c r="U69" s="1124"/>
      <c r="V69" s="1124"/>
      <c r="W69" s="1124"/>
      <c r="X69" s="1124"/>
      <c r="Y69" s="1124"/>
      <c r="Z69" s="1124"/>
      <c r="AA69" s="300"/>
      <c r="AB69" s="300"/>
    </row>
    <row r="70" spans="1:28">
      <c r="B70" s="1081" t="s">
        <v>162</v>
      </c>
      <c r="C70" s="1077" t="s">
        <v>161</v>
      </c>
      <c r="D70" s="1084"/>
      <c r="E70" s="1127">
        <v>10350.923520417262</v>
      </c>
      <c r="F70" s="1127">
        <v>10011.717753559007</v>
      </c>
      <c r="G70" s="1127">
        <v>7572.4279361728004</v>
      </c>
      <c r="H70" s="1127">
        <v>20575.516311046402</v>
      </c>
      <c r="I70" s="1127">
        <v>20575.516311046402</v>
      </c>
      <c r="J70" s="1127">
        <v>20575.516311046402</v>
      </c>
      <c r="K70" s="1127">
        <v>70129.228228556181</v>
      </c>
      <c r="L70" s="1127">
        <v>84184.462324666907</v>
      </c>
      <c r="M70" s="1127">
        <v>3191.374073192952</v>
      </c>
      <c r="N70" s="1127"/>
      <c r="R70" s="300"/>
      <c r="S70" s="300"/>
      <c r="T70" s="300"/>
      <c r="U70" s="300"/>
      <c r="V70" s="300"/>
      <c r="W70" s="300"/>
      <c r="X70" s="300"/>
      <c r="Y70" s="300"/>
      <c r="Z70" s="300"/>
      <c r="AA70" s="300"/>
      <c r="AB70" s="300"/>
    </row>
    <row r="71" spans="1:28">
      <c r="B71" s="1081" t="s">
        <v>113</v>
      </c>
      <c r="C71" s="1077" t="s">
        <v>50</v>
      </c>
      <c r="D71" s="1080">
        <f>SUM(E71:XN71)</f>
        <v>978226.71341056062</v>
      </c>
      <c r="E71" s="508">
        <f>E66*E70</f>
        <v>46475.646606673508</v>
      </c>
      <c r="F71" s="508">
        <f>F66*F70</f>
        <v>69981.907097377465</v>
      </c>
      <c r="G71" s="508">
        <f>G66*G70</f>
        <v>41572.629369588678</v>
      </c>
      <c r="H71" s="508">
        <f>H66*H70</f>
        <v>143822.85901421437</v>
      </c>
      <c r="I71" s="508">
        <f>I66*I70</f>
        <v>123247.34270316795</v>
      </c>
      <c r="J71" s="508">
        <f>J66*J70</f>
        <v>123247.34270316795</v>
      </c>
      <c r="K71" s="508">
        <f>K66*K70</f>
        <v>171816.60915996265</v>
      </c>
      <c r="L71" s="508">
        <f>L66*L70</f>
        <v>251711.54235075408</v>
      </c>
      <c r="M71" s="508">
        <f>M66*M70</f>
        <v>6350.8344056539745</v>
      </c>
      <c r="N71" s="508"/>
      <c r="R71" s="300"/>
      <c r="S71" s="300"/>
      <c r="T71" s="300"/>
      <c r="U71" s="300"/>
      <c r="V71" s="300"/>
      <c r="W71" s="300"/>
      <c r="X71" s="300"/>
      <c r="Y71" s="300"/>
      <c r="Z71" s="300"/>
      <c r="AA71" s="300"/>
      <c r="AB71" s="300"/>
    </row>
    <row r="72" spans="1:28">
      <c r="B72" s="1081" t="s">
        <v>176</v>
      </c>
      <c r="C72" s="1077" t="s">
        <v>49</v>
      </c>
      <c r="D72" s="1128"/>
      <c r="E72" s="1126">
        <f>E71/$D71</f>
        <v>4.7510097577112199E-2</v>
      </c>
      <c r="F72" s="1126">
        <f>F71/$D71</f>
        <v>7.1539558405011722E-2</v>
      </c>
      <c r="G72" s="1126">
        <f>G71/$D71</f>
        <v>4.2497949401368161E-2</v>
      </c>
      <c r="H72" s="1126">
        <f>H71/$D71</f>
        <v>0.14702405591928674</v>
      </c>
      <c r="I72" s="1126">
        <f>I71/$D71</f>
        <v>0.12599057152453899</v>
      </c>
      <c r="J72" s="1126">
        <f>J71/$D71</f>
        <v>0.12599057152453899</v>
      </c>
      <c r="K72" s="1126">
        <f>K71/$D71</f>
        <v>0.17564088856347906</v>
      </c>
      <c r="L72" s="1126">
        <f>L71/$D71</f>
        <v>0.25731411634954099</v>
      </c>
      <c r="M72" s="1126">
        <f>M71/$D71</f>
        <v>6.4921907351231135E-3</v>
      </c>
      <c r="N72" s="1126"/>
      <c r="R72" s="300"/>
      <c r="S72" s="300"/>
      <c r="T72" s="300"/>
      <c r="U72" s="300"/>
      <c r="V72" s="300"/>
      <c r="W72" s="300"/>
      <c r="X72" s="300"/>
      <c r="Y72" s="300"/>
      <c r="Z72" s="300"/>
      <c r="AA72" s="300"/>
      <c r="AB72" s="300"/>
    </row>
    <row r="73" spans="1:28">
      <c r="B73" s="1081" t="s">
        <v>469</v>
      </c>
      <c r="C73" s="1077" t="s">
        <v>50</v>
      </c>
      <c r="D73" s="1080">
        <f>SUM(E73:XN73)</f>
        <v>234563.52085148953</v>
      </c>
      <c r="E73" s="508">
        <f>E67*E70</f>
        <v>9626.3588739880543</v>
      </c>
      <c r="F73" s="508">
        <f>F67*F70</f>
        <v>9711.3662209522372</v>
      </c>
      <c r="G73" s="508">
        <f>G67*G70</f>
        <v>7118.0822600024321</v>
      </c>
      <c r="H73" s="508">
        <f>H67*H70</f>
        <v>19546.740495494079</v>
      </c>
      <c r="I73" s="508">
        <f>I67*I70</f>
        <v>19340.985332383618</v>
      </c>
      <c r="J73" s="508">
        <f>J67*J70</f>
        <v>19340.985332383618</v>
      </c>
      <c r="K73" s="508">
        <f>K67*K70</f>
        <v>65220.18225255725</v>
      </c>
      <c r="L73" s="508">
        <f>L67*L70</f>
        <v>81658.928454926892</v>
      </c>
      <c r="M73" s="508">
        <f>M67*M70</f>
        <v>2999.8916288013747</v>
      </c>
      <c r="N73" s="508"/>
      <c r="R73" s="300"/>
      <c r="S73" s="300"/>
      <c r="T73" s="300"/>
      <c r="U73" s="300"/>
      <c r="V73" s="300"/>
      <c r="W73" s="300"/>
      <c r="X73" s="300"/>
      <c r="Y73" s="300"/>
      <c r="Z73" s="300"/>
      <c r="AA73" s="300"/>
      <c r="AB73" s="300"/>
    </row>
    <row r="74" spans="1:28">
      <c r="B74" s="1081" t="s">
        <v>111</v>
      </c>
      <c r="C74" s="1077" t="s">
        <v>50</v>
      </c>
      <c r="D74" s="1080">
        <f>SUM(E74:XN74)</f>
        <v>743663.19255907112</v>
      </c>
      <c r="E74" s="508">
        <f>E71-E73</f>
        <v>36849.28773268545</v>
      </c>
      <c r="F74" s="508">
        <f>F71-F73</f>
        <v>60270.540876425228</v>
      </c>
      <c r="G74" s="508">
        <f>G71-G73</f>
        <v>34454.547109586245</v>
      </c>
      <c r="H74" s="508">
        <f>H71-H73</f>
        <v>124276.11851872029</v>
      </c>
      <c r="I74" s="508">
        <f>I71-I73</f>
        <v>103906.35737078433</v>
      </c>
      <c r="J74" s="508">
        <f>J71-J73</f>
        <v>103906.35737078433</v>
      </c>
      <c r="K74" s="508">
        <f>K71-K73</f>
        <v>106596.4269074054</v>
      </c>
      <c r="L74" s="508">
        <f>L71-L73</f>
        <v>170052.61389582721</v>
      </c>
      <c r="M74" s="508">
        <f>M71-M73</f>
        <v>3350.9427768525998</v>
      </c>
      <c r="N74" s="508"/>
      <c r="R74" s="300"/>
      <c r="S74" s="300"/>
      <c r="T74" s="300"/>
      <c r="U74" s="300"/>
      <c r="V74" s="300"/>
      <c r="W74" s="300"/>
      <c r="X74" s="300"/>
      <c r="Y74" s="300"/>
      <c r="Z74" s="300"/>
      <c r="AA74" s="300"/>
      <c r="AB74" s="300"/>
    </row>
    <row r="75" spans="1:28" ht="12" thickBot="1">
      <c r="B75" s="1129"/>
      <c r="C75" s="1130" t="s">
        <v>49</v>
      </c>
      <c r="D75" s="1131"/>
      <c r="E75" s="1132">
        <f>E74/$D74</f>
        <v>4.9551044211131122E-2</v>
      </c>
      <c r="F75" s="1132">
        <f>F74/$D74</f>
        <v>8.1045480641611531E-2</v>
      </c>
      <c r="G75" s="1132">
        <f>G74/$D74</f>
        <v>4.6330849038019893E-2</v>
      </c>
      <c r="H75" s="1132">
        <f>H74/$D74</f>
        <v>0.16711344565953989</v>
      </c>
      <c r="I75" s="1132">
        <f>I74/$D74</f>
        <v>0.13972233453322455</v>
      </c>
      <c r="J75" s="1132">
        <f>J74/$D74</f>
        <v>0.13972233453322455</v>
      </c>
      <c r="K75" s="1132">
        <f>K74/$D74</f>
        <v>0.14333965694952447</v>
      </c>
      <c r="L75" s="1132">
        <f>L74/$D74</f>
        <v>0.22866885923269556</v>
      </c>
      <c r="M75" s="1132">
        <f>M74/$D74</f>
        <v>4.505995201028355E-3</v>
      </c>
      <c r="N75" s="1132"/>
      <c r="R75" s="300"/>
      <c r="S75" s="300"/>
      <c r="T75" s="300"/>
      <c r="U75" s="300"/>
      <c r="V75" s="300"/>
      <c r="W75" s="300"/>
      <c r="X75" s="300"/>
      <c r="Y75" s="300"/>
      <c r="Z75" s="300"/>
      <c r="AA75" s="300"/>
      <c r="AB75" s="300"/>
    </row>
    <row r="76" spans="1:28" ht="12" thickBot="1">
      <c r="B76" s="300"/>
      <c r="C76" s="300"/>
      <c r="D76" s="300"/>
      <c r="E76" s="300"/>
      <c r="F76" s="300"/>
      <c r="G76" s="300"/>
      <c r="H76" s="300"/>
      <c r="L76" s="497"/>
      <c r="R76" s="300"/>
      <c r="S76" s="300"/>
      <c r="T76" s="300"/>
      <c r="U76" s="300"/>
      <c r="V76" s="300"/>
      <c r="W76" s="300"/>
      <c r="X76" s="300"/>
      <c r="Y76" s="300"/>
      <c r="Z76" s="300"/>
      <c r="AA76" s="300"/>
      <c r="AB76" s="300"/>
    </row>
    <row r="77" spans="1:28">
      <c r="A77" s="1133" t="s">
        <v>178</v>
      </c>
      <c r="B77" s="1134" t="s">
        <v>129</v>
      </c>
      <c r="C77" s="1135" t="s">
        <v>50</v>
      </c>
      <c r="D77" s="1009">
        <v>250000</v>
      </c>
      <c r="E77" s="1136"/>
      <c r="F77" s="1136"/>
      <c r="G77" s="1136"/>
      <c r="H77" s="1136"/>
      <c r="I77" s="1137"/>
      <c r="J77" s="1137"/>
      <c r="K77" s="1137"/>
      <c r="L77" s="1137"/>
      <c r="M77" s="1137"/>
      <c r="N77" s="1137"/>
      <c r="R77" s="300"/>
      <c r="S77" s="300"/>
      <c r="T77" s="300"/>
      <c r="U77" s="300"/>
      <c r="V77" s="300"/>
      <c r="W77" s="300"/>
      <c r="X77" s="300"/>
      <c r="Y77" s="300"/>
      <c r="Z77" s="300"/>
      <c r="AA77" s="300"/>
      <c r="AB77" s="300"/>
    </row>
    <row r="78" spans="1:28">
      <c r="A78" s="300"/>
      <c r="B78" s="1138" t="s">
        <v>167</v>
      </c>
      <c r="C78" s="391" t="s">
        <v>50</v>
      </c>
      <c r="D78" s="1139"/>
      <c r="E78" s="1122">
        <f>E66</f>
        <v>4.49</v>
      </c>
      <c r="F78" s="1122">
        <f>F66</f>
        <v>6.99</v>
      </c>
      <c r="G78" s="1122">
        <f>G66</f>
        <v>5.49</v>
      </c>
      <c r="H78" s="1122">
        <f>H66</f>
        <v>6.99</v>
      </c>
      <c r="I78" s="1122">
        <f>I66</f>
        <v>5.99</v>
      </c>
      <c r="J78" s="1122">
        <f>J66</f>
        <v>5.99</v>
      </c>
      <c r="K78" s="1122">
        <f>K66</f>
        <v>2.4500000000000002</v>
      </c>
      <c r="L78" s="1122">
        <f>L66</f>
        <v>2.99</v>
      </c>
      <c r="M78" s="1122">
        <f>M66</f>
        <v>1.99</v>
      </c>
      <c r="N78" s="1122"/>
      <c r="R78" s="300"/>
      <c r="S78" s="300"/>
      <c r="T78" s="300"/>
      <c r="U78" s="300"/>
      <c r="V78" s="300"/>
      <c r="W78" s="300"/>
      <c r="X78" s="300"/>
      <c r="Y78" s="300"/>
      <c r="Z78" s="300"/>
      <c r="AA78" s="300"/>
      <c r="AB78" s="300"/>
    </row>
    <row r="79" spans="1:28">
      <c r="A79" s="300"/>
      <c r="B79" s="1138" t="s">
        <v>165</v>
      </c>
      <c r="C79" s="391" t="s">
        <v>50</v>
      </c>
      <c r="D79" s="1139"/>
      <c r="E79" s="1122">
        <f>E67</f>
        <v>0.93</v>
      </c>
      <c r="F79" s="1122">
        <f>F67</f>
        <v>0.97</v>
      </c>
      <c r="G79" s="1122">
        <f>G67</f>
        <v>0.94</v>
      </c>
      <c r="H79" s="1122">
        <f>H67</f>
        <v>0.95</v>
      </c>
      <c r="I79" s="1122">
        <f>I67</f>
        <v>0.94</v>
      </c>
      <c r="J79" s="1122">
        <f>J67</f>
        <v>0.94</v>
      </c>
      <c r="K79" s="1122">
        <f>K67</f>
        <v>0.93</v>
      </c>
      <c r="L79" s="1122">
        <f>L67</f>
        <v>0.97</v>
      </c>
      <c r="M79" s="1122">
        <f>M67</f>
        <v>0.94</v>
      </c>
      <c r="N79" s="1122"/>
      <c r="R79" s="300"/>
      <c r="S79" s="300"/>
      <c r="T79" s="300"/>
      <c r="U79" s="300"/>
      <c r="V79" s="300"/>
      <c r="W79" s="300"/>
      <c r="X79" s="300"/>
      <c r="Y79" s="300"/>
      <c r="Z79" s="300"/>
      <c r="AA79" s="300"/>
      <c r="AB79" s="300"/>
    </row>
    <row r="80" spans="1:28">
      <c r="A80" s="300"/>
      <c r="B80" s="1138" t="s">
        <v>164</v>
      </c>
      <c r="C80" s="391" t="s">
        <v>50</v>
      </c>
      <c r="D80" s="1139"/>
      <c r="E80" s="1122">
        <f>E78-E79</f>
        <v>3.56</v>
      </c>
      <c r="F80" s="1122">
        <f>F78-F79</f>
        <v>6.0200000000000005</v>
      </c>
      <c r="G80" s="1122">
        <f>G78-G79</f>
        <v>4.5500000000000007</v>
      </c>
      <c r="H80" s="1122">
        <f>H78-H79</f>
        <v>6.04</v>
      </c>
      <c r="I80" s="1122">
        <f>I78-I79</f>
        <v>5.0500000000000007</v>
      </c>
      <c r="J80" s="1122">
        <f>J78-J79</f>
        <v>5.0500000000000007</v>
      </c>
      <c r="K80" s="1122">
        <f>K78-K79</f>
        <v>1.52</v>
      </c>
      <c r="L80" s="1122">
        <f>L78-L79</f>
        <v>2.0200000000000005</v>
      </c>
      <c r="M80" s="1122">
        <f>M78-M79</f>
        <v>1.05</v>
      </c>
      <c r="N80" s="1122"/>
      <c r="R80" s="300"/>
      <c r="S80" s="300"/>
      <c r="T80" s="300"/>
      <c r="U80" s="300"/>
      <c r="V80" s="300"/>
      <c r="W80" s="300"/>
      <c r="X80" s="300"/>
      <c r="Y80" s="300"/>
      <c r="Z80" s="300"/>
      <c r="AA80" s="300"/>
      <c r="AB80" s="300"/>
    </row>
    <row r="81" spans="1:28">
      <c r="A81" s="300"/>
      <c r="B81" s="1138" t="s">
        <v>163</v>
      </c>
      <c r="C81" s="391" t="s">
        <v>49</v>
      </c>
      <c r="D81" s="1140">
        <f>(D83-D85)/D83</f>
        <v>0.76021558434681236</v>
      </c>
      <c r="E81" s="1126">
        <f>E80/E78</f>
        <v>0.79287305122494434</v>
      </c>
      <c r="F81" s="1126">
        <f>F80/F78</f>
        <v>0.86123032904148789</v>
      </c>
      <c r="G81" s="1126">
        <f>G80/G78</f>
        <v>0.82877959927140266</v>
      </c>
      <c r="H81" s="1126">
        <f>H80/H78</f>
        <v>0.86409155937052928</v>
      </c>
      <c r="I81" s="1126">
        <f>I80/I78</f>
        <v>0.8430717863105176</v>
      </c>
      <c r="J81" s="1126">
        <f>J80/J78</f>
        <v>0.8430717863105176</v>
      </c>
      <c r="K81" s="1126">
        <f>K80/K78</f>
        <v>0.62040816326530612</v>
      </c>
      <c r="L81" s="1126">
        <f>L80/L78</f>
        <v>0.67558528428093656</v>
      </c>
      <c r="M81" s="1126">
        <f>M80/M78</f>
        <v>0.52763819095477393</v>
      </c>
      <c r="N81" s="1126"/>
      <c r="R81" s="300"/>
      <c r="S81" s="300"/>
      <c r="T81" s="300"/>
      <c r="U81" s="300"/>
      <c r="V81" s="300"/>
      <c r="W81" s="300"/>
      <c r="X81" s="300"/>
      <c r="Y81" s="300"/>
      <c r="Z81" s="300"/>
      <c r="AA81" s="300"/>
      <c r="AB81" s="300"/>
    </row>
    <row r="82" spans="1:28">
      <c r="A82" s="300"/>
      <c r="B82" s="1138" t="s">
        <v>162</v>
      </c>
      <c r="C82" s="391" t="s">
        <v>161</v>
      </c>
      <c r="D82" s="1139"/>
      <c r="E82" s="1127">
        <f>70:70</f>
        <v>10350.923520417262</v>
      </c>
      <c r="F82" s="1127">
        <f>70:70</f>
        <v>10011.717753559007</v>
      </c>
      <c r="G82" s="1127">
        <f>70:70</f>
        <v>7572.4279361728004</v>
      </c>
      <c r="H82" s="1127">
        <f>70:70</f>
        <v>20575.516311046402</v>
      </c>
      <c r="I82" s="1127">
        <f>70:70</f>
        <v>20575.516311046402</v>
      </c>
      <c r="J82" s="1127">
        <f>70:70</f>
        <v>20575.516311046402</v>
      </c>
      <c r="K82" s="1127">
        <f>70:70</f>
        <v>70129.228228556181</v>
      </c>
      <c r="L82" s="1127">
        <f>70:70</f>
        <v>84184.462324666907</v>
      </c>
      <c r="M82" s="1127">
        <f>70:70</f>
        <v>3191.374073192952</v>
      </c>
      <c r="N82" s="1127"/>
      <c r="R82" s="300"/>
      <c r="S82" s="300"/>
      <c r="T82" s="300"/>
      <c r="U82" s="300"/>
      <c r="V82" s="300"/>
      <c r="W82" s="300"/>
      <c r="X82" s="300"/>
      <c r="Y82" s="300"/>
      <c r="Z82" s="300"/>
      <c r="AA82" s="300"/>
      <c r="AB82" s="300"/>
    </row>
    <row r="83" spans="1:28">
      <c r="A83" s="300"/>
      <c r="B83" s="1138" t="s">
        <v>113</v>
      </c>
      <c r="C83" s="391" t="s">
        <v>50</v>
      </c>
      <c r="D83" s="1141">
        <f>SUM(E83:XN83)</f>
        <v>978226.71341056062</v>
      </c>
      <c r="E83" s="508">
        <f>E78*E82</f>
        <v>46475.646606673508</v>
      </c>
      <c r="F83" s="508">
        <f>F78*F82</f>
        <v>69981.907097377465</v>
      </c>
      <c r="G83" s="508">
        <f>G78*G82</f>
        <v>41572.629369588678</v>
      </c>
      <c r="H83" s="508">
        <f>H78*H82</f>
        <v>143822.85901421437</v>
      </c>
      <c r="I83" s="508">
        <f>I78*I82</f>
        <v>123247.34270316795</v>
      </c>
      <c r="J83" s="508">
        <f>J78*J82</f>
        <v>123247.34270316795</v>
      </c>
      <c r="K83" s="508">
        <f>K78*K82</f>
        <v>171816.60915996265</v>
      </c>
      <c r="L83" s="508">
        <f>L78*L82</f>
        <v>251711.54235075408</v>
      </c>
      <c r="M83" s="508">
        <f>M78*M82</f>
        <v>6350.8344056539745</v>
      </c>
      <c r="N83" s="508"/>
      <c r="R83" s="300"/>
      <c r="S83" s="300"/>
      <c r="T83" s="300"/>
      <c r="U83" s="300"/>
      <c r="V83" s="300"/>
      <c r="W83" s="300"/>
      <c r="X83" s="300"/>
      <c r="Y83" s="300"/>
      <c r="Z83" s="300"/>
      <c r="AA83" s="300"/>
      <c r="AB83" s="300"/>
    </row>
    <row r="84" spans="1:28">
      <c r="A84" s="300"/>
      <c r="B84" s="1138" t="s">
        <v>176</v>
      </c>
      <c r="C84" s="391" t="s">
        <v>49</v>
      </c>
      <c r="D84" s="1142"/>
      <c r="E84" s="1126">
        <f>E83/$D83</f>
        <v>4.7510097577112199E-2</v>
      </c>
      <c r="F84" s="1126">
        <f>F83/$D83</f>
        <v>7.1539558405011722E-2</v>
      </c>
      <c r="G84" s="1126">
        <f>G83/$D83</f>
        <v>4.2497949401368161E-2</v>
      </c>
      <c r="H84" s="1126">
        <f>H83/$D83</f>
        <v>0.14702405591928674</v>
      </c>
      <c r="I84" s="1126">
        <f>I83/$D83</f>
        <v>0.12599057152453899</v>
      </c>
      <c r="J84" s="1126">
        <f>J83/$D83</f>
        <v>0.12599057152453899</v>
      </c>
      <c r="K84" s="1126">
        <f>K83/$D83</f>
        <v>0.17564088856347906</v>
      </c>
      <c r="L84" s="1126">
        <f>L83/$D83</f>
        <v>0.25731411634954099</v>
      </c>
      <c r="M84" s="1126">
        <f>M83/$D83</f>
        <v>6.4921907351231135E-3</v>
      </c>
      <c r="N84" s="1126"/>
      <c r="R84" s="300"/>
      <c r="S84" s="300"/>
      <c r="T84" s="300"/>
      <c r="U84" s="300"/>
      <c r="V84" s="300"/>
      <c r="W84" s="300"/>
      <c r="X84" s="300"/>
      <c r="Y84" s="300"/>
      <c r="Z84" s="300"/>
      <c r="AA84" s="300"/>
      <c r="AB84" s="300"/>
    </row>
    <row r="85" spans="1:28">
      <c r="A85" s="300"/>
      <c r="B85" s="1138" t="s">
        <v>469</v>
      </c>
      <c r="C85" s="391" t="s">
        <v>50</v>
      </c>
      <c r="D85" s="1141">
        <f>SUM(E85:XN85)</f>
        <v>234563.52085148953</v>
      </c>
      <c r="E85" s="508">
        <f>E79*E82</f>
        <v>9626.3588739880543</v>
      </c>
      <c r="F85" s="508">
        <f>F79*F82</f>
        <v>9711.3662209522372</v>
      </c>
      <c r="G85" s="508">
        <f>G79*G82</f>
        <v>7118.0822600024321</v>
      </c>
      <c r="H85" s="508">
        <f>H79*H82</f>
        <v>19546.740495494079</v>
      </c>
      <c r="I85" s="508">
        <f>I79*I82</f>
        <v>19340.985332383618</v>
      </c>
      <c r="J85" s="508">
        <f>J79*J82</f>
        <v>19340.985332383618</v>
      </c>
      <c r="K85" s="508">
        <f>K79*K82</f>
        <v>65220.18225255725</v>
      </c>
      <c r="L85" s="508">
        <f>L79*L82</f>
        <v>81658.928454926892</v>
      </c>
      <c r="M85" s="508">
        <f>M79*M82</f>
        <v>2999.8916288013747</v>
      </c>
      <c r="N85" s="508"/>
      <c r="R85" s="300"/>
      <c r="S85" s="300"/>
      <c r="T85" s="300"/>
      <c r="U85" s="300"/>
      <c r="V85" s="300"/>
      <c r="W85" s="300"/>
      <c r="X85" s="300"/>
      <c r="Y85" s="300"/>
      <c r="Z85" s="300"/>
      <c r="AA85" s="300"/>
      <c r="AB85" s="300"/>
    </row>
    <row r="86" spans="1:28">
      <c r="A86" s="300"/>
      <c r="B86" s="1138" t="s">
        <v>111</v>
      </c>
      <c r="C86" s="391" t="s">
        <v>50</v>
      </c>
      <c r="D86" s="1141">
        <f>SUM(E86:XN86)</f>
        <v>743663.19255907112</v>
      </c>
      <c r="E86" s="508">
        <f>E83-E85</f>
        <v>36849.28773268545</v>
      </c>
      <c r="F86" s="508">
        <f>F83-F85</f>
        <v>60270.540876425228</v>
      </c>
      <c r="G86" s="508">
        <f>G83-G85</f>
        <v>34454.547109586245</v>
      </c>
      <c r="H86" s="508">
        <f>H83-H85</f>
        <v>124276.11851872029</v>
      </c>
      <c r="I86" s="508">
        <f>I83-I85</f>
        <v>103906.35737078433</v>
      </c>
      <c r="J86" s="508">
        <f>J83-J85</f>
        <v>103906.35737078433</v>
      </c>
      <c r="K86" s="508">
        <f>K83-K85</f>
        <v>106596.4269074054</v>
      </c>
      <c r="L86" s="508">
        <f>L83-L85</f>
        <v>170052.61389582721</v>
      </c>
      <c r="M86" s="508">
        <f>M83-M85</f>
        <v>3350.9427768525998</v>
      </c>
      <c r="N86" s="508"/>
      <c r="R86" s="300"/>
      <c r="S86" s="300"/>
      <c r="T86" s="300"/>
      <c r="U86" s="300"/>
      <c r="V86" s="300"/>
      <c r="W86" s="300"/>
      <c r="X86" s="300"/>
      <c r="Y86" s="300"/>
      <c r="Z86" s="300"/>
      <c r="AA86" s="300"/>
      <c r="AB86" s="300"/>
    </row>
    <row r="87" spans="1:28">
      <c r="A87" s="300"/>
      <c r="B87" s="1138"/>
      <c r="C87" s="391" t="s">
        <v>49</v>
      </c>
      <c r="D87" s="1139"/>
      <c r="E87" s="1126">
        <f>E86/$D86</f>
        <v>4.9551044211131122E-2</v>
      </c>
      <c r="F87" s="1126">
        <f>F86/$D86</f>
        <v>8.1045480641611531E-2</v>
      </c>
      <c r="G87" s="1126">
        <f>G86/$D86</f>
        <v>4.6330849038019893E-2</v>
      </c>
      <c r="H87" s="1126">
        <f>H86/$D86</f>
        <v>0.16711344565953989</v>
      </c>
      <c r="I87" s="1126">
        <f>I86/$D86</f>
        <v>0.13972233453322455</v>
      </c>
      <c r="J87" s="1126">
        <f>J86/$D86</f>
        <v>0.13972233453322455</v>
      </c>
      <c r="K87" s="1126">
        <f>K86/$D86</f>
        <v>0.14333965694952447</v>
      </c>
      <c r="L87" s="1126">
        <f>L86/$D86</f>
        <v>0.22866885923269556</v>
      </c>
      <c r="M87" s="1126">
        <f>M86/$D86</f>
        <v>4.505995201028355E-3</v>
      </c>
      <c r="N87" s="1126"/>
      <c r="R87" s="300"/>
      <c r="S87" s="300"/>
      <c r="T87" s="300"/>
      <c r="U87" s="300"/>
      <c r="V87" s="300"/>
      <c r="W87" s="300"/>
      <c r="X87" s="300"/>
      <c r="Y87" s="300"/>
      <c r="Z87" s="300"/>
      <c r="AA87" s="300"/>
      <c r="AB87" s="300"/>
    </row>
    <row r="88" spans="1:28">
      <c r="A88" s="300"/>
      <c r="B88" s="1143" t="s">
        <v>175</v>
      </c>
      <c r="C88" s="1144" t="s">
        <v>174</v>
      </c>
      <c r="D88" s="1145">
        <f>D77/D86*12</f>
        <v>4.0340842871038056</v>
      </c>
      <c r="E88" s="382"/>
      <c r="F88" s="303"/>
      <c r="G88" s="303"/>
      <c r="H88" s="303"/>
      <c r="I88" s="382"/>
      <c r="J88" s="303"/>
      <c r="K88" s="382"/>
      <c r="L88" s="382"/>
      <c r="M88" s="1079"/>
      <c r="N88" s="382"/>
      <c r="R88" s="300"/>
      <c r="S88" s="300"/>
      <c r="T88" s="300"/>
      <c r="U88" s="300"/>
      <c r="V88" s="300"/>
      <c r="W88" s="300"/>
      <c r="X88" s="300"/>
      <c r="Y88" s="300"/>
      <c r="Z88" s="300"/>
      <c r="AA88" s="300"/>
      <c r="AB88" s="300"/>
    </row>
    <row r="89" spans="1:28" ht="12" thickBot="1">
      <c r="A89" s="300"/>
      <c r="B89" s="1146" t="s">
        <v>173</v>
      </c>
      <c r="C89" s="1147" t="s">
        <v>113</v>
      </c>
      <c r="D89" s="1148">
        <f>D77/D81</f>
        <v>328854.08448289498</v>
      </c>
      <c r="E89" s="1149"/>
      <c r="F89" s="1150"/>
      <c r="G89" s="1150"/>
      <c r="H89" s="1150"/>
      <c r="I89" s="1149"/>
      <c r="J89" s="1150"/>
      <c r="K89" s="1149"/>
      <c r="L89" s="1149"/>
      <c r="M89" s="1151"/>
      <c r="N89" s="1149"/>
      <c r="R89" s="300"/>
      <c r="S89" s="300"/>
      <c r="T89" s="300"/>
      <c r="U89" s="300"/>
      <c r="V89" s="300"/>
      <c r="W89" s="300"/>
      <c r="X89" s="300"/>
      <c r="Y89" s="300"/>
      <c r="Z89" s="300"/>
      <c r="AA89" s="300"/>
      <c r="AB89" s="300"/>
    </row>
    <row r="90" spans="1:28" ht="12" thickBot="1">
      <c r="A90" s="300"/>
      <c r="B90" s="1152"/>
      <c r="C90" s="1144"/>
      <c r="D90" s="1153"/>
      <c r="E90" s="382"/>
      <c r="F90" s="303"/>
      <c r="G90" s="303"/>
      <c r="H90" s="303"/>
      <c r="I90" s="382"/>
      <c r="J90" s="303"/>
      <c r="K90" s="382"/>
      <c r="L90" s="382"/>
      <c r="M90" s="1079"/>
      <c r="N90" s="382"/>
      <c r="R90" s="300"/>
      <c r="S90" s="300"/>
      <c r="T90" s="300"/>
      <c r="U90" s="300"/>
      <c r="V90" s="300"/>
      <c r="W90" s="300"/>
      <c r="X90" s="300"/>
      <c r="Y90" s="300"/>
      <c r="Z90" s="300"/>
      <c r="AA90" s="300"/>
      <c r="AB90" s="300"/>
    </row>
    <row r="91" spans="1:28">
      <c r="A91" s="1133" t="s">
        <v>177</v>
      </c>
      <c r="B91" s="1154" t="s">
        <v>129</v>
      </c>
      <c r="C91" s="1155" t="s">
        <v>50</v>
      </c>
      <c r="D91" s="1009">
        <v>230000</v>
      </c>
      <c r="E91" s="1156"/>
      <c r="F91" s="1156"/>
      <c r="G91" s="1156"/>
      <c r="H91" s="1156"/>
      <c r="I91" s="1157"/>
      <c r="J91" s="1157"/>
      <c r="K91" s="1157"/>
      <c r="L91" s="1157"/>
      <c r="M91" s="1157"/>
      <c r="N91" s="1157"/>
      <c r="R91" s="300"/>
      <c r="S91" s="300"/>
      <c r="T91" s="300"/>
      <c r="U91" s="300"/>
      <c r="V91" s="300"/>
      <c r="W91" s="300"/>
      <c r="X91" s="300"/>
      <c r="Y91" s="300"/>
      <c r="Z91" s="300"/>
      <c r="AA91" s="300"/>
      <c r="AB91" s="300"/>
    </row>
    <row r="92" spans="1:28">
      <c r="A92" s="300"/>
      <c r="B92" s="1158" t="s">
        <v>167</v>
      </c>
      <c r="C92" s="305" t="s">
        <v>50</v>
      </c>
      <c r="D92" s="1159"/>
      <c r="E92" s="1122">
        <f>E78</f>
        <v>4.49</v>
      </c>
      <c r="F92" s="1122">
        <f>F78</f>
        <v>6.99</v>
      </c>
      <c r="G92" s="1122">
        <f>G78</f>
        <v>5.49</v>
      </c>
      <c r="H92" s="1122">
        <f>H78</f>
        <v>6.99</v>
      </c>
      <c r="I92" s="1122">
        <f>I78</f>
        <v>5.99</v>
      </c>
      <c r="J92" s="1122">
        <f>J78</f>
        <v>5.99</v>
      </c>
      <c r="K92" s="1122">
        <f>K78</f>
        <v>2.4500000000000002</v>
      </c>
      <c r="L92" s="1122">
        <f>L78</f>
        <v>2.99</v>
      </c>
      <c r="M92" s="1122">
        <f>M78</f>
        <v>1.99</v>
      </c>
      <c r="N92" s="1122"/>
      <c r="R92" s="300"/>
      <c r="S92" s="300"/>
      <c r="T92" s="300"/>
      <c r="U92" s="300"/>
      <c r="V92" s="300"/>
      <c r="W92" s="300"/>
      <c r="X92" s="300"/>
      <c r="Y92" s="300"/>
      <c r="Z92" s="300"/>
      <c r="AA92" s="300"/>
      <c r="AB92" s="300"/>
    </row>
    <row r="93" spans="1:28">
      <c r="A93" s="300"/>
      <c r="B93" s="1158" t="s">
        <v>165</v>
      </c>
      <c r="C93" s="305" t="s">
        <v>50</v>
      </c>
      <c r="D93" s="1159"/>
      <c r="E93" s="1122">
        <f>E79</f>
        <v>0.93</v>
      </c>
      <c r="F93" s="1122">
        <f>F79</f>
        <v>0.97</v>
      </c>
      <c r="G93" s="1122">
        <f>G79</f>
        <v>0.94</v>
      </c>
      <c r="H93" s="1122">
        <f>H79</f>
        <v>0.95</v>
      </c>
      <c r="I93" s="1122">
        <f>I79</f>
        <v>0.94</v>
      </c>
      <c r="J93" s="1122">
        <f>J79</f>
        <v>0.94</v>
      </c>
      <c r="K93" s="1122">
        <f>K79</f>
        <v>0.93</v>
      </c>
      <c r="L93" s="1122">
        <f>L79</f>
        <v>0.97</v>
      </c>
      <c r="M93" s="1122">
        <f>M79</f>
        <v>0.94</v>
      </c>
      <c r="N93" s="1122"/>
      <c r="R93" s="300"/>
      <c r="S93" s="300"/>
      <c r="T93" s="300"/>
      <c r="U93" s="300"/>
      <c r="V93" s="300"/>
      <c r="W93" s="300"/>
      <c r="X93" s="300"/>
      <c r="Y93" s="300"/>
      <c r="Z93" s="300"/>
      <c r="AA93" s="300"/>
      <c r="AB93" s="300"/>
    </row>
    <row r="94" spans="1:28">
      <c r="A94" s="300"/>
      <c r="B94" s="1158" t="s">
        <v>164</v>
      </c>
      <c r="C94" s="305" t="s">
        <v>50</v>
      </c>
      <c r="D94" s="1159"/>
      <c r="E94" s="1122">
        <f>E92-E93</f>
        <v>3.56</v>
      </c>
      <c r="F94" s="1122">
        <f>F92-F93</f>
        <v>6.0200000000000005</v>
      </c>
      <c r="G94" s="1122">
        <f>G92-G93</f>
        <v>4.5500000000000007</v>
      </c>
      <c r="H94" s="1122">
        <f>H92-H93</f>
        <v>6.04</v>
      </c>
      <c r="I94" s="1122">
        <f>I92-I93</f>
        <v>5.0500000000000007</v>
      </c>
      <c r="J94" s="1122">
        <f>J92-J93</f>
        <v>5.0500000000000007</v>
      </c>
      <c r="K94" s="1122">
        <f>K92-K93</f>
        <v>1.52</v>
      </c>
      <c r="L94" s="1122">
        <f>L92-L93</f>
        <v>2.0200000000000005</v>
      </c>
      <c r="M94" s="1122">
        <f>M92-M93</f>
        <v>1.05</v>
      </c>
      <c r="N94" s="1122"/>
      <c r="R94" s="300"/>
      <c r="S94" s="300"/>
      <c r="T94" s="300"/>
      <c r="U94" s="300"/>
      <c r="V94" s="300"/>
      <c r="W94" s="300"/>
      <c r="X94" s="300"/>
      <c r="Y94" s="300"/>
      <c r="Z94" s="300"/>
      <c r="AA94" s="300"/>
      <c r="AB94" s="300"/>
    </row>
    <row r="95" spans="1:28">
      <c r="A95" s="300"/>
      <c r="B95" s="1158" t="s">
        <v>163</v>
      </c>
      <c r="C95" s="305" t="s">
        <v>49</v>
      </c>
      <c r="D95" s="1160">
        <f>(D97-D99)/D97</f>
        <v>0.76021558434681236</v>
      </c>
      <c r="E95" s="1126">
        <f>E94/E92</f>
        <v>0.79287305122494434</v>
      </c>
      <c r="F95" s="1126">
        <f>F94/F92</f>
        <v>0.86123032904148789</v>
      </c>
      <c r="G95" s="1126">
        <f>G94/G92</f>
        <v>0.82877959927140266</v>
      </c>
      <c r="H95" s="1126">
        <f>H94/H92</f>
        <v>0.86409155937052928</v>
      </c>
      <c r="I95" s="1126">
        <f>I94/I92</f>
        <v>0.8430717863105176</v>
      </c>
      <c r="J95" s="1126">
        <f>J94/J92</f>
        <v>0.8430717863105176</v>
      </c>
      <c r="K95" s="1126">
        <f>K94/K92</f>
        <v>0.62040816326530612</v>
      </c>
      <c r="L95" s="1126">
        <f>L94/L92</f>
        <v>0.67558528428093656</v>
      </c>
      <c r="M95" s="1126">
        <f>M94/M92</f>
        <v>0.52763819095477393</v>
      </c>
      <c r="N95" s="1126"/>
      <c r="R95" s="300"/>
      <c r="S95" s="300"/>
      <c r="T95" s="300"/>
      <c r="U95" s="300"/>
      <c r="V95" s="300"/>
      <c r="W95" s="300"/>
      <c r="X95" s="300"/>
      <c r="Y95" s="300"/>
      <c r="Z95" s="300"/>
      <c r="AA95" s="300"/>
      <c r="AB95" s="300"/>
    </row>
    <row r="96" spans="1:28">
      <c r="A96" s="300"/>
      <c r="B96" s="1158" t="s">
        <v>162</v>
      </c>
      <c r="C96" s="305" t="s">
        <v>161</v>
      </c>
      <c r="D96" s="1159"/>
      <c r="E96" s="1127">
        <f>E70</f>
        <v>10350.923520417262</v>
      </c>
      <c r="F96" s="1127">
        <f>F70</f>
        <v>10011.717753559007</v>
      </c>
      <c r="G96" s="1127">
        <f>G70</f>
        <v>7572.4279361728004</v>
      </c>
      <c r="H96" s="1127">
        <f>H70</f>
        <v>20575.516311046402</v>
      </c>
      <c r="I96" s="1127">
        <f>I70</f>
        <v>20575.516311046402</v>
      </c>
      <c r="J96" s="1127">
        <f>J70</f>
        <v>20575.516311046402</v>
      </c>
      <c r="K96" s="1127">
        <f>K70</f>
        <v>70129.228228556181</v>
      </c>
      <c r="L96" s="1127">
        <f>L70</f>
        <v>84184.462324666907</v>
      </c>
      <c r="M96" s="1127">
        <f>M70</f>
        <v>3191.374073192952</v>
      </c>
      <c r="N96" s="1127"/>
      <c r="R96" s="300"/>
      <c r="S96" s="300"/>
      <c r="T96" s="300"/>
      <c r="U96" s="300"/>
      <c r="V96" s="300"/>
      <c r="W96" s="300"/>
      <c r="X96" s="300"/>
      <c r="Y96" s="300"/>
      <c r="Z96" s="300"/>
      <c r="AA96" s="300"/>
      <c r="AB96" s="300"/>
    </row>
    <row r="97" spans="1:28">
      <c r="A97" s="300"/>
      <c r="B97" s="1158" t="s">
        <v>113</v>
      </c>
      <c r="C97" s="305" t="s">
        <v>50</v>
      </c>
      <c r="D97" s="1161">
        <f>SUM(E97:XN97)</f>
        <v>978226.71341056062</v>
      </c>
      <c r="E97" s="508">
        <f>E92*E96</f>
        <v>46475.646606673508</v>
      </c>
      <c r="F97" s="508">
        <f>F92*F96</f>
        <v>69981.907097377465</v>
      </c>
      <c r="G97" s="508">
        <f>G92*G96</f>
        <v>41572.629369588678</v>
      </c>
      <c r="H97" s="508">
        <f>H92*H96</f>
        <v>143822.85901421437</v>
      </c>
      <c r="I97" s="508">
        <f>I92*I96</f>
        <v>123247.34270316795</v>
      </c>
      <c r="J97" s="508">
        <f>J92*J96</f>
        <v>123247.34270316795</v>
      </c>
      <c r="K97" s="508">
        <f>K92*K96</f>
        <v>171816.60915996265</v>
      </c>
      <c r="L97" s="508">
        <f>L92*L96</f>
        <v>251711.54235075408</v>
      </c>
      <c r="M97" s="508">
        <f>M92*M96</f>
        <v>6350.8344056539745</v>
      </c>
      <c r="N97" s="508"/>
      <c r="R97" s="300"/>
      <c r="S97" s="300"/>
      <c r="T97" s="300"/>
      <c r="U97" s="300"/>
      <c r="V97" s="300"/>
      <c r="W97" s="300"/>
      <c r="X97" s="300"/>
      <c r="Y97" s="300"/>
      <c r="Z97" s="300"/>
      <c r="AA97" s="300"/>
      <c r="AB97" s="300"/>
    </row>
    <row r="98" spans="1:28">
      <c r="A98" s="300"/>
      <c r="B98" s="1158" t="s">
        <v>176</v>
      </c>
      <c r="C98" s="305" t="s">
        <v>49</v>
      </c>
      <c r="D98" s="1162"/>
      <c r="E98" s="1126">
        <f>E97/$D97</f>
        <v>4.7510097577112199E-2</v>
      </c>
      <c r="F98" s="1126">
        <f>F97/$D97</f>
        <v>7.1539558405011722E-2</v>
      </c>
      <c r="G98" s="1126">
        <f>G97/$D97</f>
        <v>4.2497949401368161E-2</v>
      </c>
      <c r="H98" s="1126">
        <f>H97/$D97</f>
        <v>0.14702405591928674</v>
      </c>
      <c r="I98" s="1126">
        <f>I97/$D97</f>
        <v>0.12599057152453899</v>
      </c>
      <c r="J98" s="1126">
        <f>J97/$D97</f>
        <v>0.12599057152453899</v>
      </c>
      <c r="K98" s="1126">
        <f>K97/$D97</f>
        <v>0.17564088856347906</v>
      </c>
      <c r="L98" s="1126">
        <f>L97/$D97</f>
        <v>0.25731411634954099</v>
      </c>
      <c r="M98" s="1126">
        <f>M97/$D97</f>
        <v>6.4921907351231135E-3</v>
      </c>
      <c r="N98" s="1126"/>
      <c r="R98" s="300"/>
      <c r="S98" s="300"/>
      <c r="T98" s="300"/>
      <c r="U98" s="300"/>
      <c r="V98" s="300"/>
      <c r="W98" s="300"/>
      <c r="X98" s="300"/>
      <c r="Y98" s="300"/>
      <c r="Z98" s="300"/>
      <c r="AA98" s="300"/>
      <c r="AB98" s="300"/>
    </row>
    <row r="99" spans="1:28">
      <c r="A99" s="300"/>
      <c r="B99" s="1158" t="s">
        <v>469</v>
      </c>
      <c r="C99" s="305" t="s">
        <v>50</v>
      </c>
      <c r="D99" s="1161">
        <f>SUM(E99:XN99)</f>
        <v>234563.52085148953</v>
      </c>
      <c r="E99" s="508">
        <f>E93*E96</f>
        <v>9626.3588739880543</v>
      </c>
      <c r="F99" s="508">
        <f>F93*F96</f>
        <v>9711.3662209522372</v>
      </c>
      <c r="G99" s="508">
        <f>G93*G96</f>
        <v>7118.0822600024321</v>
      </c>
      <c r="H99" s="508">
        <f>H93*H96</f>
        <v>19546.740495494079</v>
      </c>
      <c r="I99" s="508">
        <f>I93*I96</f>
        <v>19340.985332383618</v>
      </c>
      <c r="J99" s="508">
        <f>J93*J96</f>
        <v>19340.985332383618</v>
      </c>
      <c r="K99" s="508">
        <f>K93*K96</f>
        <v>65220.18225255725</v>
      </c>
      <c r="L99" s="508">
        <f>L93*L96</f>
        <v>81658.928454926892</v>
      </c>
      <c r="M99" s="508">
        <f>M93*M96</f>
        <v>2999.8916288013747</v>
      </c>
      <c r="N99" s="508"/>
      <c r="R99" s="300"/>
      <c r="S99" s="300"/>
      <c r="T99" s="300"/>
      <c r="U99" s="300"/>
      <c r="V99" s="300"/>
      <c r="W99" s="300"/>
      <c r="X99" s="300"/>
      <c r="Y99" s="300"/>
      <c r="Z99" s="300"/>
      <c r="AA99" s="300"/>
      <c r="AB99" s="300"/>
    </row>
    <row r="100" spans="1:28">
      <c r="A100" s="300"/>
      <c r="B100" s="1158" t="s">
        <v>111</v>
      </c>
      <c r="C100" s="305" t="s">
        <v>50</v>
      </c>
      <c r="D100" s="1161">
        <f>SUM(E100:XN100)</f>
        <v>743663.19255907112</v>
      </c>
      <c r="E100" s="508">
        <f>E97-E99</f>
        <v>36849.28773268545</v>
      </c>
      <c r="F100" s="508">
        <f>F97-F99</f>
        <v>60270.540876425228</v>
      </c>
      <c r="G100" s="508">
        <f>G97-G99</f>
        <v>34454.547109586245</v>
      </c>
      <c r="H100" s="508">
        <f>H97-H99</f>
        <v>124276.11851872029</v>
      </c>
      <c r="I100" s="508">
        <f>I97-I99</f>
        <v>103906.35737078433</v>
      </c>
      <c r="J100" s="508">
        <f>J97-J99</f>
        <v>103906.35737078433</v>
      </c>
      <c r="K100" s="508">
        <f>K97-K99</f>
        <v>106596.4269074054</v>
      </c>
      <c r="L100" s="508">
        <f>L97-L99</f>
        <v>170052.61389582721</v>
      </c>
      <c r="M100" s="508">
        <f>M97-M99</f>
        <v>3350.9427768525998</v>
      </c>
      <c r="N100" s="508"/>
      <c r="R100" s="300"/>
      <c r="S100" s="300"/>
      <c r="T100" s="300"/>
      <c r="U100" s="300"/>
      <c r="V100" s="300"/>
      <c r="W100" s="300"/>
      <c r="X100" s="300"/>
      <c r="Y100" s="300"/>
      <c r="Z100" s="300"/>
      <c r="AA100" s="300"/>
      <c r="AB100" s="300"/>
    </row>
    <row r="101" spans="1:28">
      <c r="A101" s="300"/>
      <c r="B101" s="1158"/>
      <c r="C101" s="305" t="s">
        <v>49</v>
      </c>
      <c r="D101" s="1159"/>
      <c r="E101" s="1126">
        <f>E100/$D100</f>
        <v>4.9551044211131122E-2</v>
      </c>
      <c r="F101" s="1126">
        <f>F100/$D100</f>
        <v>8.1045480641611531E-2</v>
      </c>
      <c r="G101" s="1126">
        <f>G100/$D100</f>
        <v>4.6330849038019893E-2</v>
      </c>
      <c r="H101" s="1126">
        <f>H100/$D100</f>
        <v>0.16711344565953989</v>
      </c>
      <c r="I101" s="1126">
        <f>I100/$D100</f>
        <v>0.13972233453322455</v>
      </c>
      <c r="J101" s="1126">
        <f>J100/$D100</f>
        <v>0.13972233453322455</v>
      </c>
      <c r="K101" s="1126">
        <f>K100/$D100</f>
        <v>0.14333965694952447</v>
      </c>
      <c r="L101" s="1126">
        <f>L100/$D100</f>
        <v>0.22866885923269556</v>
      </c>
      <c r="M101" s="1126">
        <f>M100/$D100</f>
        <v>4.505995201028355E-3</v>
      </c>
      <c r="N101" s="1126"/>
      <c r="R101" s="300"/>
      <c r="S101" s="300"/>
      <c r="T101" s="300"/>
      <c r="U101" s="300"/>
      <c r="V101" s="300"/>
      <c r="W101" s="300"/>
      <c r="X101" s="300"/>
      <c r="Y101" s="300"/>
      <c r="Z101" s="300"/>
      <c r="AA101" s="300"/>
      <c r="AB101" s="300"/>
    </row>
    <row r="102" spans="1:28">
      <c r="A102" s="300"/>
      <c r="B102" s="1163" t="s">
        <v>175</v>
      </c>
      <c r="C102" s="1164" t="s">
        <v>174</v>
      </c>
      <c r="D102" s="1165">
        <f>D91/D100*12</f>
        <v>3.7113575441355002</v>
      </c>
      <c r="E102" s="382"/>
      <c r="F102" s="303"/>
      <c r="G102" s="303"/>
      <c r="H102" s="303"/>
      <c r="I102" s="382"/>
      <c r="J102" s="303"/>
      <c r="K102" s="382"/>
      <c r="L102" s="1144"/>
      <c r="M102" s="1166"/>
      <c r="N102" s="298"/>
      <c r="R102" s="300"/>
      <c r="S102" s="300"/>
      <c r="T102" s="300"/>
      <c r="U102" s="300"/>
      <c r="V102" s="300"/>
      <c r="W102" s="300"/>
      <c r="X102" s="300"/>
      <c r="Y102" s="300"/>
      <c r="Z102" s="300"/>
      <c r="AA102" s="300"/>
      <c r="AB102" s="300"/>
    </row>
    <row r="103" spans="1:28" ht="12" thickBot="1">
      <c r="A103" s="300"/>
      <c r="B103" s="1167" t="s">
        <v>173</v>
      </c>
      <c r="C103" s="1168" t="s">
        <v>113</v>
      </c>
      <c r="D103" s="1169">
        <f>D91/D95</f>
        <v>302545.75772426336</v>
      </c>
      <c r="E103" s="1149"/>
      <c r="F103" s="1170"/>
      <c r="G103" s="1170"/>
      <c r="H103" s="1150"/>
      <c r="I103" s="1149"/>
      <c r="J103" s="1150"/>
      <c r="K103" s="1149"/>
      <c r="L103" s="1147"/>
      <c r="M103" s="1171"/>
      <c r="N103" s="1170"/>
      <c r="R103" s="300"/>
      <c r="S103" s="300"/>
      <c r="T103" s="300"/>
      <c r="U103" s="300"/>
      <c r="V103" s="300"/>
      <c r="W103" s="300"/>
      <c r="X103" s="300"/>
      <c r="Y103" s="300"/>
      <c r="Z103" s="300"/>
      <c r="AA103" s="300"/>
      <c r="AB103" s="300"/>
    </row>
    <row r="104" spans="1:28">
      <c r="A104" s="300"/>
      <c r="B104" s="1100"/>
      <c r="C104" s="1093"/>
      <c r="D104" s="1172"/>
      <c r="E104" s="676"/>
      <c r="F104" s="676"/>
      <c r="G104" s="300"/>
      <c r="I104" s="300"/>
      <c r="K104" s="1093"/>
      <c r="L104" s="1173"/>
      <c r="M104" s="676"/>
      <c r="N104" s="300"/>
      <c r="R104" s="300"/>
      <c r="S104" s="300"/>
      <c r="T104" s="300"/>
      <c r="U104" s="300"/>
      <c r="V104" s="300"/>
      <c r="W104" s="300"/>
      <c r="X104" s="300"/>
      <c r="Y104" s="300"/>
      <c r="Z104" s="300"/>
      <c r="AA104" s="300"/>
      <c r="AB104" s="300"/>
    </row>
    <row r="105" spans="1:28">
      <c r="B105" s="300"/>
      <c r="C105" s="300"/>
      <c r="D105" s="676"/>
      <c r="E105" s="676"/>
      <c r="F105" s="300"/>
      <c r="G105" s="300"/>
      <c r="H105" s="300"/>
      <c r="I105" s="300"/>
      <c r="J105" s="300"/>
      <c r="K105" s="300"/>
      <c r="M105" s="676"/>
      <c r="N105" s="676"/>
      <c r="R105" s="300"/>
      <c r="S105" s="300"/>
      <c r="T105" s="300"/>
      <c r="U105" s="300"/>
      <c r="V105" s="300"/>
      <c r="W105" s="300"/>
      <c r="X105" s="300"/>
      <c r="Y105" s="300"/>
      <c r="Z105" s="300"/>
      <c r="AA105" s="300"/>
      <c r="AB105" s="300"/>
    </row>
    <row r="106" spans="1:28" ht="15.75">
      <c r="B106" s="882">
        <v>2.2000000000000002</v>
      </c>
      <c r="C106" s="1174" t="s">
        <v>470</v>
      </c>
      <c r="D106" s="1174"/>
      <c r="E106" s="1174"/>
      <c r="F106" s="1174"/>
      <c r="G106" s="1174"/>
      <c r="H106" s="1174"/>
      <c r="I106" s="1174"/>
      <c r="J106" s="300"/>
      <c r="K106" s="300"/>
      <c r="M106" s="676"/>
      <c r="N106" s="676"/>
      <c r="R106" s="300"/>
      <c r="S106" s="300"/>
      <c r="T106" s="300"/>
      <c r="U106" s="300"/>
      <c r="V106" s="300"/>
      <c r="W106" s="300"/>
      <c r="X106" s="300"/>
      <c r="Y106" s="300"/>
      <c r="Z106" s="300"/>
      <c r="AA106" s="300"/>
      <c r="AB106" s="300"/>
    </row>
    <row r="107" spans="1:28" ht="12" thickBot="1">
      <c r="B107" s="300"/>
      <c r="C107" s="300"/>
      <c r="D107" s="300"/>
      <c r="E107" s="300"/>
      <c r="F107" s="300"/>
      <c r="G107" s="300"/>
      <c r="H107" s="300"/>
      <c r="R107" s="300"/>
      <c r="S107" s="300"/>
      <c r="T107" s="300"/>
      <c r="U107" s="300"/>
      <c r="V107" s="300"/>
      <c r="W107" s="300"/>
      <c r="X107" s="300"/>
      <c r="Y107" s="300"/>
      <c r="Z107" s="300"/>
      <c r="AA107" s="300"/>
      <c r="AB107" s="300"/>
    </row>
    <row r="108" spans="1:28" ht="15" customHeight="1">
      <c r="B108" s="1062"/>
      <c r="C108" s="1063"/>
      <c r="D108" s="1064"/>
      <c r="E108" s="1065" t="s">
        <v>35</v>
      </c>
      <c r="F108" s="1066"/>
      <c r="G108" s="1066"/>
      <c r="H108" s="1066"/>
      <c r="I108" s="1066"/>
      <c r="J108" s="1066"/>
      <c r="K108" s="1066"/>
      <c r="L108" s="1066"/>
      <c r="M108" s="1066"/>
      <c r="N108" s="1066"/>
      <c r="R108" s="300"/>
      <c r="S108" s="300"/>
      <c r="T108" s="300"/>
      <c r="U108" s="300"/>
      <c r="V108" s="300"/>
      <c r="W108" s="300"/>
      <c r="X108" s="300"/>
      <c r="Y108" s="300"/>
      <c r="Z108" s="300"/>
      <c r="AA108" s="300"/>
      <c r="AB108" s="300"/>
    </row>
    <row r="109" spans="1:28" ht="12" thickBot="1">
      <c r="B109" s="1119" t="s">
        <v>168</v>
      </c>
      <c r="C109" s="1070"/>
      <c r="D109" s="1071" t="str">
        <f>$D$64</f>
        <v>TOTAL BRAND 01</v>
      </c>
      <c r="E109" s="1072" t="s">
        <v>699</v>
      </c>
      <c r="F109" s="1072" t="s">
        <v>700</v>
      </c>
      <c r="G109" s="1072" t="s">
        <v>701</v>
      </c>
      <c r="H109" s="1072" t="s">
        <v>702</v>
      </c>
      <c r="I109" s="1072" t="s">
        <v>703</v>
      </c>
      <c r="J109" s="1072" t="s">
        <v>704</v>
      </c>
      <c r="K109" s="1072" t="s">
        <v>705</v>
      </c>
      <c r="L109" s="1072" t="s">
        <v>706</v>
      </c>
      <c r="M109" s="1072" t="s">
        <v>707</v>
      </c>
      <c r="N109" s="1072"/>
      <c r="R109" s="300"/>
      <c r="S109" s="300"/>
      <c r="T109" s="300"/>
      <c r="U109" s="300"/>
      <c r="V109" s="300"/>
      <c r="W109" s="300"/>
      <c r="X109" s="300"/>
      <c r="Y109" s="300"/>
      <c r="Z109" s="300"/>
      <c r="AA109" s="300"/>
      <c r="AB109" s="300"/>
    </row>
    <row r="110" spans="1:28" ht="12" thickTop="1">
      <c r="B110" s="1081" t="s">
        <v>129</v>
      </c>
      <c r="C110" s="1077" t="s">
        <v>50</v>
      </c>
      <c r="D110" s="1080">
        <f>$E$12</f>
        <v>273056.25</v>
      </c>
      <c r="E110" s="303"/>
      <c r="F110" s="303"/>
      <c r="G110" s="303"/>
      <c r="H110" s="303"/>
      <c r="I110" s="382"/>
      <c r="J110" s="382"/>
      <c r="K110" s="382"/>
      <c r="L110" s="382"/>
      <c r="M110" s="382"/>
      <c r="N110" s="382"/>
      <c r="R110" s="300"/>
      <c r="S110" s="300"/>
      <c r="T110" s="300"/>
      <c r="U110" s="300"/>
      <c r="V110" s="300"/>
      <c r="W110" s="300"/>
      <c r="X110" s="300"/>
      <c r="Y110" s="300"/>
      <c r="Z110" s="300"/>
      <c r="AA110" s="300"/>
      <c r="AB110" s="300"/>
    </row>
    <row r="111" spans="1:28">
      <c r="B111" s="1120" t="s">
        <v>167</v>
      </c>
      <c r="C111" s="1077" t="s">
        <v>50</v>
      </c>
      <c r="D111" s="1084"/>
      <c r="E111" s="1175">
        <v>4.49</v>
      </c>
      <c r="F111" s="1175">
        <v>6.99</v>
      </c>
      <c r="G111" s="1175">
        <v>5.49</v>
      </c>
      <c r="H111" s="1175">
        <v>6.99</v>
      </c>
      <c r="I111" s="1175">
        <v>5.99</v>
      </c>
      <c r="J111" s="1175">
        <v>5.99</v>
      </c>
      <c r="K111" s="1175">
        <v>2.4500000000000002</v>
      </c>
      <c r="L111" s="1175">
        <v>2.99</v>
      </c>
      <c r="M111" s="1175">
        <v>1.99</v>
      </c>
      <c r="N111" s="1175"/>
      <c r="R111" s="300"/>
      <c r="S111" s="300"/>
      <c r="T111" s="300"/>
      <c r="U111" s="300"/>
      <c r="V111" s="300"/>
      <c r="W111" s="300"/>
      <c r="X111" s="300"/>
      <c r="Y111" s="300"/>
      <c r="Z111" s="300"/>
      <c r="AA111" s="300"/>
      <c r="AB111" s="300"/>
    </row>
    <row r="112" spans="1:28">
      <c r="B112" s="1081" t="s">
        <v>165</v>
      </c>
      <c r="C112" s="1077" t="s">
        <v>50</v>
      </c>
      <c r="D112" s="1084"/>
      <c r="E112" s="1122">
        <v>0.93</v>
      </c>
      <c r="F112" s="1122">
        <v>0.97</v>
      </c>
      <c r="G112" s="1122">
        <v>0.94</v>
      </c>
      <c r="H112" s="1122">
        <v>0.95</v>
      </c>
      <c r="I112" s="1122">
        <v>0.94</v>
      </c>
      <c r="J112" s="1122">
        <v>0.94</v>
      </c>
      <c r="K112" s="1122">
        <v>0.93</v>
      </c>
      <c r="L112" s="1122">
        <v>0.97</v>
      </c>
      <c r="M112" s="1122">
        <v>0.94</v>
      </c>
      <c r="N112" s="1122"/>
      <c r="R112" s="300"/>
      <c r="S112" s="300"/>
      <c r="T112" s="300"/>
      <c r="U112" s="300"/>
      <c r="V112" s="300"/>
      <c r="W112" s="300"/>
      <c r="X112" s="300"/>
      <c r="Y112" s="300"/>
      <c r="Z112" s="300"/>
      <c r="AA112" s="300"/>
      <c r="AB112" s="300"/>
    </row>
    <row r="113" spans="1:28">
      <c r="B113" s="1081" t="s">
        <v>164</v>
      </c>
      <c r="C113" s="1077" t="s">
        <v>50</v>
      </c>
      <c r="D113" s="1084"/>
      <c r="E113" s="1122">
        <f>E111-E112</f>
        <v>3.56</v>
      </c>
      <c r="F113" s="1122">
        <f>F111-F112</f>
        <v>6.0200000000000005</v>
      </c>
      <c r="G113" s="1122">
        <f>G111-G112</f>
        <v>4.5500000000000007</v>
      </c>
      <c r="H113" s="1122">
        <f>H111-H112</f>
        <v>6.04</v>
      </c>
      <c r="I113" s="1122">
        <f>I111-I112</f>
        <v>5.0500000000000007</v>
      </c>
      <c r="J113" s="1122">
        <f>J111-J112</f>
        <v>5.0500000000000007</v>
      </c>
      <c r="K113" s="1122">
        <f>K111-K112</f>
        <v>1.52</v>
      </c>
      <c r="L113" s="1122">
        <f>L111-L112</f>
        <v>2.0200000000000005</v>
      </c>
      <c r="M113" s="1122">
        <f>M111-M112</f>
        <v>1.05</v>
      </c>
      <c r="N113" s="1122"/>
      <c r="R113" s="300"/>
      <c r="S113" s="300"/>
      <c r="T113" s="300"/>
      <c r="U113" s="300"/>
      <c r="V113" s="300"/>
      <c r="W113" s="300"/>
      <c r="X113" s="300"/>
      <c r="Y113" s="300"/>
      <c r="Z113" s="300"/>
      <c r="AA113" s="300"/>
      <c r="AB113" s="300"/>
    </row>
    <row r="114" spans="1:28">
      <c r="B114" s="1081" t="s">
        <v>163</v>
      </c>
      <c r="C114" s="1077" t="s">
        <v>49</v>
      </c>
      <c r="D114" s="1125">
        <f>(D116-D118)/D116</f>
        <v>0.76021558434681236</v>
      </c>
      <c r="E114" s="1126">
        <f>E113/E111</f>
        <v>0.79287305122494434</v>
      </c>
      <c r="F114" s="1126">
        <f>F113/F111</f>
        <v>0.86123032904148789</v>
      </c>
      <c r="G114" s="1126">
        <f>G113/G111</f>
        <v>0.82877959927140266</v>
      </c>
      <c r="H114" s="1126">
        <f>H113/H111</f>
        <v>0.86409155937052928</v>
      </c>
      <c r="I114" s="1126">
        <f>I113/I111</f>
        <v>0.8430717863105176</v>
      </c>
      <c r="J114" s="1126">
        <f>J113/J111</f>
        <v>0.8430717863105176</v>
      </c>
      <c r="K114" s="1126">
        <f>K113/K111</f>
        <v>0.62040816326530612</v>
      </c>
      <c r="L114" s="1126">
        <f>L113/L111</f>
        <v>0.67558528428093656</v>
      </c>
      <c r="M114" s="1126">
        <f>M113/M111</f>
        <v>0.52763819095477393</v>
      </c>
      <c r="N114" s="1126"/>
      <c r="R114" s="300"/>
      <c r="S114" s="300"/>
      <c r="T114" s="300"/>
      <c r="U114" s="300"/>
      <c r="V114" s="300"/>
      <c r="W114" s="300"/>
      <c r="X114" s="300"/>
      <c r="Y114" s="300"/>
      <c r="Z114" s="300"/>
      <c r="AA114" s="300"/>
      <c r="AB114" s="300"/>
    </row>
    <row r="115" spans="1:28">
      <c r="B115" s="1081" t="s">
        <v>162</v>
      </c>
      <c r="C115" s="1077" t="s">
        <v>161</v>
      </c>
      <c r="D115" s="1084"/>
      <c r="E115" s="1127">
        <v>10350.923520417262</v>
      </c>
      <c r="F115" s="1127">
        <v>10011.717753559007</v>
      </c>
      <c r="G115" s="1127">
        <v>7572.4279361728004</v>
      </c>
      <c r="H115" s="1127">
        <v>20575.516311046402</v>
      </c>
      <c r="I115" s="1127">
        <v>20575.516311046402</v>
      </c>
      <c r="J115" s="1127">
        <v>20575.516311046402</v>
      </c>
      <c r="K115" s="1127">
        <v>70129.228228556181</v>
      </c>
      <c r="L115" s="1127">
        <v>84184.462324666907</v>
      </c>
      <c r="M115" s="1127">
        <v>3191.374073192952</v>
      </c>
      <c r="N115" s="1127"/>
      <c r="R115" s="300"/>
      <c r="S115" s="300"/>
      <c r="T115" s="300"/>
      <c r="U115" s="300"/>
      <c r="V115" s="300"/>
      <c r="W115" s="300"/>
      <c r="X115" s="300"/>
      <c r="Y115" s="300"/>
      <c r="Z115" s="300"/>
      <c r="AA115" s="300"/>
      <c r="AB115" s="300"/>
    </row>
    <row r="116" spans="1:28">
      <c r="B116" s="1081" t="s">
        <v>113</v>
      </c>
      <c r="C116" s="1077" t="s">
        <v>50</v>
      </c>
      <c r="D116" s="1080">
        <f>SUM(E116:XN116)</f>
        <v>978226.71341056062</v>
      </c>
      <c r="E116" s="508">
        <f>E111*E115</f>
        <v>46475.646606673508</v>
      </c>
      <c r="F116" s="508">
        <f>F111*F115</f>
        <v>69981.907097377465</v>
      </c>
      <c r="G116" s="508">
        <f>G111*G115</f>
        <v>41572.629369588678</v>
      </c>
      <c r="H116" s="508">
        <f>H111*H115</f>
        <v>143822.85901421437</v>
      </c>
      <c r="I116" s="508">
        <f>I111*I115</f>
        <v>123247.34270316795</v>
      </c>
      <c r="J116" s="508">
        <f>J111*J115</f>
        <v>123247.34270316795</v>
      </c>
      <c r="K116" s="508">
        <f>K111*K115</f>
        <v>171816.60915996265</v>
      </c>
      <c r="L116" s="508">
        <f>L111*L115</f>
        <v>251711.54235075408</v>
      </c>
      <c r="M116" s="508">
        <f>M111*M115</f>
        <v>6350.8344056539745</v>
      </c>
      <c r="N116" s="508"/>
      <c r="R116" s="300"/>
      <c r="S116" s="300"/>
      <c r="T116" s="300"/>
      <c r="U116" s="300"/>
      <c r="V116" s="300"/>
      <c r="W116" s="300"/>
      <c r="X116" s="300"/>
      <c r="Y116" s="300"/>
      <c r="Z116" s="300"/>
      <c r="AA116" s="300"/>
      <c r="AB116" s="300"/>
    </row>
    <row r="117" spans="1:28">
      <c r="B117" s="1081" t="s">
        <v>176</v>
      </c>
      <c r="C117" s="1077" t="s">
        <v>49</v>
      </c>
      <c r="D117" s="1128"/>
      <c r="E117" s="1126">
        <f>E116/$D116</f>
        <v>4.7510097577112199E-2</v>
      </c>
      <c r="F117" s="1126">
        <f>F116/$D116</f>
        <v>7.1539558405011722E-2</v>
      </c>
      <c r="G117" s="1126">
        <f>G116/$D116</f>
        <v>4.2497949401368161E-2</v>
      </c>
      <c r="H117" s="1126">
        <f>H116/$D116</f>
        <v>0.14702405591928674</v>
      </c>
      <c r="I117" s="1126">
        <f>I116/$D116</f>
        <v>0.12599057152453899</v>
      </c>
      <c r="J117" s="1126">
        <f>J116/$D116</f>
        <v>0.12599057152453899</v>
      </c>
      <c r="K117" s="1126">
        <f>K116/$D116</f>
        <v>0.17564088856347906</v>
      </c>
      <c r="L117" s="1126">
        <f>L116/$D116</f>
        <v>0.25731411634954099</v>
      </c>
      <c r="M117" s="1126">
        <f>M116/$D116</f>
        <v>6.4921907351231135E-3</v>
      </c>
      <c r="N117" s="1126"/>
      <c r="R117" s="300"/>
      <c r="S117" s="300"/>
      <c r="T117" s="300"/>
      <c r="U117" s="300"/>
      <c r="V117" s="300"/>
      <c r="W117" s="300"/>
      <c r="X117" s="300"/>
      <c r="Y117" s="300"/>
      <c r="Z117" s="300"/>
      <c r="AA117" s="300"/>
      <c r="AB117" s="300"/>
    </row>
    <row r="118" spans="1:28">
      <c r="B118" s="1081" t="s">
        <v>469</v>
      </c>
      <c r="C118" s="1077" t="s">
        <v>50</v>
      </c>
      <c r="D118" s="1080">
        <f>SUM(E118:XN118)</f>
        <v>234563.52085148953</v>
      </c>
      <c r="E118" s="508">
        <f>E112*E115</f>
        <v>9626.3588739880543</v>
      </c>
      <c r="F118" s="508">
        <f>F112*F115</f>
        <v>9711.3662209522372</v>
      </c>
      <c r="G118" s="508">
        <f>G112*G115</f>
        <v>7118.0822600024321</v>
      </c>
      <c r="H118" s="508">
        <f>H112*H115</f>
        <v>19546.740495494079</v>
      </c>
      <c r="I118" s="508">
        <f>I112*I115</f>
        <v>19340.985332383618</v>
      </c>
      <c r="J118" s="508">
        <f>J112*J115</f>
        <v>19340.985332383618</v>
      </c>
      <c r="K118" s="508">
        <f>K112*K115</f>
        <v>65220.18225255725</v>
      </c>
      <c r="L118" s="508">
        <f>L112*L115</f>
        <v>81658.928454926892</v>
      </c>
      <c r="M118" s="508">
        <f>M112*M115</f>
        <v>2999.8916288013747</v>
      </c>
      <c r="N118" s="508"/>
      <c r="R118" s="300"/>
      <c r="S118" s="300"/>
      <c r="T118" s="300"/>
      <c r="U118" s="300"/>
      <c r="V118" s="300"/>
      <c r="W118" s="300"/>
      <c r="X118" s="300"/>
      <c r="Y118" s="300"/>
      <c r="Z118" s="300"/>
      <c r="AA118" s="300"/>
      <c r="AB118" s="300"/>
    </row>
    <row r="119" spans="1:28">
      <c r="B119" s="1081" t="s">
        <v>111</v>
      </c>
      <c r="C119" s="1077" t="s">
        <v>50</v>
      </c>
      <c r="D119" s="1080">
        <f>SUM(E119:XN119)</f>
        <v>743663.19255907112</v>
      </c>
      <c r="E119" s="508">
        <f>E116-E118</f>
        <v>36849.28773268545</v>
      </c>
      <c r="F119" s="508">
        <f>F116-F118</f>
        <v>60270.540876425228</v>
      </c>
      <c r="G119" s="508">
        <f>G116-G118</f>
        <v>34454.547109586245</v>
      </c>
      <c r="H119" s="508">
        <f>H116-H118</f>
        <v>124276.11851872029</v>
      </c>
      <c r="I119" s="508">
        <f>I116-I118</f>
        <v>103906.35737078433</v>
      </c>
      <c r="J119" s="508">
        <f>J116-J118</f>
        <v>103906.35737078433</v>
      </c>
      <c r="K119" s="508">
        <f>K116-K118</f>
        <v>106596.4269074054</v>
      </c>
      <c r="L119" s="508">
        <f>L116-L118</f>
        <v>170052.61389582721</v>
      </c>
      <c r="M119" s="508">
        <f>M116-M118</f>
        <v>3350.9427768525998</v>
      </c>
      <c r="N119" s="508"/>
      <c r="R119" s="300"/>
      <c r="S119" s="300"/>
      <c r="T119" s="300"/>
      <c r="U119" s="300"/>
      <c r="V119" s="300"/>
      <c r="W119" s="300"/>
      <c r="X119" s="300"/>
      <c r="Y119" s="300"/>
      <c r="Z119" s="300"/>
      <c r="AA119" s="300"/>
      <c r="AB119" s="300"/>
    </row>
    <row r="120" spans="1:28" ht="12" thickBot="1">
      <c r="B120" s="1129"/>
      <c r="C120" s="1130" t="s">
        <v>49</v>
      </c>
      <c r="D120" s="1131"/>
      <c r="E120" s="1126">
        <f>E119/$D119</f>
        <v>4.9551044211131122E-2</v>
      </c>
      <c r="F120" s="1126">
        <f>F119/$D119</f>
        <v>8.1045480641611531E-2</v>
      </c>
      <c r="G120" s="1126">
        <f>G119/$D119</f>
        <v>4.6330849038019893E-2</v>
      </c>
      <c r="H120" s="1126">
        <f>H119/$D119</f>
        <v>0.16711344565953989</v>
      </c>
      <c r="I120" s="1126">
        <f>I119/$D119</f>
        <v>0.13972233453322455</v>
      </c>
      <c r="J120" s="1126">
        <f>J119/$D119</f>
        <v>0.13972233453322455</v>
      </c>
      <c r="K120" s="1126">
        <f>K119/$D119</f>
        <v>0.14333965694952447</v>
      </c>
      <c r="L120" s="1126">
        <f>L119/$D119</f>
        <v>0.22866885923269556</v>
      </c>
      <c r="M120" s="1126">
        <f>M119/$D119</f>
        <v>4.505995201028355E-3</v>
      </c>
      <c r="N120" s="1126"/>
      <c r="R120" s="300"/>
      <c r="S120" s="300"/>
      <c r="T120" s="300"/>
      <c r="U120" s="300"/>
      <c r="V120" s="300"/>
      <c r="W120" s="300"/>
      <c r="X120" s="300"/>
      <c r="Y120" s="300"/>
      <c r="Z120" s="300"/>
      <c r="AA120" s="300"/>
      <c r="AB120" s="300"/>
    </row>
    <row r="121" spans="1:28" ht="12" thickBot="1">
      <c r="B121" s="300"/>
      <c r="C121" s="300"/>
      <c r="E121" s="300"/>
      <c r="F121" s="300"/>
      <c r="G121" s="300"/>
      <c r="H121" s="300"/>
      <c r="I121" s="300"/>
      <c r="L121" s="497"/>
      <c r="M121" s="1059"/>
      <c r="R121" s="300"/>
      <c r="S121" s="300"/>
      <c r="T121" s="300"/>
      <c r="U121" s="300"/>
      <c r="V121" s="300"/>
      <c r="W121" s="300"/>
      <c r="X121" s="300"/>
      <c r="Y121" s="300"/>
      <c r="Z121" s="300"/>
      <c r="AA121" s="300"/>
      <c r="AB121" s="300"/>
    </row>
    <row r="122" spans="1:28">
      <c r="B122" s="1176" t="s">
        <v>129</v>
      </c>
      <c r="C122" s="1155" t="s">
        <v>50</v>
      </c>
      <c r="D122" s="1177">
        <f>$E$12</f>
        <v>273056.25</v>
      </c>
      <c r="E122" s="1136"/>
      <c r="F122" s="1136"/>
      <c r="G122" s="1136"/>
      <c r="H122" s="1136"/>
      <c r="I122" s="1137"/>
      <c r="J122" s="1137"/>
      <c r="K122" s="1137"/>
      <c r="L122" s="1137"/>
      <c r="M122" s="1137"/>
      <c r="N122" s="1137"/>
      <c r="R122" s="300"/>
      <c r="S122" s="300"/>
      <c r="T122" s="300"/>
      <c r="U122" s="300"/>
      <c r="V122" s="300"/>
      <c r="W122" s="300"/>
      <c r="X122" s="300"/>
      <c r="Y122" s="300"/>
      <c r="Z122" s="300"/>
      <c r="AA122" s="300"/>
      <c r="AB122" s="300"/>
    </row>
    <row r="123" spans="1:28">
      <c r="A123" s="1133" t="s">
        <v>178</v>
      </c>
      <c r="B123" s="1178" t="s">
        <v>167</v>
      </c>
      <c r="C123" s="305" t="s">
        <v>50</v>
      </c>
      <c r="D123" s="1159"/>
      <c r="E123" s="1010">
        <f>E111</f>
        <v>4.49</v>
      </c>
      <c r="F123" s="1010">
        <f>F111</f>
        <v>6.99</v>
      </c>
      <c r="G123" s="1010">
        <f>G111</f>
        <v>5.49</v>
      </c>
      <c r="H123" s="1010">
        <f>H111</f>
        <v>6.99</v>
      </c>
      <c r="I123" s="1010">
        <f>I111</f>
        <v>5.99</v>
      </c>
      <c r="J123" s="1010">
        <f>J111</f>
        <v>5.99</v>
      </c>
      <c r="K123" s="1010">
        <f>K111</f>
        <v>2.4500000000000002</v>
      </c>
      <c r="L123" s="1010">
        <f>L111</f>
        <v>2.99</v>
      </c>
      <c r="M123" s="1010">
        <f>M111</f>
        <v>1.99</v>
      </c>
      <c r="N123" s="1233"/>
      <c r="O123" s="1234"/>
      <c r="P123" s="1234"/>
      <c r="R123" s="300"/>
      <c r="S123" s="300"/>
      <c r="T123" s="300"/>
      <c r="U123" s="300"/>
      <c r="V123" s="300"/>
      <c r="W123" s="300"/>
      <c r="X123" s="300"/>
      <c r="Y123" s="300"/>
      <c r="Z123" s="300"/>
      <c r="AA123" s="300"/>
      <c r="AB123" s="300"/>
    </row>
    <row r="124" spans="1:28">
      <c r="A124" s="300"/>
      <c r="B124" s="1158" t="s">
        <v>165</v>
      </c>
      <c r="C124" s="305" t="s">
        <v>50</v>
      </c>
      <c r="D124" s="1159"/>
      <c r="E124" s="1122">
        <f>E112</f>
        <v>0.93</v>
      </c>
      <c r="F124" s="1122">
        <f>F112</f>
        <v>0.97</v>
      </c>
      <c r="G124" s="1122">
        <f>G112</f>
        <v>0.94</v>
      </c>
      <c r="H124" s="1122">
        <f>H112</f>
        <v>0.95</v>
      </c>
      <c r="I124" s="1122">
        <f>I112</f>
        <v>0.94</v>
      </c>
      <c r="J124" s="1122">
        <f>J112</f>
        <v>0.94</v>
      </c>
      <c r="K124" s="1122">
        <f>K112</f>
        <v>0.93</v>
      </c>
      <c r="L124" s="1122">
        <f>L112</f>
        <v>0.97</v>
      </c>
      <c r="M124" s="1122">
        <f>M112</f>
        <v>0.94</v>
      </c>
      <c r="N124" s="1122"/>
      <c r="R124" s="300"/>
      <c r="S124" s="300"/>
      <c r="T124" s="300"/>
      <c r="U124" s="300"/>
      <c r="V124" s="300"/>
      <c r="W124" s="300"/>
      <c r="X124" s="300"/>
      <c r="Y124" s="300"/>
      <c r="Z124" s="300"/>
      <c r="AA124" s="300"/>
      <c r="AB124" s="300"/>
    </row>
    <row r="125" spans="1:28">
      <c r="A125" s="300"/>
      <c r="B125" s="1158" t="s">
        <v>164</v>
      </c>
      <c r="C125" s="305" t="s">
        <v>50</v>
      </c>
      <c r="D125" s="1159"/>
      <c r="E125" s="1122">
        <f>E123-E124</f>
        <v>3.56</v>
      </c>
      <c r="F125" s="1122">
        <f>F123-F124</f>
        <v>6.0200000000000005</v>
      </c>
      <c r="G125" s="1122">
        <f>G123-G124</f>
        <v>4.5500000000000007</v>
      </c>
      <c r="H125" s="1122">
        <f>H123-H124</f>
        <v>6.04</v>
      </c>
      <c r="I125" s="1122">
        <f>I123-I124</f>
        <v>5.0500000000000007</v>
      </c>
      <c r="J125" s="1122">
        <f>J123-J124</f>
        <v>5.0500000000000007</v>
      </c>
      <c r="K125" s="1122">
        <f>K123-K124</f>
        <v>1.52</v>
      </c>
      <c r="L125" s="1122">
        <f>L123-L124</f>
        <v>2.0200000000000005</v>
      </c>
      <c r="M125" s="1122">
        <f>M123-M124</f>
        <v>1.05</v>
      </c>
      <c r="N125" s="1122"/>
      <c r="R125" s="300"/>
      <c r="S125" s="300"/>
      <c r="T125" s="300"/>
      <c r="U125" s="300"/>
      <c r="V125" s="300"/>
      <c r="W125" s="300"/>
      <c r="X125" s="300"/>
      <c r="Y125" s="300"/>
      <c r="Z125" s="300"/>
      <c r="AA125" s="300"/>
      <c r="AB125" s="300"/>
    </row>
    <row r="126" spans="1:28">
      <c r="A126" s="300"/>
      <c r="B126" s="1158" t="s">
        <v>163</v>
      </c>
      <c r="C126" s="305" t="s">
        <v>49</v>
      </c>
      <c r="D126" s="1160">
        <f>(D128-D130)/D128</f>
        <v>0.76021558434681236</v>
      </c>
      <c r="E126" s="918">
        <f>E125/E123</f>
        <v>0.79287305122494434</v>
      </c>
      <c r="F126" s="918">
        <f>F125/F123</f>
        <v>0.86123032904148789</v>
      </c>
      <c r="G126" s="918">
        <f>G125/G123</f>
        <v>0.82877959927140266</v>
      </c>
      <c r="H126" s="918">
        <f>H125/H123</f>
        <v>0.86409155937052928</v>
      </c>
      <c r="I126" s="918">
        <f>I125/I123</f>
        <v>0.8430717863105176</v>
      </c>
      <c r="J126" s="918">
        <f>J125/J123</f>
        <v>0.8430717863105176</v>
      </c>
      <c r="K126" s="918">
        <f>K125/K123</f>
        <v>0.62040816326530612</v>
      </c>
      <c r="L126" s="918">
        <f>L125/L123</f>
        <v>0.67558528428093656</v>
      </c>
      <c r="M126" s="918">
        <f>M125/M123</f>
        <v>0.52763819095477393</v>
      </c>
      <c r="N126" s="918"/>
      <c r="R126" s="300"/>
      <c r="S126" s="300"/>
      <c r="T126" s="300"/>
      <c r="U126" s="300"/>
      <c r="V126" s="300"/>
      <c r="W126" s="300"/>
      <c r="X126" s="300"/>
      <c r="Y126" s="300"/>
      <c r="Z126" s="300"/>
      <c r="AA126" s="300"/>
      <c r="AB126" s="300"/>
    </row>
    <row r="127" spans="1:28">
      <c r="A127" s="300"/>
      <c r="B127" s="1158" t="s">
        <v>162</v>
      </c>
      <c r="C127" s="305" t="s">
        <v>161</v>
      </c>
      <c r="D127" s="1159"/>
      <c r="E127" s="1127">
        <f>115:115</f>
        <v>10350.923520417262</v>
      </c>
      <c r="F127" s="1127">
        <f>115:115</f>
        <v>10011.717753559007</v>
      </c>
      <c r="G127" s="1127">
        <f>115:115</f>
        <v>7572.4279361728004</v>
      </c>
      <c r="H127" s="1127">
        <f>115:115</f>
        <v>20575.516311046402</v>
      </c>
      <c r="I127" s="1127">
        <f>115:115</f>
        <v>20575.516311046402</v>
      </c>
      <c r="J127" s="1127">
        <f>115:115</f>
        <v>20575.516311046402</v>
      </c>
      <c r="K127" s="1127">
        <f>115:115</f>
        <v>70129.228228556181</v>
      </c>
      <c r="L127" s="1127">
        <f>115:115</f>
        <v>84184.462324666907</v>
      </c>
      <c r="M127" s="1127">
        <f>115:115</f>
        <v>3191.374073192952</v>
      </c>
      <c r="N127" s="1127"/>
      <c r="O127" s="1179"/>
      <c r="R127" s="300"/>
      <c r="S127" s="300"/>
      <c r="T127" s="300"/>
      <c r="U127" s="300"/>
      <c r="V127" s="300"/>
      <c r="W127" s="300"/>
      <c r="X127" s="300"/>
      <c r="Y127" s="300"/>
      <c r="Z127" s="300"/>
      <c r="AA127" s="300"/>
      <c r="AB127" s="300"/>
    </row>
    <row r="128" spans="1:28">
      <c r="A128" s="300"/>
      <c r="B128" s="1158" t="s">
        <v>113</v>
      </c>
      <c r="C128" s="305" t="s">
        <v>50</v>
      </c>
      <c r="D128" s="1161">
        <f>SUM(E128:XN128)</f>
        <v>978226.71341056062</v>
      </c>
      <c r="E128" s="1122">
        <f>E123*E127</f>
        <v>46475.646606673508</v>
      </c>
      <c r="F128" s="1122">
        <f>F123*F127</f>
        <v>69981.907097377465</v>
      </c>
      <c r="G128" s="1122">
        <f>G123*G127</f>
        <v>41572.629369588678</v>
      </c>
      <c r="H128" s="1122">
        <f>H123*H127</f>
        <v>143822.85901421437</v>
      </c>
      <c r="I128" s="1122">
        <f>I123*I127</f>
        <v>123247.34270316795</v>
      </c>
      <c r="J128" s="1122">
        <f>J123*J127</f>
        <v>123247.34270316795</v>
      </c>
      <c r="K128" s="1122">
        <f>K123*K127</f>
        <v>171816.60915996265</v>
      </c>
      <c r="L128" s="1122">
        <f>L123*L127</f>
        <v>251711.54235075408</v>
      </c>
      <c r="M128" s="1122">
        <f>M123*M127</f>
        <v>6350.8344056539745</v>
      </c>
      <c r="N128" s="1122"/>
      <c r="R128" s="300"/>
      <c r="S128" s="300"/>
      <c r="T128" s="300"/>
      <c r="U128" s="300"/>
      <c r="V128" s="300"/>
      <c r="W128" s="300"/>
      <c r="X128" s="300"/>
      <c r="Y128" s="300"/>
      <c r="Z128" s="300"/>
      <c r="AA128" s="300"/>
      <c r="AB128" s="300"/>
    </row>
    <row r="129" spans="1:28">
      <c r="A129" s="300"/>
      <c r="B129" s="1158" t="s">
        <v>176</v>
      </c>
      <c r="C129" s="305" t="s">
        <v>49</v>
      </c>
      <c r="D129" s="1162"/>
      <c r="E129" s="918">
        <f>E128/$D128</f>
        <v>4.7510097577112199E-2</v>
      </c>
      <c r="F129" s="918">
        <f>F128/$D128</f>
        <v>7.1539558405011722E-2</v>
      </c>
      <c r="G129" s="918">
        <f>G128/$D128</f>
        <v>4.2497949401368161E-2</v>
      </c>
      <c r="H129" s="918">
        <f>H128/$D128</f>
        <v>0.14702405591928674</v>
      </c>
      <c r="I129" s="918">
        <f>I128/$D128</f>
        <v>0.12599057152453899</v>
      </c>
      <c r="J129" s="918">
        <f>J128/$D128</f>
        <v>0.12599057152453899</v>
      </c>
      <c r="K129" s="918">
        <f>K128/$D128</f>
        <v>0.17564088856347906</v>
      </c>
      <c r="L129" s="918">
        <f>L128/$D128</f>
        <v>0.25731411634954099</v>
      </c>
      <c r="M129" s="918">
        <f>M128/$D128</f>
        <v>6.4921907351231135E-3</v>
      </c>
      <c r="N129" s="918"/>
      <c r="R129" s="300"/>
      <c r="S129" s="300"/>
      <c r="T129" s="300"/>
      <c r="U129" s="300"/>
      <c r="V129" s="300"/>
      <c r="W129" s="300"/>
      <c r="X129" s="300"/>
      <c r="Y129" s="300"/>
      <c r="Z129" s="300"/>
      <c r="AA129" s="300"/>
      <c r="AB129" s="300"/>
    </row>
    <row r="130" spans="1:28">
      <c r="A130" s="300"/>
      <c r="B130" s="1158" t="s">
        <v>469</v>
      </c>
      <c r="C130" s="305" t="s">
        <v>50</v>
      </c>
      <c r="D130" s="1161">
        <f>SUM(E130:XN130)</f>
        <v>234563.52085148953</v>
      </c>
      <c r="E130" s="1122">
        <f>E124*E127</f>
        <v>9626.3588739880543</v>
      </c>
      <c r="F130" s="1122">
        <f>F124*F127</f>
        <v>9711.3662209522372</v>
      </c>
      <c r="G130" s="1122">
        <f>G124*G127</f>
        <v>7118.0822600024321</v>
      </c>
      <c r="H130" s="1122">
        <f>H124*H127</f>
        <v>19546.740495494079</v>
      </c>
      <c r="I130" s="1122">
        <f>I124*I127</f>
        <v>19340.985332383618</v>
      </c>
      <c r="J130" s="1122">
        <f>J124*J127</f>
        <v>19340.985332383618</v>
      </c>
      <c r="K130" s="1122">
        <f>K124*K127</f>
        <v>65220.18225255725</v>
      </c>
      <c r="L130" s="1122">
        <f>L124*L127</f>
        <v>81658.928454926892</v>
      </c>
      <c r="M130" s="1122">
        <f>M124*M127</f>
        <v>2999.8916288013747</v>
      </c>
      <c r="N130" s="1122"/>
      <c r="R130" s="300"/>
      <c r="S130" s="300"/>
      <c r="T130" s="300"/>
      <c r="U130" s="300"/>
      <c r="V130" s="300"/>
      <c r="W130" s="300"/>
      <c r="X130" s="300"/>
      <c r="Y130" s="300"/>
      <c r="Z130" s="300"/>
      <c r="AA130" s="300"/>
      <c r="AB130" s="300"/>
    </row>
    <row r="131" spans="1:28">
      <c r="A131" s="300"/>
      <c r="B131" s="1158" t="s">
        <v>111</v>
      </c>
      <c r="C131" s="305" t="s">
        <v>50</v>
      </c>
      <c r="D131" s="1161">
        <f>SUM(E131:XN131)</f>
        <v>743663.19255907112</v>
      </c>
      <c r="E131" s="1122">
        <f>E128-E130</f>
        <v>36849.28773268545</v>
      </c>
      <c r="F131" s="1122">
        <f>F128-F130</f>
        <v>60270.540876425228</v>
      </c>
      <c r="G131" s="1122">
        <f>G128-G130</f>
        <v>34454.547109586245</v>
      </c>
      <c r="H131" s="1122">
        <f>H128-H130</f>
        <v>124276.11851872029</v>
      </c>
      <c r="I131" s="1122">
        <f>I128-I130</f>
        <v>103906.35737078433</v>
      </c>
      <c r="J131" s="1122">
        <f>J128-J130</f>
        <v>103906.35737078433</v>
      </c>
      <c r="K131" s="1122">
        <f>K128-K130</f>
        <v>106596.4269074054</v>
      </c>
      <c r="L131" s="1122">
        <f>L128-L130</f>
        <v>170052.61389582721</v>
      </c>
      <c r="M131" s="1122">
        <f>M128-M130</f>
        <v>3350.9427768525998</v>
      </c>
      <c r="N131" s="1122"/>
      <c r="R131" s="300"/>
      <c r="S131" s="300"/>
      <c r="T131" s="300"/>
      <c r="U131" s="300"/>
      <c r="V131" s="300"/>
      <c r="W131" s="300"/>
      <c r="X131" s="300"/>
      <c r="Y131" s="300"/>
      <c r="Z131" s="300"/>
      <c r="AA131" s="300"/>
      <c r="AB131" s="300"/>
    </row>
    <row r="132" spans="1:28">
      <c r="A132" s="300"/>
      <c r="B132" s="1158"/>
      <c r="C132" s="305" t="s">
        <v>49</v>
      </c>
      <c r="D132" s="1159"/>
      <c r="E132" s="918">
        <f>E131/$D131</f>
        <v>4.9551044211131122E-2</v>
      </c>
      <c r="F132" s="918">
        <f>F131/$D131</f>
        <v>8.1045480641611531E-2</v>
      </c>
      <c r="G132" s="918">
        <f>G131/$D131</f>
        <v>4.6330849038019893E-2</v>
      </c>
      <c r="H132" s="918">
        <f>H131/$D131</f>
        <v>0.16711344565953989</v>
      </c>
      <c r="I132" s="918">
        <f>I131/$D131</f>
        <v>0.13972233453322455</v>
      </c>
      <c r="J132" s="918">
        <f>J131/$D131</f>
        <v>0.13972233453322455</v>
      </c>
      <c r="K132" s="918">
        <f>K131/$D131</f>
        <v>0.14333965694952447</v>
      </c>
      <c r="L132" s="918">
        <f>L131/$D131</f>
        <v>0.22866885923269556</v>
      </c>
      <c r="M132" s="918">
        <f>M131/$D131</f>
        <v>4.505995201028355E-3</v>
      </c>
      <c r="N132" s="918"/>
      <c r="R132" s="300"/>
      <c r="S132" s="300"/>
      <c r="T132" s="300"/>
      <c r="U132" s="300"/>
      <c r="V132" s="300"/>
      <c r="W132" s="300"/>
      <c r="X132" s="300"/>
      <c r="Y132" s="300"/>
      <c r="Z132" s="300"/>
      <c r="AA132" s="300"/>
      <c r="AB132" s="300"/>
    </row>
    <row r="133" spans="1:28">
      <c r="A133" s="300"/>
      <c r="B133" s="1163" t="s">
        <v>175</v>
      </c>
      <c r="C133" s="1164" t="s">
        <v>174</v>
      </c>
      <c r="D133" s="1165">
        <f>D122/D131*12</f>
        <v>4.4061277104819538</v>
      </c>
      <c r="E133" s="382"/>
      <c r="F133" s="303"/>
      <c r="G133" s="303"/>
      <c r="H133" s="303"/>
      <c r="I133" s="382"/>
      <c r="J133" s="303"/>
      <c r="K133" s="382"/>
      <c r="L133" s="382"/>
      <c r="M133" s="1079"/>
      <c r="N133" s="382"/>
      <c r="R133" s="300"/>
      <c r="S133" s="300"/>
      <c r="T133" s="300"/>
      <c r="U133" s="300"/>
      <c r="V133" s="300"/>
      <c r="W133" s="300"/>
      <c r="X133" s="300"/>
      <c r="Y133" s="300"/>
      <c r="Z133" s="300"/>
      <c r="AA133" s="300"/>
      <c r="AB133" s="300"/>
    </row>
    <row r="134" spans="1:28" ht="14.1" customHeight="1" thickBot="1">
      <c r="A134" s="300"/>
      <c r="B134" s="1167" t="s">
        <v>173</v>
      </c>
      <c r="C134" s="1168" t="s">
        <v>113</v>
      </c>
      <c r="D134" s="1169">
        <f>D122/D126</f>
        <v>359182.65242432995</v>
      </c>
      <c r="E134" s="1149"/>
      <c r="F134" s="1150"/>
      <c r="G134" s="1150"/>
      <c r="H134" s="1150"/>
      <c r="I134" s="1149"/>
      <c r="J134" s="1150"/>
      <c r="K134" s="1149"/>
      <c r="L134" s="1149"/>
      <c r="M134" s="1151"/>
      <c r="N134" s="1149"/>
      <c r="R134" s="300"/>
      <c r="S134" s="300"/>
      <c r="T134" s="300"/>
      <c r="U134" s="300"/>
      <c r="V134" s="300"/>
      <c r="W134" s="300"/>
      <c r="X134" s="300"/>
      <c r="Y134" s="300"/>
      <c r="Z134" s="300"/>
      <c r="AA134" s="300"/>
      <c r="AB134" s="300"/>
    </row>
    <row r="135" spans="1:28" ht="14.1" customHeight="1" thickBot="1">
      <c r="A135" s="300"/>
      <c r="B135" s="300"/>
      <c r="C135" s="300"/>
      <c r="D135" s="300"/>
      <c r="E135" s="300"/>
      <c r="F135" s="300"/>
      <c r="G135" s="300"/>
      <c r="H135" s="300"/>
      <c r="J135" s="300"/>
      <c r="L135" s="497"/>
      <c r="M135" s="1059"/>
      <c r="R135" s="300"/>
      <c r="S135" s="300"/>
      <c r="T135" s="300"/>
      <c r="U135" s="300"/>
      <c r="V135" s="300"/>
      <c r="W135" s="300"/>
      <c r="X135" s="300"/>
      <c r="Y135" s="300"/>
      <c r="Z135" s="300"/>
      <c r="AA135" s="300"/>
      <c r="AB135" s="300"/>
    </row>
    <row r="136" spans="1:28" ht="14.1" customHeight="1">
      <c r="B136" s="1176" t="s">
        <v>129</v>
      </c>
      <c r="C136" s="1155" t="s">
        <v>50</v>
      </c>
      <c r="D136" s="1177">
        <f>$E$12</f>
        <v>273056.25</v>
      </c>
      <c r="E136" s="1136"/>
      <c r="F136" s="1136"/>
      <c r="G136" s="1136"/>
      <c r="H136" s="1136"/>
      <c r="I136" s="1137"/>
      <c r="J136" s="1137"/>
      <c r="K136" s="1137"/>
      <c r="L136" s="1137"/>
      <c r="M136" s="1137"/>
      <c r="N136" s="1137"/>
      <c r="R136" s="300"/>
      <c r="S136" s="300"/>
      <c r="T136" s="300"/>
      <c r="U136" s="300"/>
      <c r="V136" s="300"/>
      <c r="W136" s="300"/>
      <c r="X136" s="300"/>
      <c r="Y136" s="300"/>
      <c r="Z136" s="300"/>
      <c r="AA136" s="300"/>
      <c r="AB136" s="300"/>
    </row>
    <row r="137" spans="1:28" ht="14.1" customHeight="1">
      <c r="A137" s="1133" t="s">
        <v>177</v>
      </c>
      <c r="B137" s="1178" t="s">
        <v>167</v>
      </c>
      <c r="C137" s="305" t="s">
        <v>50</v>
      </c>
      <c r="D137" s="1159"/>
      <c r="E137" s="1010">
        <f>E123</f>
        <v>4.49</v>
      </c>
      <c r="F137" s="1010">
        <f>F123</f>
        <v>6.99</v>
      </c>
      <c r="G137" s="1010">
        <f>G123</f>
        <v>5.49</v>
      </c>
      <c r="H137" s="1010">
        <f>H123</f>
        <v>6.99</v>
      </c>
      <c r="I137" s="1010">
        <f>I123</f>
        <v>5.99</v>
      </c>
      <c r="J137" s="1010">
        <f>J123</f>
        <v>5.99</v>
      </c>
      <c r="K137" s="1010">
        <f>K123</f>
        <v>2.4500000000000002</v>
      </c>
      <c r="L137" s="1010">
        <f>L123</f>
        <v>2.99</v>
      </c>
      <c r="M137" s="1010">
        <f>M123</f>
        <v>1.99</v>
      </c>
      <c r="N137" s="1233"/>
      <c r="O137" s="1234"/>
      <c r="P137" s="1234"/>
      <c r="R137" s="300"/>
      <c r="S137" s="300"/>
      <c r="T137" s="300"/>
      <c r="U137" s="300"/>
      <c r="V137" s="300"/>
      <c r="W137" s="300"/>
      <c r="X137" s="300"/>
      <c r="Y137" s="300"/>
      <c r="Z137" s="300"/>
      <c r="AA137" s="300"/>
      <c r="AB137" s="300"/>
    </row>
    <row r="138" spans="1:28" ht="14.1" customHeight="1">
      <c r="A138" s="300"/>
      <c r="B138" s="1158" t="s">
        <v>165</v>
      </c>
      <c r="C138" s="305" t="s">
        <v>50</v>
      </c>
      <c r="D138" s="1159"/>
      <c r="E138" s="1122">
        <f>E124</f>
        <v>0.93</v>
      </c>
      <c r="F138" s="1122">
        <f>F124</f>
        <v>0.97</v>
      </c>
      <c r="G138" s="1122">
        <f>G124</f>
        <v>0.94</v>
      </c>
      <c r="H138" s="1122">
        <f>H124</f>
        <v>0.95</v>
      </c>
      <c r="I138" s="1122">
        <f>I124</f>
        <v>0.94</v>
      </c>
      <c r="J138" s="1122">
        <f>J124</f>
        <v>0.94</v>
      </c>
      <c r="K138" s="1122">
        <f>K124</f>
        <v>0.93</v>
      </c>
      <c r="L138" s="1122">
        <f>L124</f>
        <v>0.97</v>
      </c>
      <c r="M138" s="1122">
        <f>M124</f>
        <v>0.94</v>
      </c>
      <c r="N138" s="1122"/>
      <c r="R138" s="300"/>
      <c r="S138" s="300"/>
      <c r="T138" s="300"/>
      <c r="U138" s="300"/>
      <c r="V138" s="300"/>
      <c r="W138" s="300"/>
      <c r="X138" s="300"/>
      <c r="Y138" s="300"/>
      <c r="Z138" s="300"/>
      <c r="AA138" s="300"/>
      <c r="AB138" s="300"/>
    </row>
    <row r="139" spans="1:28" ht="14.1" customHeight="1">
      <c r="A139" s="300"/>
      <c r="B139" s="1158" t="s">
        <v>164</v>
      </c>
      <c r="C139" s="305" t="s">
        <v>50</v>
      </c>
      <c r="D139" s="1159"/>
      <c r="E139" s="1122">
        <f>E137-E138</f>
        <v>3.56</v>
      </c>
      <c r="F139" s="1122">
        <f>F137-F138</f>
        <v>6.0200000000000005</v>
      </c>
      <c r="G139" s="1122">
        <f>G137-G138</f>
        <v>4.5500000000000007</v>
      </c>
      <c r="H139" s="1122">
        <f>H137-H138</f>
        <v>6.04</v>
      </c>
      <c r="I139" s="1122">
        <f>I137-I138</f>
        <v>5.0500000000000007</v>
      </c>
      <c r="J139" s="1122">
        <f>J137-J138</f>
        <v>5.0500000000000007</v>
      </c>
      <c r="K139" s="1122">
        <f>K137-K138</f>
        <v>1.52</v>
      </c>
      <c r="L139" s="1122">
        <f>L137-L138</f>
        <v>2.0200000000000005</v>
      </c>
      <c r="M139" s="1122">
        <f>M137-M138</f>
        <v>1.05</v>
      </c>
      <c r="N139" s="1122"/>
      <c r="R139" s="300"/>
      <c r="S139" s="300"/>
      <c r="T139" s="300"/>
      <c r="U139" s="300"/>
      <c r="V139" s="300"/>
      <c r="W139" s="300"/>
      <c r="X139" s="300"/>
      <c r="Y139" s="300"/>
      <c r="Z139" s="300"/>
      <c r="AA139" s="300"/>
      <c r="AB139" s="300"/>
    </row>
    <row r="140" spans="1:28" ht="14.1" customHeight="1">
      <c r="A140" s="300"/>
      <c r="B140" s="1158" t="s">
        <v>163</v>
      </c>
      <c r="C140" s="305" t="s">
        <v>49</v>
      </c>
      <c r="D140" s="1160">
        <f>(D142-D144)/D142</f>
        <v>0.76021558434681236</v>
      </c>
      <c r="E140" s="1122">
        <f>E139/E137</f>
        <v>0.79287305122494434</v>
      </c>
      <c r="F140" s="1122">
        <f>F139/F137</f>
        <v>0.86123032904148789</v>
      </c>
      <c r="G140" s="1122">
        <f>G139/G137</f>
        <v>0.82877959927140266</v>
      </c>
      <c r="H140" s="1122">
        <f>H139/H137</f>
        <v>0.86409155937052928</v>
      </c>
      <c r="I140" s="1122">
        <f>I139/I137</f>
        <v>0.8430717863105176</v>
      </c>
      <c r="J140" s="1122">
        <f>J139/J137</f>
        <v>0.8430717863105176</v>
      </c>
      <c r="K140" s="1122">
        <f>K139/K137</f>
        <v>0.62040816326530612</v>
      </c>
      <c r="L140" s="1122">
        <f>L139/L137</f>
        <v>0.67558528428093656</v>
      </c>
      <c r="M140" s="1122">
        <f>M139/M137</f>
        <v>0.52763819095477393</v>
      </c>
      <c r="N140" s="1122"/>
      <c r="R140" s="300"/>
      <c r="S140" s="300"/>
      <c r="T140" s="300"/>
      <c r="U140" s="300"/>
      <c r="V140" s="300"/>
      <c r="W140" s="300"/>
      <c r="X140" s="300"/>
      <c r="Y140" s="300"/>
      <c r="Z140" s="300"/>
      <c r="AA140" s="300"/>
      <c r="AB140" s="300"/>
    </row>
    <row r="141" spans="1:28" ht="14.1" customHeight="1">
      <c r="A141" s="300"/>
      <c r="B141" s="1158" t="s">
        <v>162</v>
      </c>
      <c r="C141" s="305" t="s">
        <v>161</v>
      </c>
      <c r="D141" s="1159"/>
      <c r="E141" s="1122">
        <f>E115</f>
        <v>10350.923520417262</v>
      </c>
      <c r="F141" s="1122">
        <f>F115</f>
        <v>10011.717753559007</v>
      </c>
      <c r="G141" s="1122">
        <f>G115</f>
        <v>7572.4279361728004</v>
      </c>
      <c r="H141" s="1122">
        <f>H115</f>
        <v>20575.516311046402</v>
      </c>
      <c r="I141" s="1122">
        <f>I115</f>
        <v>20575.516311046402</v>
      </c>
      <c r="J141" s="1122">
        <f>J115</f>
        <v>20575.516311046402</v>
      </c>
      <c r="K141" s="1122">
        <f>K115</f>
        <v>70129.228228556181</v>
      </c>
      <c r="L141" s="1122">
        <f>L115</f>
        <v>84184.462324666907</v>
      </c>
      <c r="M141" s="1122">
        <f>M115</f>
        <v>3191.374073192952</v>
      </c>
      <c r="N141" s="1122"/>
      <c r="R141" s="300"/>
      <c r="S141" s="300"/>
      <c r="T141" s="300"/>
      <c r="U141" s="300"/>
      <c r="V141" s="300"/>
      <c r="W141" s="300"/>
      <c r="X141" s="300"/>
      <c r="Y141" s="300"/>
      <c r="Z141" s="300"/>
      <c r="AA141" s="300"/>
      <c r="AB141" s="300"/>
    </row>
    <row r="142" spans="1:28" ht="14.1" customHeight="1">
      <c r="A142" s="300"/>
      <c r="B142" s="1158" t="s">
        <v>113</v>
      </c>
      <c r="C142" s="305" t="s">
        <v>50</v>
      </c>
      <c r="D142" s="1161">
        <f>SUM(E142:XN142)</f>
        <v>978226.71341056062</v>
      </c>
      <c r="E142" s="1122">
        <f>E137*E141</f>
        <v>46475.646606673508</v>
      </c>
      <c r="F142" s="1122">
        <f>F137*F141</f>
        <v>69981.907097377465</v>
      </c>
      <c r="G142" s="1122">
        <f>G137*G141</f>
        <v>41572.629369588678</v>
      </c>
      <c r="H142" s="1122">
        <f>H137*H141</f>
        <v>143822.85901421437</v>
      </c>
      <c r="I142" s="1122">
        <f>I137*I141</f>
        <v>123247.34270316795</v>
      </c>
      <c r="J142" s="1122">
        <f>J137*J141</f>
        <v>123247.34270316795</v>
      </c>
      <c r="K142" s="1122">
        <f>K137*K141</f>
        <v>171816.60915996265</v>
      </c>
      <c r="L142" s="1122">
        <f>L137*L141</f>
        <v>251711.54235075408</v>
      </c>
      <c r="M142" s="1122">
        <f>M137*M141</f>
        <v>6350.8344056539745</v>
      </c>
      <c r="N142" s="1122"/>
      <c r="R142" s="300"/>
      <c r="S142" s="300"/>
      <c r="T142" s="300"/>
      <c r="U142" s="300"/>
      <c r="V142" s="300"/>
      <c r="W142" s="300"/>
      <c r="X142" s="300"/>
      <c r="Y142" s="300"/>
      <c r="Z142" s="300"/>
      <c r="AA142" s="300"/>
      <c r="AB142" s="300"/>
    </row>
    <row r="143" spans="1:28" ht="14.1" customHeight="1">
      <c r="A143" s="300"/>
      <c r="B143" s="1158" t="s">
        <v>176</v>
      </c>
      <c r="C143" s="305" t="s">
        <v>49</v>
      </c>
      <c r="D143" s="1162"/>
      <c r="E143" s="1122">
        <f>E142/$D142</f>
        <v>4.7510097577112199E-2</v>
      </c>
      <c r="F143" s="1122">
        <f>F142/$D142</f>
        <v>7.1539558405011722E-2</v>
      </c>
      <c r="G143" s="1122">
        <f>G142/$D142</f>
        <v>4.2497949401368161E-2</v>
      </c>
      <c r="H143" s="1122">
        <f>H142/$D142</f>
        <v>0.14702405591928674</v>
      </c>
      <c r="I143" s="1122">
        <f>I142/$D142</f>
        <v>0.12599057152453899</v>
      </c>
      <c r="J143" s="1122">
        <f>J142/$D142</f>
        <v>0.12599057152453899</v>
      </c>
      <c r="K143" s="1122">
        <f>K142/$D142</f>
        <v>0.17564088856347906</v>
      </c>
      <c r="L143" s="1122">
        <f>L142/$D142</f>
        <v>0.25731411634954099</v>
      </c>
      <c r="M143" s="1122">
        <f>M142/$D142</f>
        <v>6.4921907351231135E-3</v>
      </c>
      <c r="N143" s="1122"/>
      <c r="R143" s="300"/>
      <c r="S143" s="300"/>
      <c r="T143" s="300"/>
      <c r="U143" s="300"/>
      <c r="V143" s="300"/>
      <c r="W143" s="300"/>
      <c r="X143" s="300"/>
      <c r="Y143" s="300"/>
      <c r="Z143" s="300"/>
      <c r="AA143" s="300"/>
      <c r="AB143" s="300"/>
    </row>
    <row r="144" spans="1:28" ht="14.1" customHeight="1">
      <c r="A144" s="300"/>
      <c r="B144" s="1158" t="s">
        <v>469</v>
      </c>
      <c r="C144" s="305" t="s">
        <v>50</v>
      </c>
      <c r="D144" s="1161">
        <f>SUM(E144:XN144)</f>
        <v>234563.52085148953</v>
      </c>
      <c r="E144" s="1122">
        <f>E138*E141</f>
        <v>9626.3588739880543</v>
      </c>
      <c r="F144" s="1122">
        <f>F138*F141</f>
        <v>9711.3662209522372</v>
      </c>
      <c r="G144" s="1122">
        <f>G138*G141</f>
        <v>7118.0822600024321</v>
      </c>
      <c r="H144" s="1122">
        <f>H138*H141</f>
        <v>19546.740495494079</v>
      </c>
      <c r="I144" s="1122">
        <f>I138*I141</f>
        <v>19340.985332383618</v>
      </c>
      <c r="J144" s="1122">
        <f>J138*J141</f>
        <v>19340.985332383618</v>
      </c>
      <c r="K144" s="1122">
        <f>K138*K141</f>
        <v>65220.18225255725</v>
      </c>
      <c r="L144" s="1122">
        <f>L138*L141</f>
        <v>81658.928454926892</v>
      </c>
      <c r="M144" s="1122">
        <f>M138*M141</f>
        <v>2999.8916288013747</v>
      </c>
      <c r="N144" s="1122"/>
      <c r="R144" s="300"/>
      <c r="S144" s="300"/>
      <c r="T144" s="300"/>
      <c r="U144" s="300"/>
      <c r="V144" s="300"/>
      <c r="W144" s="300"/>
      <c r="X144" s="300"/>
      <c r="Y144" s="300"/>
      <c r="Z144" s="300"/>
      <c r="AA144" s="300"/>
      <c r="AB144" s="300"/>
    </row>
    <row r="145" spans="1:28" ht="14.1" customHeight="1">
      <c r="A145" s="300"/>
      <c r="B145" s="1158" t="s">
        <v>111</v>
      </c>
      <c r="C145" s="305" t="s">
        <v>50</v>
      </c>
      <c r="D145" s="1161">
        <f>SUM(E145:XN145)</f>
        <v>743663.19255907112</v>
      </c>
      <c r="E145" s="1122">
        <f>E142-E144</f>
        <v>36849.28773268545</v>
      </c>
      <c r="F145" s="1122">
        <f>F142-F144</f>
        <v>60270.540876425228</v>
      </c>
      <c r="G145" s="1122">
        <f>G142-G144</f>
        <v>34454.547109586245</v>
      </c>
      <c r="H145" s="1122">
        <f>H142-H144</f>
        <v>124276.11851872029</v>
      </c>
      <c r="I145" s="1122">
        <f>I142-I144</f>
        <v>103906.35737078433</v>
      </c>
      <c r="J145" s="1122">
        <f>J142-J144</f>
        <v>103906.35737078433</v>
      </c>
      <c r="K145" s="1122">
        <f>K142-K144</f>
        <v>106596.4269074054</v>
      </c>
      <c r="L145" s="1122">
        <f>L142-L144</f>
        <v>170052.61389582721</v>
      </c>
      <c r="M145" s="1122">
        <f>M142-M144</f>
        <v>3350.9427768525998</v>
      </c>
      <c r="N145" s="1122"/>
      <c r="R145" s="300"/>
      <c r="S145" s="300"/>
      <c r="T145" s="300"/>
      <c r="U145" s="300"/>
      <c r="V145" s="300"/>
      <c r="W145" s="300"/>
      <c r="X145" s="300"/>
      <c r="Y145" s="300"/>
      <c r="Z145" s="300"/>
      <c r="AA145" s="300"/>
      <c r="AB145" s="300"/>
    </row>
    <row r="146" spans="1:28" ht="14.1" customHeight="1">
      <c r="A146" s="300"/>
      <c r="B146" s="1158"/>
      <c r="C146" s="305" t="s">
        <v>49</v>
      </c>
      <c r="D146" s="1159"/>
      <c r="E146" s="1122">
        <f>E145/$D145</f>
        <v>4.9551044211131122E-2</v>
      </c>
      <c r="F146" s="1122">
        <f>F145/$D145</f>
        <v>8.1045480641611531E-2</v>
      </c>
      <c r="G146" s="1122">
        <f>G145/$D145</f>
        <v>4.6330849038019893E-2</v>
      </c>
      <c r="H146" s="1122">
        <f>H145/$D145</f>
        <v>0.16711344565953989</v>
      </c>
      <c r="I146" s="1122">
        <f>I145/$D145</f>
        <v>0.13972233453322455</v>
      </c>
      <c r="J146" s="1122">
        <f>J145/$D145</f>
        <v>0.13972233453322455</v>
      </c>
      <c r="K146" s="1122">
        <f>K145/$D145</f>
        <v>0.14333965694952447</v>
      </c>
      <c r="L146" s="1122">
        <f>L145/$D145</f>
        <v>0.22866885923269556</v>
      </c>
      <c r="M146" s="1122">
        <f>M145/$D145</f>
        <v>4.505995201028355E-3</v>
      </c>
      <c r="N146" s="1122"/>
      <c r="R146" s="300"/>
      <c r="S146" s="300"/>
      <c r="T146" s="300"/>
      <c r="U146" s="300"/>
      <c r="V146" s="300"/>
      <c r="W146" s="300"/>
      <c r="X146" s="300"/>
      <c r="Y146" s="300"/>
      <c r="Z146" s="300"/>
      <c r="AA146" s="300"/>
      <c r="AB146" s="300"/>
    </row>
    <row r="147" spans="1:28" ht="14.1" customHeight="1">
      <c r="A147" s="300"/>
      <c r="B147" s="1163" t="s">
        <v>175</v>
      </c>
      <c r="C147" s="1164" t="s">
        <v>174</v>
      </c>
      <c r="D147" s="1165">
        <f>D136/D145*12</f>
        <v>4.4061277104819538</v>
      </c>
      <c r="E147" s="382"/>
      <c r="F147" s="303"/>
      <c r="G147" s="303"/>
      <c r="H147" s="303"/>
      <c r="I147" s="382"/>
      <c r="J147" s="303"/>
      <c r="K147" s="382"/>
      <c r="L147" s="1144"/>
      <c r="M147" s="1166"/>
      <c r="N147" s="298"/>
      <c r="R147" s="300"/>
      <c r="S147" s="300"/>
      <c r="T147" s="300"/>
      <c r="U147" s="300"/>
      <c r="V147" s="300"/>
      <c r="W147" s="300"/>
      <c r="X147" s="300"/>
      <c r="Y147" s="300"/>
      <c r="Z147" s="300"/>
      <c r="AA147" s="300"/>
      <c r="AB147" s="300"/>
    </row>
    <row r="148" spans="1:28" ht="14.1" customHeight="1" thickBot="1">
      <c r="A148" s="300"/>
      <c r="B148" s="1167" t="s">
        <v>173</v>
      </c>
      <c r="C148" s="1168" t="s">
        <v>113</v>
      </c>
      <c r="D148" s="1169">
        <f>D136/D140</f>
        <v>359182.65242432995</v>
      </c>
      <c r="E148" s="1149"/>
      <c r="F148" s="1170"/>
      <c r="G148" s="1170"/>
      <c r="H148" s="1150"/>
      <c r="I148" s="1149"/>
      <c r="J148" s="1150"/>
      <c r="K148" s="1149"/>
      <c r="L148" s="1147"/>
      <c r="M148" s="1171"/>
      <c r="N148" s="1170"/>
      <c r="R148" s="300"/>
      <c r="S148" s="300"/>
      <c r="T148" s="300"/>
      <c r="U148" s="300"/>
      <c r="V148" s="300"/>
      <c r="W148" s="300"/>
      <c r="X148" s="300"/>
      <c r="Y148" s="300"/>
      <c r="Z148" s="300"/>
      <c r="AA148" s="300"/>
      <c r="AB148" s="300"/>
    </row>
    <row r="149" spans="1:28" ht="14.1" customHeight="1">
      <c r="A149" s="300"/>
      <c r="B149" s="1100"/>
      <c r="C149" s="1093"/>
      <c r="D149" s="1172"/>
      <c r="E149" s="676"/>
      <c r="F149" s="676"/>
      <c r="G149" s="300"/>
      <c r="I149" s="300"/>
      <c r="K149" s="1093"/>
      <c r="L149" s="1173"/>
      <c r="M149" s="676"/>
      <c r="N149" s="300"/>
      <c r="R149" s="300"/>
      <c r="S149" s="300"/>
      <c r="T149" s="300"/>
      <c r="U149" s="300"/>
      <c r="V149" s="300"/>
      <c r="W149" s="300"/>
      <c r="X149" s="300"/>
      <c r="Y149" s="300"/>
      <c r="Z149" s="300"/>
      <c r="AA149" s="300"/>
      <c r="AB149" s="300"/>
    </row>
    <row r="150" spans="1:28" ht="14.1" customHeight="1">
      <c r="A150" s="301"/>
      <c r="B150" s="1100"/>
      <c r="C150" s="1093"/>
      <c r="D150" s="1180"/>
      <c r="E150" s="300"/>
      <c r="F150" s="300"/>
      <c r="G150" s="300"/>
      <c r="H150" s="300"/>
      <c r="I150" s="300"/>
      <c r="J150" s="1100"/>
      <c r="K150" s="1093"/>
      <c r="L150" s="1180"/>
      <c r="M150" s="300"/>
      <c r="N150" s="300"/>
      <c r="R150" s="300"/>
      <c r="S150" s="300"/>
      <c r="T150" s="300"/>
      <c r="U150" s="300"/>
      <c r="V150" s="300"/>
      <c r="W150" s="300"/>
      <c r="X150" s="300"/>
      <c r="Y150" s="300"/>
      <c r="Z150" s="300"/>
      <c r="AA150" s="300"/>
      <c r="AB150" s="300"/>
    </row>
    <row r="151" spans="1:28" ht="15.75">
      <c r="A151" s="301"/>
      <c r="B151" s="882">
        <v>2.2999999999999998</v>
      </c>
      <c r="C151" s="1174" t="s">
        <v>471</v>
      </c>
      <c r="D151" s="1181"/>
      <c r="E151" s="1181"/>
      <c r="F151" s="1181"/>
      <c r="G151" s="1181"/>
      <c r="H151" s="1181"/>
      <c r="I151" s="1181"/>
      <c r="J151" s="300"/>
      <c r="K151" s="300"/>
      <c r="M151" s="300"/>
      <c r="N151" s="300"/>
      <c r="R151" s="300"/>
      <c r="S151" s="300"/>
      <c r="T151" s="300"/>
      <c r="U151" s="300"/>
      <c r="V151" s="300"/>
      <c r="W151" s="300"/>
      <c r="X151" s="300"/>
      <c r="Y151" s="300"/>
      <c r="Z151" s="300"/>
      <c r="AA151" s="300"/>
      <c r="AB151" s="300"/>
    </row>
    <row r="152" spans="1:28">
      <c r="A152" s="301"/>
      <c r="B152" s="1100"/>
      <c r="C152" s="1093"/>
      <c r="D152" s="1180"/>
      <c r="E152" s="300"/>
      <c r="F152" s="300"/>
      <c r="G152" s="300"/>
      <c r="H152" s="300"/>
      <c r="I152" s="300"/>
      <c r="J152" s="300"/>
      <c r="K152" s="300"/>
      <c r="M152" s="300"/>
      <c r="N152" s="300"/>
      <c r="R152" s="300"/>
      <c r="S152" s="300"/>
      <c r="T152" s="300"/>
      <c r="U152" s="300"/>
      <c r="V152" s="300"/>
      <c r="W152" s="300"/>
      <c r="X152" s="300"/>
      <c r="Y152" s="300"/>
      <c r="Z152" s="300"/>
      <c r="AA152" s="300"/>
      <c r="AB152" s="300"/>
    </row>
    <row r="153" spans="1:28" ht="12" thickBot="1">
      <c r="A153" s="301"/>
      <c r="B153" s="1100"/>
      <c r="C153" s="1093"/>
      <c r="D153" s="1180"/>
      <c r="E153" s="300"/>
      <c r="F153" s="300"/>
      <c r="G153" s="300"/>
      <c r="H153" s="300"/>
      <c r="I153" s="300"/>
      <c r="J153" s="300"/>
      <c r="K153" s="300"/>
      <c r="M153" s="300"/>
      <c r="N153" s="300"/>
      <c r="R153" s="300"/>
      <c r="S153" s="300"/>
      <c r="T153" s="300"/>
      <c r="U153" s="300"/>
      <c r="V153" s="300"/>
      <c r="W153" s="300"/>
      <c r="X153" s="300"/>
      <c r="Y153" s="300"/>
      <c r="Z153" s="300"/>
      <c r="AA153" s="300"/>
      <c r="AB153" s="300"/>
    </row>
    <row r="154" spans="1:28" ht="15" customHeight="1">
      <c r="B154" s="1062"/>
      <c r="C154" s="1063"/>
      <c r="D154" s="1064"/>
      <c r="E154" s="1182"/>
      <c r="F154" s="1183"/>
      <c r="G154" s="1183"/>
      <c r="H154" s="1183"/>
      <c r="I154" s="1183"/>
      <c r="J154" s="1183"/>
      <c r="K154" s="1183"/>
      <c r="L154" s="1183"/>
      <c r="M154" s="1183"/>
      <c r="N154" s="1183"/>
      <c r="R154" s="300"/>
      <c r="S154" s="300"/>
      <c r="T154" s="300"/>
      <c r="U154" s="300"/>
      <c r="V154" s="300"/>
      <c r="W154" s="300"/>
      <c r="X154" s="300"/>
      <c r="Y154" s="300"/>
      <c r="Z154" s="300"/>
      <c r="AA154" s="300"/>
      <c r="AB154" s="300"/>
    </row>
    <row r="155" spans="1:28" ht="12" thickBot="1">
      <c r="B155" s="1119" t="s">
        <v>168</v>
      </c>
      <c r="C155" s="1070"/>
      <c r="D155" s="1071" t="str">
        <f>$D$64</f>
        <v>TOTAL BRAND 01</v>
      </c>
      <c r="E155" s="1072" t="s">
        <v>699</v>
      </c>
      <c r="F155" s="1072" t="s">
        <v>700</v>
      </c>
      <c r="G155" s="1072" t="s">
        <v>701</v>
      </c>
      <c r="H155" s="1072" t="s">
        <v>702</v>
      </c>
      <c r="I155" s="1072" t="s">
        <v>703</v>
      </c>
      <c r="J155" s="1072" t="s">
        <v>704</v>
      </c>
      <c r="K155" s="1072" t="s">
        <v>705</v>
      </c>
      <c r="L155" s="1072" t="s">
        <v>706</v>
      </c>
      <c r="M155" s="1072" t="s">
        <v>707</v>
      </c>
      <c r="N155" s="1072"/>
      <c r="R155" s="300"/>
      <c r="S155" s="300"/>
      <c r="T155" s="300"/>
      <c r="U155" s="300"/>
      <c r="V155" s="300"/>
      <c r="W155" s="300"/>
      <c r="X155" s="300"/>
      <c r="Y155" s="300"/>
      <c r="Z155" s="300"/>
      <c r="AA155" s="300"/>
      <c r="AB155" s="300"/>
    </row>
    <row r="156" spans="1:28" ht="12" thickTop="1">
      <c r="B156" s="1081" t="s">
        <v>129</v>
      </c>
      <c r="C156" s="1077" t="s">
        <v>50</v>
      </c>
      <c r="D156" s="1080">
        <f>$E$12</f>
        <v>273056.25</v>
      </c>
      <c r="E156" s="303"/>
      <c r="F156" s="303"/>
      <c r="G156" s="303"/>
      <c r="H156" s="303"/>
      <c r="I156" s="382"/>
      <c r="J156" s="382"/>
      <c r="K156" s="382"/>
      <c r="L156" s="382"/>
      <c r="M156" s="382"/>
      <c r="N156" s="382"/>
      <c r="R156" s="300"/>
      <c r="S156" s="300"/>
      <c r="T156" s="300"/>
      <c r="U156" s="300"/>
      <c r="V156" s="300"/>
      <c r="W156" s="300"/>
      <c r="X156" s="300"/>
      <c r="Y156" s="300"/>
      <c r="Z156" s="300"/>
      <c r="AA156" s="300"/>
      <c r="AB156" s="300"/>
    </row>
    <row r="157" spans="1:28">
      <c r="B157" s="1081" t="s">
        <v>167</v>
      </c>
      <c r="C157" s="1077" t="s">
        <v>50</v>
      </c>
      <c r="D157" s="1084"/>
      <c r="E157" s="1122">
        <v>4.49</v>
      </c>
      <c r="F157" s="1122">
        <v>6.99</v>
      </c>
      <c r="G157" s="1122">
        <v>5.49</v>
      </c>
      <c r="H157" s="1122">
        <v>6.99</v>
      </c>
      <c r="I157" s="1122">
        <v>5.99</v>
      </c>
      <c r="J157" s="1122">
        <v>5.99</v>
      </c>
      <c r="K157" s="1122">
        <v>2.4500000000000002</v>
      </c>
      <c r="L157" s="1122">
        <v>2.99</v>
      </c>
      <c r="M157" s="1122">
        <v>1.99</v>
      </c>
      <c r="N157" s="1122"/>
      <c r="R157" s="300"/>
      <c r="S157" s="300"/>
      <c r="T157" s="300"/>
      <c r="U157" s="300"/>
      <c r="V157" s="300"/>
      <c r="W157" s="300"/>
      <c r="X157" s="300"/>
      <c r="Y157" s="300"/>
      <c r="Z157" s="300"/>
      <c r="AA157" s="300"/>
      <c r="AB157" s="300"/>
    </row>
    <row r="158" spans="1:28">
      <c r="B158" s="1184" t="s">
        <v>165</v>
      </c>
      <c r="C158" s="1077" t="s">
        <v>50</v>
      </c>
      <c r="D158" s="1084"/>
      <c r="E158" s="1175">
        <v>0.93</v>
      </c>
      <c r="F158" s="1175">
        <v>0.97</v>
      </c>
      <c r="G158" s="1175">
        <v>0.94</v>
      </c>
      <c r="H158" s="1175">
        <v>0.95</v>
      </c>
      <c r="I158" s="1175">
        <v>0.94</v>
      </c>
      <c r="J158" s="1175">
        <v>0.94</v>
      </c>
      <c r="K158" s="1175">
        <v>0.93</v>
      </c>
      <c r="L158" s="1175">
        <v>0.97</v>
      </c>
      <c r="M158" s="1175">
        <v>0.94</v>
      </c>
      <c r="N158" s="1175"/>
      <c r="R158" s="300"/>
      <c r="S158" s="300"/>
      <c r="T158" s="300"/>
      <c r="U158" s="300"/>
      <c r="V158" s="300"/>
      <c r="W158" s="300"/>
      <c r="X158" s="300"/>
      <c r="Y158" s="300"/>
      <c r="Z158" s="300"/>
      <c r="AA158" s="300"/>
      <c r="AB158" s="300"/>
    </row>
    <row r="159" spans="1:28">
      <c r="B159" s="1081" t="s">
        <v>164</v>
      </c>
      <c r="C159" s="1077" t="s">
        <v>50</v>
      </c>
      <c r="D159" s="1084"/>
      <c r="E159" s="1122">
        <f>E157-E158</f>
        <v>3.56</v>
      </c>
      <c r="F159" s="1122">
        <f>F157-F158</f>
        <v>6.0200000000000005</v>
      </c>
      <c r="G159" s="1122">
        <f>G157-G158</f>
        <v>4.5500000000000007</v>
      </c>
      <c r="H159" s="1122">
        <f>H157-H158</f>
        <v>6.04</v>
      </c>
      <c r="I159" s="1122">
        <f>I157-I158</f>
        <v>5.0500000000000007</v>
      </c>
      <c r="J159" s="1122">
        <f>J157-J158</f>
        <v>5.0500000000000007</v>
      </c>
      <c r="K159" s="1122">
        <f>K157-K158</f>
        <v>1.52</v>
      </c>
      <c r="L159" s="1122">
        <f>L157-L158</f>
        <v>2.0200000000000005</v>
      </c>
      <c r="M159" s="1122">
        <f>M157-M158</f>
        <v>1.05</v>
      </c>
      <c r="N159" s="1122"/>
      <c r="R159" s="300"/>
      <c r="S159" s="300"/>
      <c r="T159" s="300"/>
      <c r="U159" s="300"/>
      <c r="V159" s="300"/>
      <c r="W159" s="300"/>
      <c r="X159" s="300"/>
      <c r="Y159" s="300"/>
      <c r="Z159" s="300"/>
      <c r="AA159" s="300"/>
      <c r="AB159" s="300"/>
    </row>
    <row r="160" spans="1:28">
      <c r="B160" s="1081" t="s">
        <v>163</v>
      </c>
      <c r="C160" s="1077" t="s">
        <v>49</v>
      </c>
      <c r="D160" s="1125">
        <f>(D162-D164)/D162</f>
        <v>0.76021558434681236</v>
      </c>
      <c r="E160" s="1126">
        <f>E159/E157</f>
        <v>0.79287305122494434</v>
      </c>
      <c r="F160" s="1126">
        <f>F159/F157</f>
        <v>0.86123032904148789</v>
      </c>
      <c r="G160" s="1126">
        <f>G159/G157</f>
        <v>0.82877959927140266</v>
      </c>
      <c r="H160" s="1126">
        <f>H159/H157</f>
        <v>0.86409155937052928</v>
      </c>
      <c r="I160" s="1126">
        <f>I159/I157</f>
        <v>0.8430717863105176</v>
      </c>
      <c r="J160" s="1126">
        <f>J159/J157</f>
        <v>0.8430717863105176</v>
      </c>
      <c r="K160" s="1126">
        <f>K159/K157</f>
        <v>0.62040816326530612</v>
      </c>
      <c r="L160" s="1126">
        <f>L159/L157</f>
        <v>0.67558528428093656</v>
      </c>
      <c r="M160" s="1126">
        <f>M159/M157</f>
        <v>0.52763819095477393</v>
      </c>
      <c r="N160" s="1126"/>
      <c r="R160" s="300"/>
      <c r="S160" s="300"/>
      <c r="T160" s="300"/>
      <c r="U160" s="300"/>
      <c r="V160" s="300"/>
      <c r="W160" s="300"/>
      <c r="X160" s="300"/>
      <c r="Y160" s="300"/>
      <c r="Z160" s="300"/>
      <c r="AA160" s="300"/>
      <c r="AB160" s="300"/>
    </row>
    <row r="161" spans="1:28">
      <c r="B161" s="1081" t="s">
        <v>162</v>
      </c>
      <c r="C161" s="1077" t="s">
        <v>161</v>
      </c>
      <c r="D161" s="1084"/>
      <c r="E161" s="1127">
        <v>10350.923520417262</v>
      </c>
      <c r="F161" s="1127">
        <v>10011.717753559007</v>
      </c>
      <c r="G161" s="1127">
        <v>7572.4279361728004</v>
      </c>
      <c r="H161" s="1127">
        <v>20575.516311046402</v>
      </c>
      <c r="I161" s="1127">
        <v>20575.516311046402</v>
      </c>
      <c r="J161" s="1127">
        <v>20575.516311046402</v>
      </c>
      <c r="K161" s="1127">
        <v>70129.228228556181</v>
      </c>
      <c r="L161" s="1127">
        <v>84184.462324666907</v>
      </c>
      <c r="M161" s="1127">
        <v>3191.374073192952</v>
      </c>
      <c r="N161" s="1127"/>
      <c r="R161" s="300"/>
      <c r="S161" s="300"/>
      <c r="T161" s="300"/>
      <c r="U161" s="300"/>
      <c r="V161" s="300"/>
      <c r="W161" s="300"/>
      <c r="X161" s="300"/>
      <c r="Y161" s="300"/>
      <c r="Z161" s="300"/>
      <c r="AA161" s="300"/>
      <c r="AB161" s="300"/>
    </row>
    <row r="162" spans="1:28">
      <c r="B162" s="1081" t="s">
        <v>113</v>
      </c>
      <c r="C162" s="1077" t="s">
        <v>50</v>
      </c>
      <c r="D162" s="1080">
        <f>SUM(E162:XN162)</f>
        <v>978226.71341056062</v>
      </c>
      <c r="E162" s="508">
        <f>E157*E161</f>
        <v>46475.646606673508</v>
      </c>
      <c r="F162" s="508">
        <f>F157*F161</f>
        <v>69981.907097377465</v>
      </c>
      <c r="G162" s="508">
        <f>G157*G161</f>
        <v>41572.629369588678</v>
      </c>
      <c r="H162" s="508">
        <f>H157*H161</f>
        <v>143822.85901421437</v>
      </c>
      <c r="I162" s="508">
        <f>I157*I161</f>
        <v>123247.34270316795</v>
      </c>
      <c r="J162" s="508">
        <f>J157*J161</f>
        <v>123247.34270316795</v>
      </c>
      <c r="K162" s="508">
        <f>K157*K161</f>
        <v>171816.60915996265</v>
      </c>
      <c r="L162" s="508">
        <f>L157*L161</f>
        <v>251711.54235075408</v>
      </c>
      <c r="M162" s="508">
        <f>M157*M161</f>
        <v>6350.8344056539745</v>
      </c>
      <c r="N162" s="508"/>
      <c r="R162" s="300"/>
      <c r="S162" s="300"/>
      <c r="T162" s="300"/>
      <c r="U162" s="300"/>
      <c r="V162" s="300"/>
      <c r="W162" s="300"/>
      <c r="X162" s="300"/>
      <c r="Y162" s="300"/>
      <c r="Z162" s="300"/>
      <c r="AA162" s="300"/>
      <c r="AB162" s="300"/>
    </row>
    <row r="163" spans="1:28">
      <c r="B163" s="1081" t="s">
        <v>176</v>
      </c>
      <c r="C163" s="1077" t="s">
        <v>49</v>
      </c>
      <c r="D163" s="1128"/>
      <c r="E163" s="1126">
        <f>E162/$D162</f>
        <v>4.7510097577112199E-2</v>
      </c>
      <c r="F163" s="1126">
        <f>F162/$D162</f>
        <v>7.1539558405011722E-2</v>
      </c>
      <c r="G163" s="1126">
        <f>G162/$D162</f>
        <v>4.2497949401368161E-2</v>
      </c>
      <c r="H163" s="1126">
        <f>H162/$D162</f>
        <v>0.14702405591928674</v>
      </c>
      <c r="I163" s="1126">
        <f>I162/$D162</f>
        <v>0.12599057152453899</v>
      </c>
      <c r="J163" s="1126">
        <f>J162/$D162</f>
        <v>0.12599057152453899</v>
      </c>
      <c r="K163" s="1126">
        <f>K162/$D162</f>
        <v>0.17564088856347906</v>
      </c>
      <c r="L163" s="1126">
        <f>L162/$D162</f>
        <v>0.25731411634954099</v>
      </c>
      <c r="M163" s="1126">
        <f>M162/$D162</f>
        <v>6.4921907351231135E-3</v>
      </c>
      <c r="N163" s="1126"/>
      <c r="R163" s="300"/>
      <c r="S163" s="300"/>
      <c r="T163" s="300"/>
      <c r="U163" s="300"/>
      <c r="V163" s="300"/>
      <c r="W163" s="300"/>
      <c r="X163" s="300"/>
      <c r="Y163" s="300"/>
      <c r="Z163" s="300"/>
      <c r="AA163" s="300"/>
      <c r="AB163" s="300"/>
    </row>
    <row r="164" spans="1:28">
      <c r="B164" s="1081" t="s">
        <v>469</v>
      </c>
      <c r="C164" s="1077" t="s">
        <v>50</v>
      </c>
      <c r="D164" s="1080">
        <f>SUM(E164:XN164)</f>
        <v>234563.52085148953</v>
      </c>
      <c r="E164" s="508">
        <f>E158*E161</f>
        <v>9626.3588739880543</v>
      </c>
      <c r="F164" s="508">
        <f>F158*F161</f>
        <v>9711.3662209522372</v>
      </c>
      <c r="G164" s="508">
        <f>G158*G161</f>
        <v>7118.0822600024321</v>
      </c>
      <c r="H164" s="508">
        <f>H158*H161</f>
        <v>19546.740495494079</v>
      </c>
      <c r="I164" s="508">
        <f>I158*I161</f>
        <v>19340.985332383618</v>
      </c>
      <c r="J164" s="508">
        <f>J158*J161</f>
        <v>19340.985332383618</v>
      </c>
      <c r="K164" s="508">
        <f>K158*K161</f>
        <v>65220.18225255725</v>
      </c>
      <c r="L164" s="508">
        <f>L158*L161</f>
        <v>81658.928454926892</v>
      </c>
      <c r="M164" s="508">
        <f>M158*M161</f>
        <v>2999.8916288013747</v>
      </c>
      <c r="N164" s="508"/>
      <c r="R164" s="300"/>
      <c r="S164" s="300"/>
      <c r="T164" s="300"/>
      <c r="U164" s="300"/>
      <c r="V164" s="300"/>
      <c r="W164" s="300"/>
      <c r="X164" s="300"/>
      <c r="Y164" s="300"/>
      <c r="Z164" s="300"/>
      <c r="AA164" s="300"/>
      <c r="AB164" s="300"/>
    </row>
    <row r="165" spans="1:28">
      <c r="B165" s="1081" t="s">
        <v>111</v>
      </c>
      <c r="C165" s="1077" t="s">
        <v>50</v>
      </c>
      <c r="D165" s="1080">
        <f>SUM(E165:XN165)</f>
        <v>743663.19255907112</v>
      </c>
      <c r="E165" s="508">
        <f>E162-E164</f>
        <v>36849.28773268545</v>
      </c>
      <c r="F165" s="508">
        <f>F162-F164</f>
        <v>60270.540876425228</v>
      </c>
      <c r="G165" s="508">
        <f>G162-G164</f>
        <v>34454.547109586245</v>
      </c>
      <c r="H165" s="508">
        <f>H162-H164</f>
        <v>124276.11851872029</v>
      </c>
      <c r="I165" s="508">
        <f>I162-I164</f>
        <v>103906.35737078433</v>
      </c>
      <c r="J165" s="508">
        <f>J162-J164</f>
        <v>103906.35737078433</v>
      </c>
      <c r="K165" s="508">
        <f>K162-K164</f>
        <v>106596.4269074054</v>
      </c>
      <c r="L165" s="508">
        <f>L162-L164</f>
        <v>170052.61389582721</v>
      </c>
      <c r="M165" s="508">
        <f>M162-M164</f>
        <v>3350.9427768525998</v>
      </c>
      <c r="N165" s="508"/>
      <c r="R165" s="300"/>
      <c r="S165" s="300"/>
      <c r="T165" s="300"/>
      <c r="U165" s="300"/>
      <c r="V165" s="300"/>
      <c r="W165" s="300"/>
      <c r="X165" s="300"/>
      <c r="Y165" s="300"/>
      <c r="Z165" s="300"/>
      <c r="AA165" s="300"/>
      <c r="AB165" s="300"/>
    </row>
    <row r="166" spans="1:28" ht="12" thickBot="1">
      <c r="B166" s="1129"/>
      <c r="C166" s="1130" t="s">
        <v>49</v>
      </c>
      <c r="D166" s="1131"/>
      <c r="E166" s="1132">
        <f>E165/$D165</f>
        <v>4.9551044211131122E-2</v>
      </c>
      <c r="F166" s="1132">
        <f>F165/$D165</f>
        <v>8.1045480641611531E-2</v>
      </c>
      <c r="G166" s="1132">
        <f>G165/$D165</f>
        <v>4.6330849038019893E-2</v>
      </c>
      <c r="H166" s="1132">
        <f>H165/$D165</f>
        <v>0.16711344565953989</v>
      </c>
      <c r="I166" s="1132">
        <f>I165/$D165</f>
        <v>0.13972233453322455</v>
      </c>
      <c r="J166" s="1132">
        <f>J165/$D165</f>
        <v>0.13972233453322455</v>
      </c>
      <c r="K166" s="1132">
        <f>K165/$D165</f>
        <v>0.14333965694952447</v>
      </c>
      <c r="L166" s="1132">
        <f>L165/$D165</f>
        <v>0.22866885923269556</v>
      </c>
      <c r="M166" s="1132">
        <f>M165/$D165</f>
        <v>4.505995201028355E-3</v>
      </c>
      <c r="N166" s="1132"/>
      <c r="R166" s="300"/>
      <c r="S166" s="300"/>
      <c r="T166" s="300"/>
      <c r="U166" s="300"/>
      <c r="V166" s="300"/>
      <c r="W166" s="300"/>
      <c r="X166" s="300"/>
      <c r="Y166" s="300"/>
      <c r="Z166" s="300"/>
      <c r="AA166" s="300"/>
      <c r="AB166" s="300"/>
    </row>
    <row r="167" spans="1:28" ht="12" thickBot="1">
      <c r="B167" s="300"/>
      <c r="C167" s="300"/>
      <c r="E167" s="300"/>
      <c r="F167" s="300"/>
      <c r="G167" s="300"/>
      <c r="H167" s="300"/>
      <c r="I167" s="300"/>
      <c r="L167" s="497"/>
      <c r="M167" s="1059"/>
      <c r="R167" s="300"/>
      <c r="S167" s="300"/>
      <c r="T167" s="300"/>
      <c r="U167" s="300"/>
      <c r="V167" s="300"/>
      <c r="W167" s="300"/>
      <c r="X167" s="300"/>
      <c r="Y167" s="300"/>
      <c r="Z167" s="300"/>
      <c r="AA167" s="300"/>
      <c r="AB167" s="300"/>
    </row>
    <row r="168" spans="1:28">
      <c r="A168" s="300"/>
      <c r="B168" s="1176" t="s">
        <v>129</v>
      </c>
      <c r="C168" s="1155" t="s">
        <v>50</v>
      </c>
      <c r="D168" s="1177">
        <f>$E$12</f>
        <v>273056.25</v>
      </c>
      <c r="E168" s="1136"/>
      <c r="F168" s="1136"/>
      <c r="G168" s="1136"/>
      <c r="H168" s="1136"/>
      <c r="I168" s="1137"/>
      <c r="J168" s="1137"/>
      <c r="K168" s="1137"/>
      <c r="L168" s="1137"/>
      <c r="M168" s="1137"/>
      <c r="N168" s="1137"/>
      <c r="R168" s="300"/>
      <c r="S168" s="300"/>
      <c r="T168" s="300"/>
      <c r="U168" s="300"/>
      <c r="V168" s="300"/>
      <c r="W168" s="300"/>
      <c r="X168" s="300"/>
      <c r="Y168" s="300"/>
      <c r="Z168" s="300"/>
      <c r="AA168" s="300"/>
      <c r="AB168" s="300"/>
    </row>
    <row r="169" spans="1:28">
      <c r="A169" s="300"/>
      <c r="B169" s="1158" t="s">
        <v>167</v>
      </c>
      <c r="C169" s="305" t="s">
        <v>50</v>
      </c>
      <c r="D169" s="1159"/>
      <c r="E169" s="1122">
        <f>E157</f>
        <v>4.49</v>
      </c>
      <c r="F169" s="1122">
        <f>F157</f>
        <v>6.99</v>
      </c>
      <c r="G169" s="1122">
        <f>G157</f>
        <v>5.49</v>
      </c>
      <c r="H169" s="1122">
        <f>H157</f>
        <v>6.99</v>
      </c>
      <c r="I169" s="1122">
        <f>I157</f>
        <v>5.99</v>
      </c>
      <c r="J169" s="1122">
        <f>J157</f>
        <v>5.99</v>
      </c>
      <c r="K169" s="1122">
        <f>K157</f>
        <v>2.4500000000000002</v>
      </c>
      <c r="L169" s="1122">
        <f>L157</f>
        <v>2.99</v>
      </c>
      <c r="M169" s="1122">
        <f>M157</f>
        <v>1.99</v>
      </c>
      <c r="N169" s="1122"/>
      <c r="R169" s="300"/>
      <c r="S169" s="300"/>
      <c r="T169" s="300"/>
      <c r="U169" s="300"/>
      <c r="V169" s="300"/>
      <c r="W169" s="300"/>
      <c r="X169" s="300"/>
      <c r="Y169" s="300"/>
      <c r="Z169" s="300"/>
      <c r="AA169" s="300"/>
      <c r="AB169" s="300"/>
    </row>
    <row r="170" spans="1:28">
      <c r="A170" s="1185" t="s">
        <v>178</v>
      </c>
      <c r="B170" s="1186" t="s">
        <v>165</v>
      </c>
      <c r="C170" s="305" t="s">
        <v>50</v>
      </c>
      <c r="D170" s="1159"/>
      <c r="E170" s="1010">
        <f>E158</f>
        <v>0.93</v>
      </c>
      <c r="F170" s="1010">
        <f>F158</f>
        <v>0.97</v>
      </c>
      <c r="G170" s="1010">
        <f>G158</f>
        <v>0.94</v>
      </c>
      <c r="H170" s="1010">
        <f>H158</f>
        <v>0.95</v>
      </c>
      <c r="I170" s="1010">
        <f>I158</f>
        <v>0.94</v>
      </c>
      <c r="J170" s="1010">
        <f>J158</f>
        <v>0.94</v>
      </c>
      <c r="K170" s="1010">
        <f>K158</f>
        <v>0.93</v>
      </c>
      <c r="L170" s="1010">
        <f>L158</f>
        <v>0.97</v>
      </c>
      <c r="M170" s="1010">
        <f>M158</f>
        <v>0.94</v>
      </c>
      <c r="N170" s="1233"/>
      <c r="O170" s="1234"/>
      <c r="P170" s="1234"/>
      <c r="R170" s="300"/>
      <c r="S170" s="300"/>
      <c r="T170" s="300"/>
      <c r="U170" s="300"/>
      <c r="V170" s="300"/>
      <c r="W170" s="300"/>
      <c r="X170" s="300"/>
      <c r="Y170" s="300"/>
      <c r="Z170" s="300"/>
      <c r="AA170" s="300"/>
      <c r="AB170" s="300"/>
    </row>
    <row r="171" spans="1:28">
      <c r="A171" s="300"/>
      <c r="B171" s="1158" t="s">
        <v>164</v>
      </c>
      <c r="C171" s="305" t="s">
        <v>50</v>
      </c>
      <c r="D171" s="1159"/>
      <c r="E171" s="1122">
        <f>E169-E170</f>
        <v>3.56</v>
      </c>
      <c r="F171" s="1122">
        <f>F169-F170</f>
        <v>6.0200000000000005</v>
      </c>
      <c r="G171" s="1122">
        <f>G169-G170</f>
        <v>4.5500000000000007</v>
      </c>
      <c r="H171" s="1122">
        <f>H169-H170</f>
        <v>6.04</v>
      </c>
      <c r="I171" s="1122">
        <f>I169-I170</f>
        <v>5.0500000000000007</v>
      </c>
      <c r="J171" s="1122">
        <f>J169-J170</f>
        <v>5.0500000000000007</v>
      </c>
      <c r="K171" s="1122">
        <f>K169-K170</f>
        <v>1.52</v>
      </c>
      <c r="L171" s="1122">
        <f>L169-L170</f>
        <v>2.0200000000000005</v>
      </c>
      <c r="M171" s="1122">
        <f>M169-M170</f>
        <v>1.05</v>
      </c>
      <c r="N171" s="1122"/>
      <c r="R171" s="300"/>
      <c r="S171" s="300"/>
      <c r="T171" s="300"/>
      <c r="U171" s="300"/>
      <c r="V171" s="300"/>
      <c r="W171" s="300"/>
      <c r="X171" s="300"/>
      <c r="Y171" s="300"/>
      <c r="Z171" s="300"/>
      <c r="AA171" s="300"/>
      <c r="AB171" s="300"/>
    </row>
    <row r="172" spans="1:28">
      <c r="A172" s="300"/>
      <c r="B172" s="1158" t="s">
        <v>163</v>
      </c>
      <c r="C172" s="305" t="s">
        <v>49</v>
      </c>
      <c r="D172" s="1160">
        <f>(D174-D176)/D174</f>
        <v>0.76021558434681236</v>
      </c>
      <c r="E172" s="1126">
        <f>E171/E169</f>
        <v>0.79287305122494434</v>
      </c>
      <c r="F172" s="1126">
        <f>F171/F169</f>
        <v>0.86123032904148789</v>
      </c>
      <c r="G172" s="1126">
        <f>G171/G169</f>
        <v>0.82877959927140266</v>
      </c>
      <c r="H172" s="1126">
        <f>H171/H169</f>
        <v>0.86409155937052928</v>
      </c>
      <c r="I172" s="1126">
        <f>I171/I169</f>
        <v>0.8430717863105176</v>
      </c>
      <c r="J172" s="1126">
        <f>J171/J169</f>
        <v>0.8430717863105176</v>
      </c>
      <c r="K172" s="1126">
        <f>K171/K169</f>
        <v>0.62040816326530612</v>
      </c>
      <c r="L172" s="1126">
        <f>L171/L169</f>
        <v>0.67558528428093656</v>
      </c>
      <c r="M172" s="1126">
        <f>M171/M169</f>
        <v>0.52763819095477393</v>
      </c>
      <c r="N172" s="1126"/>
      <c r="R172" s="300"/>
      <c r="S172" s="300"/>
      <c r="T172" s="300"/>
      <c r="U172" s="300"/>
      <c r="V172" s="300"/>
      <c r="W172" s="300"/>
      <c r="X172" s="300"/>
      <c r="Y172" s="300"/>
      <c r="Z172" s="300"/>
      <c r="AA172" s="300"/>
      <c r="AB172" s="300"/>
    </row>
    <row r="173" spans="1:28">
      <c r="A173" s="300"/>
      <c r="B173" s="1158" t="s">
        <v>162</v>
      </c>
      <c r="C173" s="305" t="s">
        <v>161</v>
      </c>
      <c r="D173" s="1159"/>
      <c r="E173" s="1127">
        <f>161:161</f>
        <v>10350.923520417262</v>
      </c>
      <c r="F173" s="1127">
        <f>161:161</f>
        <v>10011.717753559007</v>
      </c>
      <c r="G173" s="1127">
        <f>161:161</f>
        <v>7572.4279361728004</v>
      </c>
      <c r="H173" s="1127">
        <f>161:161</f>
        <v>20575.516311046402</v>
      </c>
      <c r="I173" s="1127">
        <f>161:161</f>
        <v>20575.516311046402</v>
      </c>
      <c r="J173" s="1127">
        <f>161:161</f>
        <v>20575.516311046402</v>
      </c>
      <c r="K173" s="1127">
        <f>161:161</f>
        <v>70129.228228556181</v>
      </c>
      <c r="L173" s="1127">
        <f>161:161</f>
        <v>84184.462324666907</v>
      </c>
      <c r="M173" s="1127">
        <f>161:161</f>
        <v>3191.374073192952</v>
      </c>
      <c r="N173" s="1127"/>
      <c r="R173" s="300"/>
      <c r="S173" s="300"/>
      <c r="T173" s="300"/>
      <c r="U173" s="300"/>
      <c r="V173" s="300"/>
      <c r="W173" s="300"/>
      <c r="X173" s="300"/>
      <c r="Y173" s="300"/>
      <c r="Z173" s="300"/>
      <c r="AA173" s="300"/>
      <c r="AB173" s="300"/>
    </row>
    <row r="174" spans="1:28">
      <c r="A174" s="300"/>
      <c r="B174" s="1158" t="s">
        <v>113</v>
      </c>
      <c r="C174" s="305" t="s">
        <v>50</v>
      </c>
      <c r="D174" s="1161">
        <f>SUM(E174:XN174)</f>
        <v>978226.71341056062</v>
      </c>
      <c r="E174" s="508">
        <f>E169*E173</f>
        <v>46475.646606673508</v>
      </c>
      <c r="F174" s="508">
        <f>F169*F173</f>
        <v>69981.907097377465</v>
      </c>
      <c r="G174" s="508">
        <f>G169*G173</f>
        <v>41572.629369588678</v>
      </c>
      <c r="H174" s="508">
        <f>H169*H173</f>
        <v>143822.85901421437</v>
      </c>
      <c r="I174" s="508">
        <f>I169*I173</f>
        <v>123247.34270316795</v>
      </c>
      <c r="J174" s="508">
        <f>J169*J173</f>
        <v>123247.34270316795</v>
      </c>
      <c r="K174" s="508">
        <f>K169*K173</f>
        <v>171816.60915996265</v>
      </c>
      <c r="L174" s="508">
        <f>L169*L173</f>
        <v>251711.54235075408</v>
      </c>
      <c r="M174" s="508">
        <f>M169*M173</f>
        <v>6350.8344056539745</v>
      </c>
      <c r="N174" s="508"/>
      <c r="R174" s="300"/>
      <c r="S174" s="300"/>
      <c r="T174" s="300"/>
      <c r="U174" s="300"/>
      <c r="V174" s="300"/>
      <c r="W174" s="300"/>
      <c r="X174" s="300"/>
      <c r="Y174" s="300"/>
      <c r="Z174" s="300"/>
      <c r="AA174" s="300"/>
      <c r="AB174" s="300"/>
    </row>
    <row r="175" spans="1:28">
      <c r="A175" s="300"/>
      <c r="B175" s="1158" t="s">
        <v>176</v>
      </c>
      <c r="C175" s="305" t="s">
        <v>49</v>
      </c>
      <c r="D175" s="1162"/>
      <c r="E175" s="1126">
        <f>E174/$D174</f>
        <v>4.7510097577112199E-2</v>
      </c>
      <c r="F175" s="1126">
        <f>F174/$D174</f>
        <v>7.1539558405011722E-2</v>
      </c>
      <c r="G175" s="1126">
        <f>G174/$D174</f>
        <v>4.2497949401368161E-2</v>
      </c>
      <c r="H175" s="1126">
        <f>H174/$D174</f>
        <v>0.14702405591928674</v>
      </c>
      <c r="I175" s="1126">
        <f>I174/$D174</f>
        <v>0.12599057152453899</v>
      </c>
      <c r="J175" s="1126">
        <f>J174/$D174</f>
        <v>0.12599057152453899</v>
      </c>
      <c r="K175" s="1126">
        <f>K174/$D174</f>
        <v>0.17564088856347906</v>
      </c>
      <c r="L175" s="1126">
        <f>L174/$D174</f>
        <v>0.25731411634954099</v>
      </c>
      <c r="M175" s="1126">
        <f>M174/$D174</f>
        <v>6.4921907351231135E-3</v>
      </c>
      <c r="N175" s="1126"/>
      <c r="R175" s="300"/>
      <c r="S175" s="300"/>
      <c r="T175" s="300"/>
      <c r="U175" s="300"/>
      <c r="V175" s="300"/>
      <c r="W175" s="300"/>
      <c r="X175" s="300"/>
      <c r="Y175" s="300"/>
      <c r="Z175" s="300"/>
      <c r="AA175" s="300"/>
      <c r="AB175" s="300"/>
    </row>
    <row r="176" spans="1:28">
      <c r="A176" s="300"/>
      <c r="B176" s="1158" t="s">
        <v>469</v>
      </c>
      <c r="C176" s="305" t="s">
        <v>50</v>
      </c>
      <c r="D176" s="1161">
        <f>SUM(E176:XN176)</f>
        <v>234563.52085148953</v>
      </c>
      <c r="E176" s="508">
        <f>E170*E173</f>
        <v>9626.3588739880543</v>
      </c>
      <c r="F176" s="508">
        <f>F170*F173</f>
        <v>9711.3662209522372</v>
      </c>
      <c r="G176" s="508">
        <f>G170*G173</f>
        <v>7118.0822600024321</v>
      </c>
      <c r="H176" s="508">
        <f>H170*H173</f>
        <v>19546.740495494079</v>
      </c>
      <c r="I176" s="508">
        <f>I170*I173</f>
        <v>19340.985332383618</v>
      </c>
      <c r="J176" s="508">
        <f>J170*J173</f>
        <v>19340.985332383618</v>
      </c>
      <c r="K176" s="508">
        <f>K170*K173</f>
        <v>65220.18225255725</v>
      </c>
      <c r="L176" s="508">
        <f>L170*L173</f>
        <v>81658.928454926892</v>
      </c>
      <c r="M176" s="508">
        <f>M170*M173</f>
        <v>2999.8916288013747</v>
      </c>
      <c r="N176" s="508"/>
      <c r="R176" s="300"/>
      <c r="S176" s="300"/>
      <c r="T176" s="300"/>
      <c r="U176" s="300"/>
      <c r="V176" s="300"/>
      <c r="W176" s="300"/>
      <c r="X176" s="300"/>
      <c r="Y176" s="300"/>
      <c r="Z176" s="300"/>
      <c r="AA176" s="300"/>
      <c r="AB176" s="300"/>
    </row>
    <row r="177" spans="1:28">
      <c r="A177" s="300"/>
      <c r="B177" s="1158" t="s">
        <v>111</v>
      </c>
      <c r="C177" s="305" t="s">
        <v>50</v>
      </c>
      <c r="D177" s="1161">
        <f>SUM(E177:XN177)</f>
        <v>743663.19255907112</v>
      </c>
      <c r="E177" s="508">
        <f>E174-E176</f>
        <v>36849.28773268545</v>
      </c>
      <c r="F177" s="508">
        <f>F174-F176</f>
        <v>60270.540876425228</v>
      </c>
      <c r="G177" s="508">
        <f>G174-G176</f>
        <v>34454.547109586245</v>
      </c>
      <c r="H177" s="508">
        <f>H174-H176</f>
        <v>124276.11851872029</v>
      </c>
      <c r="I177" s="508">
        <f>I174-I176</f>
        <v>103906.35737078433</v>
      </c>
      <c r="J177" s="508">
        <f>J174-J176</f>
        <v>103906.35737078433</v>
      </c>
      <c r="K177" s="508">
        <f>K174-K176</f>
        <v>106596.4269074054</v>
      </c>
      <c r="L177" s="508">
        <f>L174-L176</f>
        <v>170052.61389582721</v>
      </c>
      <c r="M177" s="508">
        <f>M174-M176</f>
        <v>3350.9427768525998</v>
      </c>
      <c r="N177" s="508"/>
      <c r="R177" s="300"/>
      <c r="S177" s="300"/>
      <c r="T177" s="300"/>
      <c r="U177" s="300"/>
      <c r="V177" s="300"/>
      <c r="W177" s="300"/>
      <c r="X177" s="300"/>
      <c r="Y177" s="300"/>
      <c r="Z177" s="300"/>
      <c r="AA177" s="300"/>
      <c r="AB177" s="300"/>
    </row>
    <row r="178" spans="1:28">
      <c r="A178" s="300"/>
      <c r="B178" s="1158"/>
      <c r="C178" s="305" t="s">
        <v>49</v>
      </c>
      <c r="D178" s="1159"/>
      <c r="E178" s="1126">
        <f>E177/$D177</f>
        <v>4.9551044211131122E-2</v>
      </c>
      <c r="F178" s="1126">
        <f>F177/$D177</f>
        <v>8.1045480641611531E-2</v>
      </c>
      <c r="G178" s="1126">
        <f>G177/$D177</f>
        <v>4.6330849038019893E-2</v>
      </c>
      <c r="H178" s="1126">
        <f>H177/$D177</f>
        <v>0.16711344565953989</v>
      </c>
      <c r="I178" s="1126">
        <f>I177/$D177</f>
        <v>0.13972233453322455</v>
      </c>
      <c r="J178" s="1126">
        <f>J177/$D177</f>
        <v>0.13972233453322455</v>
      </c>
      <c r="K178" s="1126">
        <f>K177/$D177</f>
        <v>0.14333965694952447</v>
      </c>
      <c r="L178" s="1126">
        <f>L177/$D177</f>
        <v>0.22866885923269556</v>
      </c>
      <c r="M178" s="1126">
        <f>M177/$D177</f>
        <v>4.505995201028355E-3</v>
      </c>
      <c r="N178" s="1126"/>
      <c r="R178" s="300"/>
      <c r="S178" s="300"/>
      <c r="T178" s="300"/>
      <c r="U178" s="300"/>
      <c r="V178" s="300"/>
      <c r="W178" s="300"/>
      <c r="X178" s="300"/>
      <c r="Y178" s="300"/>
      <c r="Z178" s="300"/>
      <c r="AA178" s="300"/>
      <c r="AB178" s="300"/>
    </row>
    <row r="179" spans="1:28">
      <c r="A179" s="300"/>
      <c r="B179" s="1163" t="s">
        <v>175</v>
      </c>
      <c r="C179" s="1164" t="s">
        <v>174</v>
      </c>
      <c r="D179" s="1165">
        <f>D168/D177*12</f>
        <v>4.4061277104819538</v>
      </c>
      <c r="E179" s="382"/>
      <c r="F179" s="303"/>
      <c r="G179" s="303"/>
      <c r="H179" s="303"/>
      <c r="I179" s="382"/>
      <c r="J179" s="303"/>
      <c r="K179" s="382"/>
      <c r="L179" s="382"/>
      <c r="M179" s="1079"/>
      <c r="N179" s="382"/>
      <c r="R179" s="300"/>
      <c r="S179" s="300"/>
      <c r="T179" s="300"/>
      <c r="U179" s="300"/>
      <c r="V179" s="300"/>
      <c r="W179" s="300"/>
      <c r="X179" s="300"/>
      <c r="Y179" s="300"/>
      <c r="Z179" s="300"/>
      <c r="AA179" s="300"/>
      <c r="AB179" s="300"/>
    </row>
    <row r="180" spans="1:28" ht="12" thickBot="1">
      <c r="A180" s="300"/>
      <c r="B180" s="1167" t="s">
        <v>173</v>
      </c>
      <c r="C180" s="1168" t="s">
        <v>172</v>
      </c>
      <c r="D180" s="1187">
        <f>D168/D172</f>
        <v>359182.65242432995</v>
      </c>
      <c r="E180" s="1149"/>
      <c r="F180" s="1150"/>
      <c r="G180" s="1150"/>
      <c r="H180" s="1150"/>
      <c r="I180" s="1149"/>
      <c r="J180" s="1150"/>
      <c r="K180" s="1149"/>
      <c r="L180" s="1149"/>
      <c r="M180" s="1151"/>
      <c r="N180" s="1149"/>
      <c r="R180" s="300"/>
      <c r="S180" s="300"/>
      <c r="T180" s="300"/>
      <c r="U180" s="300"/>
      <c r="V180" s="300"/>
      <c r="W180" s="300"/>
      <c r="X180" s="300"/>
      <c r="Y180" s="300"/>
      <c r="Z180" s="300"/>
      <c r="AA180" s="300"/>
      <c r="AB180" s="300"/>
    </row>
    <row r="181" spans="1:28" ht="12" thickBot="1">
      <c r="A181" s="300"/>
      <c r="B181" s="300"/>
      <c r="C181" s="300"/>
      <c r="D181" s="300"/>
      <c r="E181" s="1059"/>
      <c r="F181" s="300"/>
      <c r="G181" s="300"/>
      <c r="H181" s="300"/>
      <c r="J181" s="300"/>
      <c r="L181" s="497"/>
      <c r="M181" s="1059"/>
      <c r="R181" s="300"/>
      <c r="S181" s="300"/>
      <c r="T181" s="300"/>
      <c r="U181" s="300"/>
      <c r="V181" s="300"/>
      <c r="W181" s="300"/>
      <c r="X181" s="300"/>
      <c r="Y181" s="300"/>
      <c r="Z181" s="300"/>
      <c r="AA181" s="300"/>
      <c r="AB181" s="300"/>
    </row>
    <row r="182" spans="1:28">
      <c r="A182" s="300"/>
      <c r="B182" s="1176" t="s">
        <v>129</v>
      </c>
      <c r="C182" s="1155" t="s">
        <v>50</v>
      </c>
      <c r="D182" s="1177">
        <f>$E$12</f>
        <v>273056.25</v>
      </c>
      <c r="E182" s="1136"/>
      <c r="F182" s="1136"/>
      <c r="G182" s="1136"/>
      <c r="H182" s="1136"/>
      <c r="I182" s="1137"/>
      <c r="J182" s="1137"/>
      <c r="K182" s="1137"/>
      <c r="L182" s="1137"/>
      <c r="M182" s="1137"/>
      <c r="N182" s="1137"/>
      <c r="R182" s="300"/>
      <c r="S182" s="300"/>
      <c r="T182" s="300"/>
      <c r="U182" s="300"/>
      <c r="V182" s="300"/>
      <c r="W182" s="300"/>
      <c r="X182" s="300"/>
      <c r="Y182" s="300"/>
      <c r="Z182" s="300"/>
      <c r="AA182" s="300"/>
      <c r="AB182" s="300"/>
    </row>
    <row r="183" spans="1:28">
      <c r="A183" s="300"/>
      <c r="B183" s="1158" t="s">
        <v>167</v>
      </c>
      <c r="C183" s="305" t="s">
        <v>50</v>
      </c>
      <c r="D183" s="1159"/>
      <c r="E183" s="1122">
        <f>E169</f>
        <v>4.49</v>
      </c>
      <c r="F183" s="1122">
        <f>F169</f>
        <v>6.99</v>
      </c>
      <c r="G183" s="1122">
        <f>G169</f>
        <v>5.49</v>
      </c>
      <c r="H183" s="1122">
        <f>H169</f>
        <v>6.99</v>
      </c>
      <c r="I183" s="1122">
        <f>I169</f>
        <v>5.99</v>
      </c>
      <c r="J183" s="1122">
        <f>J169</f>
        <v>5.99</v>
      </c>
      <c r="K183" s="1122">
        <f>K169</f>
        <v>2.4500000000000002</v>
      </c>
      <c r="L183" s="1122">
        <f>L169</f>
        <v>2.99</v>
      </c>
      <c r="M183" s="1122">
        <f>M169</f>
        <v>1.99</v>
      </c>
      <c r="N183" s="1122"/>
      <c r="R183" s="300"/>
      <c r="S183" s="300"/>
      <c r="T183" s="300"/>
      <c r="U183" s="300"/>
      <c r="V183" s="300"/>
      <c r="W183" s="300"/>
      <c r="X183" s="300"/>
      <c r="Y183" s="300"/>
      <c r="Z183" s="300"/>
      <c r="AA183" s="300"/>
      <c r="AB183" s="300"/>
    </row>
    <row r="184" spans="1:28">
      <c r="A184" s="1185" t="s">
        <v>177</v>
      </c>
      <c r="B184" s="1186" t="s">
        <v>165</v>
      </c>
      <c r="C184" s="305" t="s">
        <v>50</v>
      </c>
      <c r="D184" s="1159"/>
      <c r="E184" s="1010">
        <f>E170</f>
        <v>0.93</v>
      </c>
      <c r="F184" s="1010">
        <f>F170</f>
        <v>0.97</v>
      </c>
      <c r="G184" s="1010">
        <f>G170</f>
        <v>0.94</v>
      </c>
      <c r="H184" s="1010">
        <f>H170</f>
        <v>0.95</v>
      </c>
      <c r="I184" s="1010">
        <f>I170</f>
        <v>0.94</v>
      </c>
      <c r="J184" s="1010">
        <f>J170</f>
        <v>0.94</v>
      </c>
      <c r="K184" s="1010">
        <f>K170</f>
        <v>0.93</v>
      </c>
      <c r="L184" s="1010">
        <f>L170</f>
        <v>0.97</v>
      </c>
      <c r="M184" s="1010">
        <f>M170</f>
        <v>0.94</v>
      </c>
      <c r="N184" s="1233"/>
      <c r="O184" s="1234"/>
      <c r="P184" s="1234"/>
      <c r="R184" s="300"/>
      <c r="S184" s="300"/>
      <c r="T184" s="300"/>
      <c r="U184" s="300"/>
      <c r="V184" s="300"/>
      <c r="W184" s="300"/>
      <c r="X184" s="300"/>
      <c r="Y184" s="300"/>
      <c r="Z184" s="300"/>
      <c r="AA184" s="300"/>
      <c r="AB184" s="300"/>
    </row>
    <row r="185" spans="1:28">
      <c r="A185" s="300"/>
      <c r="B185" s="1158" t="s">
        <v>164</v>
      </c>
      <c r="C185" s="305" t="s">
        <v>50</v>
      </c>
      <c r="D185" s="1159"/>
      <c r="E185" s="1122">
        <f>E183-E184</f>
        <v>3.56</v>
      </c>
      <c r="F185" s="1122">
        <f>F183-F184</f>
        <v>6.0200000000000005</v>
      </c>
      <c r="G185" s="1122">
        <f>G183-G184</f>
        <v>4.5500000000000007</v>
      </c>
      <c r="H185" s="1122">
        <f>H183-H184</f>
        <v>6.04</v>
      </c>
      <c r="I185" s="1122">
        <f>I183-I184</f>
        <v>5.0500000000000007</v>
      </c>
      <c r="J185" s="1122">
        <f>J183-J184</f>
        <v>5.0500000000000007</v>
      </c>
      <c r="K185" s="1122">
        <f>K183-K184</f>
        <v>1.52</v>
      </c>
      <c r="L185" s="1122">
        <f>L183-L184</f>
        <v>2.0200000000000005</v>
      </c>
      <c r="M185" s="1122">
        <f>M183-M184</f>
        <v>1.05</v>
      </c>
      <c r="N185" s="1122"/>
      <c r="R185" s="300"/>
      <c r="S185" s="300"/>
      <c r="T185" s="300"/>
      <c r="U185" s="300"/>
      <c r="V185" s="300"/>
      <c r="W185" s="300"/>
      <c r="X185" s="300"/>
      <c r="Y185" s="300"/>
      <c r="Z185" s="300"/>
      <c r="AA185" s="300"/>
      <c r="AB185" s="300"/>
    </row>
    <row r="186" spans="1:28">
      <c r="A186" s="300"/>
      <c r="B186" s="1158" t="s">
        <v>163</v>
      </c>
      <c r="C186" s="305" t="s">
        <v>49</v>
      </c>
      <c r="D186" s="1160">
        <f>(D188-D190)/D188</f>
        <v>0.76021558434681236</v>
      </c>
      <c r="E186" s="1126">
        <f>E185/E183</f>
        <v>0.79287305122494434</v>
      </c>
      <c r="F186" s="1126">
        <f>F185/F183</f>
        <v>0.86123032904148789</v>
      </c>
      <c r="G186" s="1126">
        <f>G185/G183</f>
        <v>0.82877959927140266</v>
      </c>
      <c r="H186" s="1126">
        <f>H185/H183</f>
        <v>0.86409155937052928</v>
      </c>
      <c r="I186" s="1126">
        <f>I185/I183</f>
        <v>0.8430717863105176</v>
      </c>
      <c r="J186" s="1126">
        <f>J185/J183</f>
        <v>0.8430717863105176</v>
      </c>
      <c r="K186" s="1126">
        <f>K185/K183</f>
        <v>0.62040816326530612</v>
      </c>
      <c r="L186" s="1126">
        <f>L185/L183</f>
        <v>0.67558528428093656</v>
      </c>
      <c r="M186" s="1126">
        <f>M185/M183</f>
        <v>0.52763819095477393</v>
      </c>
      <c r="N186" s="1126"/>
      <c r="R186" s="300"/>
      <c r="S186" s="300"/>
      <c r="T186" s="300"/>
      <c r="U186" s="300"/>
      <c r="V186" s="300"/>
      <c r="W186" s="300"/>
      <c r="X186" s="300"/>
      <c r="Y186" s="300"/>
      <c r="Z186" s="300"/>
      <c r="AA186" s="300"/>
      <c r="AB186" s="300"/>
    </row>
    <row r="187" spans="1:28">
      <c r="A187" s="1090"/>
      <c r="B187" s="1158" t="s">
        <v>162</v>
      </c>
      <c r="C187" s="305" t="s">
        <v>161</v>
      </c>
      <c r="D187" s="1159"/>
      <c r="E187" s="1127">
        <f>E161</f>
        <v>10350.923520417262</v>
      </c>
      <c r="F187" s="1127">
        <f>F161</f>
        <v>10011.717753559007</v>
      </c>
      <c r="G187" s="1127">
        <f>G161</f>
        <v>7572.4279361728004</v>
      </c>
      <c r="H187" s="1127">
        <f>H161</f>
        <v>20575.516311046402</v>
      </c>
      <c r="I187" s="1127">
        <f>I161</f>
        <v>20575.516311046402</v>
      </c>
      <c r="J187" s="1127">
        <f>J161</f>
        <v>20575.516311046402</v>
      </c>
      <c r="K187" s="1127">
        <f>K161</f>
        <v>70129.228228556181</v>
      </c>
      <c r="L187" s="1127">
        <f>L161</f>
        <v>84184.462324666907</v>
      </c>
      <c r="M187" s="1127">
        <f>M161</f>
        <v>3191.374073192952</v>
      </c>
      <c r="N187" s="1127"/>
      <c r="R187" s="300"/>
      <c r="S187" s="300"/>
      <c r="T187" s="300"/>
      <c r="U187" s="300"/>
      <c r="V187" s="300"/>
      <c r="W187" s="300"/>
      <c r="X187" s="300"/>
      <c r="Y187" s="300"/>
      <c r="Z187" s="300"/>
      <c r="AA187" s="300"/>
      <c r="AB187" s="300"/>
    </row>
    <row r="188" spans="1:28">
      <c r="A188" s="1090"/>
      <c r="B188" s="1158" t="s">
        <v>113</v>
      </c>
      <c r="C188" s="305" t="s">
        <v>50</v>
      </c>
      <c r="D188" s="1161">
        <f>SUM(E188:XN188)</f>
        <v>978226.71341056062</v>
      </c>
      <c r="E188" s="508">
        <f>E183*E187</f>
        <v>46475.646606673508</v>
      </c>
      <c r="F188" s="508">
        <f>F183*F187</f>
        <v>69981.907097377465</v>
      </c>
      <c r="G188" s="508">
        <f>G183*G187</f>
        <v>41572.629369588678</v>
      </c>
      <c r="H188" s="508">
        <f>H183*H187</f>
        <v>143822.85901421437</v>
      </c>
      <c r="I188" s="508">
        <f>I183*I187</f>
        <v>123247.34270316795</v>
      </c>
      <c r="J188" s="508">
        <f>J183*J187</f>
        <v>123247.34270316795</v>
      </c>
      <c r="K188" s="508">
        <f>K183*K187</f>
        <v>171816.60915996265</v>
      </c>
      <c r="L188" s="508">
        <f>L183*L187</f>
        <v>251711.54235075408</v>
      </c>
      <c r="M188" s="508">
        <f>M183*M187</f>
        <v>6350.8344056539745</v>
      </c>
      <c r="N188" s="508"/>
      <c r="R188" s="300"/>
      <c r="S188" s="300"/>
      <c r="T188" s="300"/>
      <c r="U188" s="300"/>
      <c r="V188" s="300"/>
      <c r="W188" s="300"/>
      <c r="X188" s="300"/>
      <c r="Y188" s="300"/>
      <c r="Z188" s="300"/>
      <c r="AA188" s="300"/>
      <c r="AB188" s="300"/>
    </row>
    <row r="189" spans="1:28">
      <c r="A189" s="300"/>
      <c r="B189" s="1158" t="s">
        <v>176</v>
      </c>
      <c r="C189" s="305" t="s">
        <v>49</v>
      </c>
      <c r="D189" s="1162"/>
      <c r="E189" s="1126">
        <f>E188/$D188</f>
        <v>4.7510097577112199E-2</v>
      </c>
      <c r="F189" s="1126">
        <f>F188/$D188</f>
        <v>7.1539558405011722E-2</v>
      </c>
      <c r="G189" s="1126">
        <f>G188/$D188</f>
        <v>4.2497949401368161E-2</v>
      </c>
      <c r="H189" s="1126">
        <f>H188/$D188</f>
        <v>0.14702405591928674</v>
      </c>
      <c r="I189" s="1126">
        <f>I188/$D188</f>
        <v>0.12599057152453899</v>
      </c>
      <c r="J189" s="1126">
        <f>J188/$D188</f>
        <v>0.12599057152453899</v>
      </c>
      <c r="K189" s="1126">
        <f>K188/$D188</f>
        <v>0.17564088856347906</v>
      </c>
      <c r="L189" s="1126">
        <f>L188/$D188</f>
        <v>0.25731411634954099</v>
      </c>
      <c r="M189" s="1126">
        <f>M188/$D188</f>
        <v>6.4921907351231135E-3</v>
      </c>
      <c r="N189" s="1126"/>
      <c r="R189" s="300"/>
      <c r="S189" s="300"/>
      <c r="T189" s="300"/>
      <c r="U189" s="300"/>
      <c r="V189" s="300"/>
      <c r="W189" s="300"/>
      <c r="X189" s="300"/>
      <c r="Y189" s="300"/>
      <c r="Z189" s="300"/>
      <c r="AA189" s="300"/>
      <c r="AB189" s="300"/>
    </row>
    <row r="190" spans="1:28">
      <c r="A190" s="300"/>
      <c r="B190" s="1158" t="s">
        <v>469</v>
      </c>
      <c r="C190" s="305" t="s">
        <v>50</v>
      </c>
      <c r="D190" s="1161">
        <f>SUM(E190:XN190)</f>
        <v>234563.52085148953</v>
      </c>
      <c r="E190" s="508">
        <f>E184*E187</f>
        <v>9626.3588739880543</v>
      </c>
      <c r="F190" s="508">
        <f>F184*F187</f>
        <v>9711.3662209522372</v>
      </c>
      <c r="G190" s="508">
        <f>G184*G187</f>
        <v>7118.0822600024321</v>
      </c>
      <c r="H190" s="508">
        <f>H184*H187</f>
        <v>19546.740495494079</v>
      </c>
      <c r="I190" s="508">
        <f>I184*I187</f>
        <v>19340.985332383618</v>
      </c>
      <c r="J190" s="508">
        <f>J184*J187</f>
        <v>19340.985332383618</v>
      </c>
      <c r="K190" s="508">
        <f>K184*K187</f>
        <v>65220.18225255725</v>
      </c>
      <c r="L190" s="508">
        <f>L184*L187</f>
        <v>81658.928454926892</v>
      </c>
      <c r="M190" s="508">
        <f>M184*M187</f>
        <v>2999.8916288013747</v>
      </c>
      <c r="N190" s="508"/>
      <c r="R190" s="300"/>
      <c r="S190" s="300"/>
      <c r="T190" s="300"/>
      <c r="U190" s="300"/>
      <c r="V190" s="300"/>
      <c r="W190" s="300"/>
      <c r="X190" s="300"/>
      <c r="Y190" s="300"/>
      <c r="Z190" s="300"/>
      <c r="AA190" s="300"/>
      <c r="AB190" s="300"/>
    </row>
    <row r="191" spans="1:28">
      <c r="A191" s="300"/>
      <c r="B191" s="1158" t="s">
        <v>111</v>
      </c>
      <c r="C191" s="305" t="s">
        <v>50</v>
      </c>
      <c r="D191" s="1161">
        <f>SUM(E191:XN191)</f>
        <v>743663.19255907112</v>
      </c>
      <c r="E191" s="508">
        <f>E188-E190</f>
        <v>36849.28773268545</v>
      </c>
      <c r="F191" s="508">
        <f>F188-F190</f>
        <v>60270.540876425228</v>
      </c>
      <c r="G191" s="508">
        <f>G188-G190</f>
        <v>34454.547109586245</v>
      </c>
      <c r="H191" s="508">
        <f>H188-H190</f>
        <v>124276.11851872029</v>
      </c>
      <c r="I191" s="508">
        <f>I188-I190</f>
        <v>103906.35737078433</v>
      </c>
      <c r="J191" s="508">
        <f>J188-J190</f>
        <v>103906.35737078433</v>
      </c>
      <c r="K191" s="508">
        <f>K188-K190</f>
        <v>106596.4269074054</v>
      </c>
      <c r="L191" s="508">
        <f>L188-L190</f>
        <v>170052.61389582721</v>
      </c>
      <c r="M191" s="508">
        <f>M188-M190</f>
        <v>3350.9427768525998</v>
      </c>
      <c r="N191" s="508"/>
      <c r="R191" s="300"/>
      <c r="S191" s="300"/>
      <c r="T191" s="300"/>
      <c r="U191" s="300"/>
      <c r="V191" s="300"/>
      <c r="W191" s="300"/>
      <c r="X191" s="300"/>
      <c r="Y191" s="300"/>
      <c r="Z191" s="300"/>
      <c r="AA191" s="300"/>
      <c r="AB191" s="300"/>
    </row>
    <row r="192" spans="1:28">
      <c r="A192" s="300"/>
      <c r="B192" s="1158"/>
      <c r="C192" s="305" t="s">
        <v>49</v>
      </c>
      <c r="D192" s="1159"/>
      <c r="E192" s="1126">
        <f>E191/$D191</f>
        <v>4.9551044211131122E-2</v>
      </c>
      <c r="F192" s="1126">
        <f>F191/$D191</f>
        <v>8.1045480641611531E-2</v>
      </c>
      <c r="G192" s="1126">
        <f>G191/$D191</f>
        <v>4.6330849038019893E-2</v>
      </c>
      <c r="H192" s="1126">
        <f>H191/$D191</f>
        <v>0.16711344565953989</v>
      </c>
      <c r="I192" s="1126">
        <f>I191/$D191</f>
        <v>0.13972233453322455</v>
      </c>
      <c r="J192" s="1126">
        <f>J191/$D191</f>
        <v>0.13972233453322455</v>
      </c>
      <c r="K192" s="1126">
        <f>K191/$D191</f>
        <v>0.14333965694952447</v>
      </c>
      <c r="L192" s="1126">
        <f>L191/$D191</f>
        <v>0.22866885923269556</v>
      </c>
      <c r="M192" s="1126">
        <f>M191/$D191</f>
        <v>4.505995201028355E-3</v>
      </c>
      <c r="N192" s="1126"/>
      <c r="R192" s="300"/>
      <c r="S192" s="300"/>
      <c r="T192" s="300"/>
      <c r="U192" s="300"/>
      <c r="V192" s="300"/>
      <c r="W192" s="300"/>
      <c r="X192" s="300"/>
      <c r="Y192" s="300"/>
      <c r="Z192" s="300"/>
      <c r="AA192" s="300"/>
      <c r="AB192" s="300"/>
    </row>
    <row r="193" spans="1:28">
      <c r="A193" s="300"/>
      <c r="B193" s="1163" t="s">
        <v>175</v>
      </c>
      <c r="C193" s="1164" t="s">
        <v>174</v>
      </c>
      <c r="D193" s="1188">
        <f>D182/D191*12</f>
        <v>4.4061277104819538</v>
      </c>
      <c r="E193" s="382"/>
      <c r="F193" s="303"/>
      <c r="G193" s="303"/>
      <c r="H193" s="303"/>
      <c r="I193" s="382"/>
      <c r="J193" s="303"/>
      <c r="K193" s="303"/>
      <c r="L193" s="303"/>
      <c r="M193" s="1079"/>
      <c r="N193" s="303"/>
      <c r="R193" s="300"/>
      <c r="S193" s="300"/>
      <c r="T193" s="300"/>
      <c r="U193" s="300"/>
      <c r="V193" s="300"/>
      <c r="W193" s="300"/>
      <c r="X193" s="300"/>
      <c r="Y193" s="300"/>
      <c r="Z193" s="300"/>
      <c r="AA193" s="300"/>
      <c r="AB193" s="300"/>
    </row>
    <row r="194" spans="1:28" ht="12" thickBot="1">
      <c r="A194" s="300"/>
      <c r="B194" s="1167" t="s">
        <v>173</v>
      </c>
      <c r="C194" s="1168" t="s">
        <v>172</v>
      </c>
      <c r="D194" s="1189">
        <f>D182/D186</f>
        <v>359182.65242432995</v>
      </c>
      <c r="E194" s="1149"/>
      <c r="F194" s="1150"/>
      <c r="G194" s="1150"/>
      <c r="H194" s="1150"/>
      <c r="I194" s="1149"/>
      <c r="J194" s="1150"/>
      <c r="K194" s="1150"/>
      <c r="L194" s="1150"/>
      <c r="M194" s="1151"/>
      <c r="N194" s="1150"/>
      <c r="R194" s="300"/>
      <c r="S194" s="300"/>
      <c r="T194" s="300"/>
      <c r="U194" s="300"/>
      <c r="V194" s="300"/>
      <c r="W194" s="300"/>
      <c r="X194" s="300"/>
      <c r="Y194" s="300"/>
      <c r="Z194" s="300"/>
      <c r="AA194" s="300"/>
      <c r="AB194" s="300"/>
    </row>
    <row r="195" spans="1:28">
      <c r="A195" s="300"/>
      <c r="B195" s="1093"/>
      <c r="C195" s="1093"/>
      <c r="D195" s="1059"/>
      <c r="E195" s="300"/>
      <c r="F195" s="300"/>
      <c r="G195" s="300"/>
      <c r="I195" s="300"/>
      <c r="J195" s="300"/>
      <c r="K195" s="300"/>
      <c r="M195" s="300"/>
      <c r="N195" s="300"/>
      <c r="R195" s="300"/>
      <c r="S195" s="300"/>
      <c r="T195" s="300"/>
      <c r="U195" s="300"/>
      <c r="V195" s="300"/>
      <c r="W195" s="300"/>
      <c r="X195" s="300"/>
      <c r="Y195" s="300"/>
      <c r="Z195" s="300"/>
      <c r="AA195" s="300"/>
      <c r="AB195" s="300"/>
    </row>
    <row r="196" spans="1:28">
      <c r="B196" s="300"/>
      <c r="C196" s="300"/>
      <c r="D196" s="300"/>
      <c r="E196" s="300"/>
      <c r="F196" s="300"/>
      <c r="G196" s="300"/>
      <c r="H196" s="300"/>
      <c r="I196" s="300"/>
      <c r="J196" s="300"/>
      <c r="K196" s="300"/>
      <c r="M196" s="300"/>
      <c r="N196" s="300"/>
      <c r="R196" s="300"/>
      <c r="S196" s="300"/>
      <c r="T196" s="300"/>
      <c r="U196" s="300"/>
      <c r="V196" s="300"/>
      <c r="W196" s="300"/>
      <c r="X196" s="300"/>
      <c r="Y196" s="300"/>
      <c r="Z196" s="300"/>
      <c r="AA196" s="300"/>
      <c r="AB196" s="300"/>
    </row>
    <row r="197" spans="1:28">
      <c r="B197" s="300"/>
      <c r="C197" s="300"/>
      <c r="D197" s="300"/>
      <c r="E197" s="300"/>
      <c r="F197" s="300"/>
      <c r="G197" s="300"/>
      <c r="H197" s="300"/>
      <c r="I197" s="300"/>
      <c r="J197" s="300"/>
      <c r="K197" s="300"/>
      <c r="M197" s="300"/>
      <c r="N197" s="300"/>
      <c r="R197" s="300"/>
      <c r="S197" s="300"/>
      <c r="T197" s="300"/>
      <c r="U197" s="300"/>
      <c r="V197" s="300"/>
      <c r="W197" s="300"/>
      <c r="X197" s="300"/>
      <c r="Y197" s="300"/>
      <c r="Z197" s="300"/>
      <c r="AA197" s="300"/>
      <c r="AB197" s="300"/>
    </row>
    <row r="198" spans="1:28">
      <c r="B198" s="300"/>
      <c r="C198" s="300"/>
      <c r="D198" s="300"/>
      <c r="E198" s="300"/>
      <c r="F198" s="300"/>
      <c r="G198" s="300"/>
      <c r="H198" s="300"/>
      <c r="I198" s="300"/>
      <c r="J198" s="300"/>
      <c r="K198" s="300"/>
      <c r="M198" s="300"/>
      <c r="N198" s="300"/>
      <c r="R198" s="300"/>
      <c r="S198" s="300"/>
      <c r="T198" s="300"/>
      <c r="U198" s="300"/>
      <c r="V198" s="300"/>
      <c r="W198" s="300"/>
      <c r="X198" s="300"/>
      <c r="Y198" s="300"/>
      <c r="Z198" s="300"/>
      <c r="AA198" s="300"/>
      <c r="AB198" s="300"/>
    </row>
    <row r="199" spans="1:28" ht="15.75">
      <c r="A199" s="882">
        <v>3</v>
      </c>
      <c r="B199" s="773" t="s">
        <v>171</v>
      </c>
      <c r="C199" s="773"/>
      <c r="D199" s="882"/>
      <c r="E199" s="300"/>
      <c r="F199" s="300"/>
      <c r="G199" s="300"/>
      <c r="H199" s="300"/>
      <c r="I199" s="300"/>
      <c r="J199" s="300"/>
      <c r="K199" s="300"/>
      <c r="M199" s="300"/>
      <c r="N199" s="300"/>
      <c r="R199" s="300"/>
      <c r="S199" s="300"/>
      <c r="T199" s="300"/>
      <c r="U199" s="300"/>
      <c r="V199" s="300"/>
      <c r="W199" s="300"/>
      <c r="X199" s="300"/>
      <c r="Y199" s="300"/>
      <c r="Z199" s="300"/>
      <c r="AA199" s="300"/>
      <c r="AB199" s="300"/>
    </row>
    <row r="200" spans="1:28" ht="12" thickBot="1">
      <c r="B200" s="300"/>
      <c r="C200" s="300"/>
      <c r="D200" s="297"/>
      <c r="E200" s="297"/>
      <c r="F200" s="297"/>
      <c r="G200" s="297"/>
      <c r="H200" s="297"/>
      <c r="I200" s="300"/>
      <c r="W200" s="300"/>
      <c r="X200" s="300"/>
      <c r="Y200" s="300"/>
      <c r="Z200" s="300"/>
      <c r="AA200" s="300"/>
      <c r="AB200" s="300"/>
    </row>
    <row r="201" spans="1:28">
      <c r="B201" s="1062"/>
      <c r="C201" s="1063"/>
      <c r="D201" s="1064"/>
      <c r="E201" s="1065" t="s">
        <v>35</v>
      </c>
      <c r="F201" s="1066"/>
      <c r="G201" s="1066"/>
      <c r="H201" s="1066"/>
      <c r="I201" s="1066"/>
      <c r="J201" s="1066"/>
      <c r="K201" s="1066"/>
      <c r="L201" s="1066"/>
      <c r="M201" s="1066"/>
      <c r="N201" s="1066"/>
      <c r="O201" s="1079"/>
      <c r="P201" s="1079"/>
      <c r="W201" s="300"/>
      <c r="X201" s="300"/>
      <c r="Y201" s="300"/>
      <c r="Z201" s="300"/>
      <c r="AA201" s="300"/>
      <c r="AB201" s="300"/>
    </row>
    <row r="202" spans="1:28" ht="12" thickBot="1">
      <c r="B202" s="1119" t="s">
        <v>168</v>
      </c>
      <c r="C202" s="1070"/>
      <c r="D202" s="1071" t="str">
        <f>$D$64</f>
        <v>TOTAL BRAND 01</v>
      </c>
      <c r="E202" s="1072" t="s">
        <v>699</v>
      </c>
      <c r="F202" s="1072" t="s">
        <v>700</v>
      </c>
      <c r="G202" s="1072" t="s">
        <v>701</v>
      </c>
      <c r="H202" s="1072" t="s">
        <v>702</v>
      </c>
      <c r="I202" s="1073" t="s">
        <v>703</v>
      </c>
      <c r="J202" s="1074" t="s">
        <v>704</v>
      </c>
      <c r="K202" s="1074" t="s">
        <v>705</v>
      </c>
      <c r="L202" s="1074" t="s">
        <v>706</v>
      </c>
      <c r="M202" s="1074" t="s">
        <v>707</v>
      </c>
      <c r="N202" s="1074"/>
      <c r="O202" s="382"/>
      <c r="P202" s="382"/>
      <c r="W202" s="300"/>
      <c r="X202" s="300"/>
      <c r="Y202" s="300"/>
      <c r="Z202" s="300"/>
      <c r="AA202" s="300"/>
      <c r="AB202" s="300"/>
    </row>
    <row r="203" spans="1:28" s="1190" customFormat="1" ht="12.75" thickTop="1" thickBot="1">
      <c r="B203" s="1191"/>
      <c r="C203" s="1192"/>
      <c r="D203" s="1193"/>
      <c r="E203" s="1072" t="s">
        <v>410</v>
      </c>
      <c r="F203" s="1072" t="s">
        <v>410</v>
      </c>
      <c r="G203" s="1072" t="s">
        <v>410</v>
      </c>
      <c r="H203" s="1072" t="s">
        <v>410</v>
      </c>
      <c r="I203" s="1072" t="s">
        <v>410</v>
      </c>
      <c r="J203" s="1072" t="s">
        <v>410</v>
      </c>
      <c r="K203" s="1072" t="s">
        <v>411</v>
      </c>
      <c r="L203" s="1072" t="s">
        <v>411</v>
      </c>
      <c r="M203" s="1072" t="s">
        <v>410</v>
      </c>
      <c r="N203" s="1072"/>
      <c r="O203" s="1194"/>
      <c r="P203" s="1194"/>
      <c r="Q203" s="297"/>
      <c r="W203" s="297"/>
      <c r="X203" s="297"/>
      <c r="Y203" s="297"/>
      <c r="Z203" s="297"/>
      <c r="AA203" s="297"/>
      <c r="AB203" s="297"/>
    </row>
    <row r="204" spans="1:28" ht="12" thickTop="1">
      <c r="B204" s="1081" t="s">
        <v>129</v>
      </c>
      <c r="C204" s="1077" t="s">
        <v>50</v>
      </c>
      <c r="D204" s="1080">
        <f>$E$12</f>
        <v>273056.25</v>
      </c>
      <c r="E204" s="303"/>
      <c r="F204" s="303"/>
      <c r="G204" s="303"/>
      <c r="H204" s="303"/>
      <c r="I204" s="382"/>
      <c r="J204" s="382"/>
      <c r="K204" s="382"/>
      <c r="L204" s="382"/>
      <c r="M204" s="382"/>
      <c r="N204" s="382"/>
      <c r="W204" s="300"/>
      <c r="X204" s="300"/>
      <c r="Y204" s="300"/>
      <c r="Z204" s="300"/>
      <c r="AA204" s="300"/>
      <c r="AB204" s="300"/>
    </row>
    <row r="205" spans="1:28">
      <c r="B205" s="1081" t="s">
        <v>167</v>
      </c>
      <c r="C205" s="1077" t="s">
        <v>50</v>
      </c>
      <c r="D205" s="1084"/>
      <c r="E205" s="1122">
        <v>4.49</v>
      </c>
      <c r="F205" s="1122">
        <v>6.99</v>
      </c>
      <c r="G205" s="1122">
        <v>5.49</v>
      </c>
      <c r="H205" s="1122">
        <v>6.99</v>
      </c>
      <c r="I205" s="1122">
        <v>5.99</v>
      </c>
      <c r="J205" s="1122">
        <v>5.99</v>
      </c>
      <c r="K205" s="1122">
        <v>2.4500000000000002</v>
      </c>
      <c r="L205" s="1122">
        <v>2.99</v>
      </c>
      <c r="M205" s="1122">
        <v>1.99</v>
      </c>
      <c r="N205" s="1122"/>
      <c r="W205" s="300"/>
      <c r="X205" s="300"/>
      <c r="Y205" s="300"/>
      <c r="Z205" s="300"/>
      <c r="AA205" s="300"/>
      <c r="AB205" s="300"/>
    </row>
    <row r="206" spans="1:28">
      <c r="B206" s="1081" t="s">
        <v>165</v>
      </c>
      <c r="C206" s="1077" t="s">
        <v>50</v>
      </c>
      <c r="D206" s="1084"/>
      <c r="E206" s="1122">
        <v>0.93</v>
      </c>
      <c r="F206" s="1122">
        <v>0.97</v>
      </c>
      <c r="G206" s="1122">
        <v>0.94</v>
      </c>
      <c r="H206" s="1122">
        <v>0.95</v>
      </c>
      <c r="I206" s="1122">
        <v>0.94</v>
      </c>
      <c r="J206" s="1122">
        <v>0.94</v>
      </c>
      <c r="K206" s="1122">
        <v>0.93</v>
      </c>
      <c r="L206" s="1122">
        <v>0.97</v>
      </c>
      <c r="M206" s="1122">
        <v>0.94</v>
      </c>
      <c r="N206" s="1122"/>
      <c r="W206" s="300"/>
      <c r="X206" s="300"/>
      <c r="Y206" s="300"/>
      <c r="Z206" s="300"/>
      <c r="AA206" s="300"/>
      <c r="AB206" s="300"/>
    </row>
    <row r="207" spans="1:28">
      <c r="B207" s="1081" t="s">
        <v>164</v>
      </c>
      <c r="C207" s="1077" t="s">
        <v>50</v>
      </c>
      <c r="D207" s="1084"/>
      <c r="E207" s="1122">
        <f>E205-E206</f>
        <v>3.56</v>
      </c>
      <c r="F207" s="1122">
        <f>F205-F206</f>
        <v>6.0200000000000005</v>
      </c>
      <c r="G207" s="1122">
        <f>G205-G206</f>
        <v>4.5500000000000007</v>
      </c>
      <c r="H207" s="1122">
        <f>H205-H206</f>
        <v>6.04</v>
      </c>
      <c r="I207" s="1122">
        <f>I205-I206</f>
        <v>5.0500000000000007</v>
      </c>
      <c r="J207" s="1122">
        <f>J205-J206</f>
        <v>5.0500000000000007</v>
      </c>
      <c r="K207" s="1122">
        <f>K205-K206</f>
        <v>1.52</v>
      </c>
      <c r="L207" s="1122">
        <f>L205-L206</f>
        <v>2.0200000000000005</v>
      </c>
      <c r="M207" s="1122">
        <f>M205-M206</f>
        <v>1.05</v>
      </c>
      <c r="N207" s="1122"/>
      <c r="W207" s="300"/>
      <c r="X207" s="300"/>
      <c r="Y207" s="300"/>
      <c r="Z207" s="300"/>
      <c r="AA207" s="300"/>
      <c r="AB207" s="300"/>
    </row>
    <row r="208" spans="1:28">
      <c r="B208" s="1081" t="s">
        <v>163</v>
      </c>
      <c r="C208" s="1077" t="s">
        <v>49</v>
      </c>
      <c r="D208" s="1125">
        <f>(D210-D212)/D210</f>
        <v>0.76021558434681236</v>
      </c>
      <c r="E208" s="1126">
        <f>E207/E205</f>
        <v>0.79287305122494434</v>
      </c>
      <c r="F208" s="1126">
        <f>F207/F205</f>
        <v>0.86123032904148789</v>
      </c>
      <c r="G208" s="1126">
        <f>G207/G205</f>
        <v>0.82877959927140266</v>
      </c>
      <c r="H208" s="1126">
        <f>H207/H205</f>
        <v>0.86409155937052928</v>
      </c>
      <c r="I208" s="1126">
        <f>I207/I205</f>
        <v>0.8430717863105176</v>
      </c>
      <c r="J208" s="1126">
        <f>J207/J205</f>
        <v>0.8430717863105176</v>
      </c>
      <c r="K208" s="1126">
        <f>K207/K205</f>
        <v>0.62040816326530612</v>
      </c>
      <c r="L208" s="1126">
        <f>L207/L205</f>
        <v>0.67558528428093656</v>
      </c>
      <c r="M208" s="1126">
        <f>M207/M205</f>
        <v>0.52763819095477393</v>
      </c>
      <c r="N208" s="1126"/>
      <c r="W208" s="300"/>
      <c r="X208" s="300"/>
      <c r="Y208" s="300"/>
      <c r="Z208" s="300"/>
      <c r="AA208" s="300"/>
      <c r="AB208" s="300"/>
    </row>
    <row r="209" spans="2:28">
      <c r="B209" s="1081" t="s">
        <v>162</v>
      </c>
      <c r="C209" s="1077" t="s">
        <v>161</v>
      </c>
      <c r="D209" s="1195">
        <f>SUM(E209:XL209)</f>
        <v>247166.68276970432</v>
      </c>
      <c r="E209" s="1127">
        <v>10350.923520417262</v>
      </c>
      <c r="F209" s="1127">
        <v>10011.717753559007</v>
      </c>
      <c r="G209" s="1127">
        <v>7572.4279361728004</v>
      </c>
      <c r="H209" s="1127">
        <v>20575.516311046402</v>
      </c>
      <c r="I209" s="1127">
        <v>20575.516311046402</v>
      </c>
      <c r="J209" s="1127">
        <v>20575.516311046402</v>
      </c>
      <c r="K209" s="1127">
        <v>70129.228228556181</v>
      </c>
      <c r="L209" s="1127">
        <v>84184.462324666907</v>
      </c>
      <c r="M209" s="1127">
        <v>3191.374073192952</v>
      </c>
      <c r="N209" s="1127"/>
      <c r="W209" s="300"/>
      <c r="X209" s="300"/>
      <c r="Y209" s="300"/>
      <c r="Z209" s="300"/>
      <c r="AA209" s="300"/>
      <c r="AB209" s="300"/>
    </row>
    <row r="210" spans="2:28">
      <c r="B210" s="1081" t="s">
        <v>113</v>
      </c>
      <c r="C210" s="1077" t="s">
        <v>50</v>
      </c>
      <c r="D210" s="1080">
        <f>SUM(E210:XN210)</f>
        <v>978226.71341056062</v>
      </c>
      <c r="E210" s="508">
        <f>E205*E209</f>
        <v>46475.646606673508</v>
      </c>
      <c r="F210" s="508">
        <f>F205*F209</f>
        <v>69981.907097377465</v>
      </c>
      <c r="G210" s="508">
        <f>G205*G209</f>
        <v>41572.629369588678</v>
      </c>
      <c r="H210" s="508">
        <f>H205*H209</f>
        <v>143822.85901421437</v>
      </c>
      <c r="I210" s="508">
        <f>I205*I209</f>
        <v>123247.34270316795</v>
      </c>
      <c r="J210" s="508">
        <f>J205*J209</f>
        <v>123247.34270316795</v>
      </c>
      <c r="K210" s="508">
        <f>K205*K209</f>
        <v>171816.60915996265</v>
      </c>
      <c r="L210" s="508">
        <f>L205*L209</f>
        <v>251711.54235075408</v>
      </c>
      <c r="M210" s="508">
        <f>M205*M209</f>
        <v>6350.8344056539745</v>
      </c>
      <c r="N210" s="508"/>
      <c r="W210" s="300"/>
      <c r="X210" s="300"/>
      <c r="Y210" s="300"/>
      <c r="Z210" s="300"/>
      <c r="AA210" s="300"/>
      <c r="AB210" s="300"/>
    </row>
    <row r="211" spans="2:28">
      <c r="B211" s="1081" t="s">
        <v>176</v>
      </c>
      <c r="C211" s="1077" t="s">
        <v>49</v>
      </c>
      <c r="D211" s="1128"/>
      <c r="E211" s="1126">
        <f>E210/$D210</f>
        <v>4.7510097577112199E-2</v>
      </c>
      <c r="F211" s="1126">
        <f>F210/$D210</f>
        <v>7.1539558405011722E-2</v>
      </c>
      <c r="G211" s="1126">
        <f>G210/$D210</f>
        <v>4.2497949401368161E-2</v>
      </c>
      <c r="H211" s="1126">
        <f>H210/$D210</f>
        <v>0.14702405591928674</v>
      </c>
      <c r="I211" s="1126">
        <f>I210/$D210</f>
        <v>0.12599057152453899</v>
      </c>
      <c r="J211" s="1126">
        <f>J210/$D210</f>
        <v>0.12599057152453899</v>
      </c>
      <c r="K211" s="1126">
        <f>K210/$D210</f>
        <v>0.17564088856347906</v>
      </c>
      <c r="L211" s="1126">
        <f>L210/$D210</f>
        <v>0.25731411634954099</v>
      </c>
      <c r="M211" s="1126">
        <f>M210/$D210</f>
        <v>6.4921907351231135E-3</v>
      </c>
      <c r="N211" s="1126"/>
      <c r="W211" s="300"/>
      <c r="X211" s="300"/>
      <c r="Y211" s="300"/>
      <c r="Z211" s="300"/>
      <c r="AA211" s="300"/>
      <c r="AB211" s="300"/>
    </row>
    <row r="212" spans="2:28">
      <c r="B212" s="1081" t="s">
        <v>469</v>
      </c>
      <c r="C212" s="1077" t="s">
        <v>50</v>
      </c>
      <c r="D212" s="1080">
        <f>SUM(E212:XN212)</f>
        <v>234563.52085148953</v>
      </c>
      <c r="E212" s="508">
        <f>E206*E209</f>
        <v>9626.3588739880543</v>
      </c>
      <c r="F212" s="508">
        <f>F206*F209</f>
        <v>9711.3662209522372</v>
      </c>
      <c r="G212" s="508">
        <f>G206*G209</f>
        <v>7118.0822600024321</v>
      </c>
      <c r="H212" s="508">
        <f>H206*H209</f>
        <v>19546.740495494079</v>
      </c>
      <c r="I212" s="508">
        <f>I206*I209</f>
        <v>19340.985332383618</v>
      </c>
      <c r="J212" s="508">
        <f>J206*J209</f>
        <v>19340.985332383618</v>
      </c>
      <c r="K212" s="508">
        <f>K206*K209</f>
        <v>65220.18225255725</v>
      </c>
      <c r="L212" s="508">
        <f>L206*L209</f>
        <v>81658.928454926892</v>
      </c>
      <c r="M212" s="508">
        <f>M206*M209</f>
        <v>2999.8916288013747</v>
      </c>
      <c r="N212" s="508"/>
      <c r="W212" s="300"/>
      <c r="X212" s="300"/>
      <c r="Y212" s="300"/>
      <c r="Z212" s="300"/>
      <c r="AA212" s="300"/>
      <c r="AB212" s="300"/>
    </row>
    <row r="213" spans="2:28">
      <c r="B213" s="1081" t="s">
        <v>111</v>
      </c>
      <c r="C213" s="1077" t="s">
        <v>50</v>
      </c>
      <c r="D213" s="1080">
        <f>SUM(E213:XN213)</f>
        <v>743663.19255907112</v>
      </c>
      <c r="E213" s="508">
        <f>E210-E212</f>
        <v>36849.28773268545</v>
      </c>
      <c r="F213" s="508">
        <f>F210-F212</f>
        <v>60270.540876425228</v>
      </c>
      <c r="G213" s="508">
        <f>G210-G212</f>
        <v>34454.547109586245</v>
      </c>
      <c r="H213" s="508">
        <f>H210-H212</f>
        <v>124276.11851872029</v>
      </c>
      <c r="I213" s="508">
        <f>I210-I212</f>
        <v>103906.35737078433</v>
      </c>
      <c r="J213" s="508">
        <f>J210-J212</f>
        <v>103906.35737078433</v>
      </c>
      <c r="K213" s="508">
        <f>K210-K212</f>
        <v>106596.4269074054</v>
      </c>
      <c r="L213" s="508">
        <f>L210-L212</f>
        <v>170052.61389582721</v>
      </c>
      <c r="M213" s="508">
        <f>M210-M212</f>
        <v>3350.9427768525998</v>
      </c>
      <c r="N213" s="508"/>
      <c r="W213" s="300"/>
      <c r="X213" s="300"/>
      <c r="Y213" s="300"/>
      <c r="Z213" s="300"/>
      <c r="AA213" s="300"/>
      <c r="AB213" s="300"/>
    </row>
    <row r="214" spans="2:28">
      <c r="B214" s="1081"/>
      <c r="C214" s="1077" t="s">
        <v>49</v>
      </c>
      <c r="D214" s="1084"/>
      <c r="E214" s="1126">
        <f>E213/$D213</f>
        <v>4.9551044211131122E-2</v>
      </c>
      <c r="F214" s="1126">
        <f>F213/$D213</f>
        <v>8.1045480641611531E-2</v>
      </c>
      <c r="G214" s="1126">
        <f>G213/$D213</f>
        <v>4.6330849038019893E-2</v>
      </c>
      <c r="H214" s="1126">
        <f>H213/$D213</f>
        <v>0.16711344565953989</v>
      </c>
      <c r="I214" s="1126">
        <f>I213/$D213</f>
        <v>0.13972233453322455</v>
      </c>
      <c r="J214" s="1126">
        <f>J213/$D213</f>
        <v>0.13972233453322455</v>
      </c>
      <c r="K214" s="1126">
        <f>K213/$D213</f>
        <v>0.14333965694952447</v>
      </c>
      <c r="L214" s="1126">
        <f>L213/$D213</f>
        <v>0.22866885923269556</v>
      </c>
      <c r="M214" s="1126">
        <f>M213/$D213</f>
        <v>4.505995201028355E-3</v>
      </c>
      <c r="N214" s="1126"/>
      <c r="R214" s="300"/>
      <c r="S214" s="300"/>
      <c r="T214" s="300"/>
      <c r="U214" s="300"/>
      <c r="V214" s="300"/>
      <c r="W214" s="300"/>
      <c r="X214" s="300"/>
      <c r="Y214" s="300"/>
      <c r="Z214" s="300"/>
      <c r="AA214" s="300"/>
      <c r="AB214" s="300"/>
    </row>
    <row r="215" spans="2:28" ht="12" thickBot="1">
      <c r="B215" s="1129" t="s">
        <v>126</v>
      </c>
      <c r="C215" s="1130" t="s">
        <v>50</v>
      </c>
      <c r="D215" s="1196">
        <f>D213-D204</f>
        <v>470606.94255907112</v>
      </c>
      <c r="E215" s="1197"/>
      <c r="F215" s="1197"/>
      <c r="G215" s="1197"/>
      <c r="H215" s="1197"/>
      <c r="I215" s="1197"/>
      <c r="J215" s="777"/>
      <c r="K215" s="778"/>
      <c r="L215" s="778"/>
      <c r="M215" s="1198"/>
      <c r="N215" s="778"/>
      <c r="R215" s="300"/>
      <c r="S215" s="300"/>
      <c r="T215" s="300"/>
      <c r="U215" s="300"/>
      <c r="V215" s="300"/>
      <c r="W215" s="300"/>
      <c r="X215" s="300"/>
      <c r="Y215" s="300"/>
      <c r="Z215" s="300"/>
      <c r="AA215" s="300"/>
      <c r="AB215" s="300"/>
    </row>
    <row r="216" spans="2:28" ht="12" thickBot="1">
      <c r="B216" s="300"/>
      <c r="C216" s="297"/>
      <c r="E216" s="300"/>
      <c r="F216" s="300"/>
      <c r="G216" s="300"/>
      <c r="H216" s="300"/>
      <c r="I216" s="300"/>
      <c r="J216" s="300"/>
      <c r="L216" s="497"/>
      <c r="M216" s="1059"/>
      <c r="R216" s="300"/>
      <c r="S216" s="300"/>
      <c r="T216" s="300"/>
      <c r="U216" s="300"/>
      <c r="V216" s="300"/>
      <c r="W216" s="300"/>
      <c r="X216" s="300"/>
      <c r="Y216" s="300"/>
      <c r="Z216" s="300"/>
      <c r="AA216" s="300"/>
      <c r="AB216" s="300"/>
    </row>
    <row r="217" spans="2:28">
      <c r="B217" s="1176" t="s">
        <v>166</v>
      </c>
      <c r="C217" s="1156" t="s">
        <v>157</v>
      </c>
      <c r="D217" s="1199"/>
      <c r="E217" s="555">
        <v>3</v>
      </c>
      <c r="F217" s="555">
        <v>3</v>
      </c>
      <c r="G217" s="555">
        <v>2.5</v>
      </c>
      <c r="H217" s="555">
        <v>2.5</v>
      </c>
      <c r="I217" s="555">
        <v>2.5</v>
      </c>
      <c r="J217" s="555">
        <v>2.5</v>
      </c>
      <c r="K217" s="555">
        <v>1</v>
      </c>
      <c r="L217" s="555">
        <v>1</v>
      </c>
      <c r="M217" s="555">
        <v>1</v>
      </c>
      <c r="N217" s="555">
        <v>1</v>
      </c>
      <c r="O217" s="1235"/>
      <c r="P217" s="1236"/>
      <c r="Q217" s="1237"/>
      <c r="R217" s="300"/>
      <c r="S217" s="300"/>
      <c r="T217" s="300"/>
      <c r="U217" s="300"/>
      <c r="V217" s="300"/>
      <c r="W217" s="300"/>
      <c r="X217" s="300"/>
      <c r="Y217" s="300"/>
      <c r="Z217" s="300"/>
      <c r="AA217" s="300"/>
      <c r="AB217" s="300"/>
    </row>
    <row r="218" spans="2:28">
      <c r="B218" s="1158"/>
      <c r="C218" s="304" t="s">
        <v>159</v>
      </c>
      <c r="D218" s="1201"/>
      <c r="E218" s="1238">
        <v>4</v>
      </c>
      <c r="F218" s="1238">
        <v>4</v>
      </c>
      <c r="G218" s="1238">
        <v>3.5</v>
      </c>
      <c r="H218" s="1238">
        <v>3.5</v>
      </c>
      <c r="I218" s="1238">
        <v>3.5</v>
      </c>
      <c r="J218" s="1238">
        <v>3.5</v>
      </c>
      <c r="K218" s="1238">
        <v>1.25</v>
      </c>
      <c r="L218" s="1238">
        <v>1.28</v>
      </c>
      <c r="M218" s="1238">
        <v>1.28</v>
      </c>
      <c r="N218" s="1238">
        <v>1.28</v>
      </c>
      <c r="O218" s="1235"/>
      <c r="P218" s="1236"/>
      <c r="Q218" s="1237"/>
      <c r="R218" s="300"/>
      <c r="S218" s="300"/>
      <c r="T218" s="300"/>
      <c r="U218" s="300"/>
      <c r="V218" s="300"/>
      <c r="W218" s="300"/>
      <c r="X218" s="300"/>
      <c r="Y218" s="300"/>
      <c r="Z218" s="300"/>
      <c r="AA218" s="300"/>
      <c r="AB218" s="300"/>
    </row>
    <row r="219" spans="2:28">
      <c r="B219" s="1158"/>
      <c r="C219" s="921" t="s">
        <v>158</v>
      </c>
      <c r="D219" s="1201"/>
      <c r="E219" s="556">
        <v>5</v>
      </c>
      <c r="F219" s="556">
        <v>5</v>
      </c>
      <c r="G219" s="556">
        <v>4</v>
      </c>
      <c r="H219" s="556">
        <v>4</v>
      </c>
      <c r="I219" s="556">
        <v>4</v>
      </c>
      <c r="J219" s="556">
        <v>4</v>
      </c>
      <c r="K219" s="556">
        <v>1.3</v>
      </c>
      <c r="L219" s="556">
        <v>1.35</v>
      </c>
      <c r="M219" s="556">
        <v>1.35</v>
      </c>
      <c r="N219" s="556">
        <v>1.35</v>
      </c>
      <c r="O219" s="1235"/>
      <c r="P219" s="1236"/>
      <c r="Q219" s="1237"/>
      <c r="R219" s="300"/>
      <c r="S219" s="300"/>
      <c r="T219" s="300"/>
      <c r="U219" s="300"/>
      <c r="V219" s="300"/>
      <c r="W219" s="300"/>
      <c r="X219" s="300"/>
      <c r="Y219" s="300"/>
      <c r="Z219" s="300"/>
      <c r="AA219" s="300"/>
      <c r="AB219" s="300"/>
    </row>
    <row r="220" spans="2:28">
      <c r="B220" s="1158"/>
      <c r="C220" s="304" t="s">
        <v>156</v>
      </c>
      <c r="D220" s="1201"/>
      <c r="E220" s="556">
        <v>6</v>
      </c>
      <c r="F220" s="556">
        <v>6</v>
      </c>
      <c r="G220" s="556">
        <v>5</v>
      </c>
      <c r="H220" s="556">
        <v>5</v>
      </c>
      <c r="I220" s="556">
        <v>5</v>
      </c>
      <c r="J220" s="556">
        <v>5</v>
      </c>
      <c r="K220" s="556">
        <v>1.5</v>
      </c>
      <c r="L220" s="556">
        <v>1.5</v>
      </c>
      <c r="M220" s="556">
        <v>1.5</v>
      </c>
      <c r="N220" s="556">
        <v>1.5</v>
      </c>
      <c r="O220" s="1235"/>
      <c r="P220" s="1236"/>
      <c r="Q220" s="1237"/>
      <c r="R220" s="300"/>
      <c r="S220" s="300"/>
      <c r="T220" s="300"/>
      <c r="U220" s="300"/>
      <c r="V220" s="300"/>
      <c r="W220" s="300"/>
      <c r="X220" s="300"/>
      <c r="Y220" s="300"/>
      <c r="Z220" s="300"/>
      <c r="AA220" s="300"/>
      <c r="AB220" s="300"/>
    </row>
    <row r="221" spans="2:28">
      <c r="B221" s="1158"/>
      <c r="C221" s="304"/>
      <c r="D221" s="1201"/>
      <c r="E221" s="1239"/>
      <c r="F221" s="1239"/>
      <c r="G221" s="1239"/>
      <c r="H221" s="1239"/>
      <c r="I221" s="1240"/>
      <c r="J221" s="1239"/>
      <c r="K221" s="1239"/>
      <c r="L221" s="1239"/>
      <c r="M221" s="1239"/>
      <c r="N221" s="1239"/>
      <c r="O221" s="1235"/>
      <c r="P221" s="1236"/>
      <c r="Q221" s="1237"/>
      <c r="R221" s="300"/>
      <c r="S221" s="300"/>
      <c r="T221" s="300"/>
      <c r="U221" s="300"/>
      <c r="V221" s="300"/>
      <c r="W221" s="300"/>
      <c r="X221" s="300"/>
      <c r="Y221" s="300"/>
      <c r="Z221" s="300"/>
      <c r="AA221" s="300"/>
      <c r="AB221" s="300"/>
    </row>
    <row r="222" spans="2:28">
      <c r="B222" s="1158" t="s">
        <v>160</v>
      </c>
      <c r="C222" s="304" t="s">
        <v>157</v>
      </c>
      <c r="D222" s="1201"/>
      <c r="E222" s="556">
        <v>0.4</v>
      </c>
      <c r="F222" s="556">
        <v>0.4</v>
      </c>
      <c r="G222" s="556">
        <v>0.4</v>
      </c>
      <c r="H222" s="556">
        <v>0.4</v>
      </c>
      <c r="I222" s="556">
        <v>0.4</v>
      </c>
      <c r="J222" s="556">
        <v>0.4</v>
      </c>
      <c r="K222" s="556">
        <v>0.4</v>
      </c>
      <c r="L222" s="556">
        <v>0.4</v>
      </c>
      <c r="M222" s="556">
        <v>0.4</v>
      </c>
      <c r="N222" s="556">
        <v>0.4</v>
      </c>
      <c r="O222" s="1235"/>
      <c r="P222" s="1236"/>
      <c r="Q222" s="1237"/>
      <c r="R222" s="300"/>
      <c r="S222" s="300"/>
      <c r="T222" s="300"/>
      <c r="U222" s="300"/>
      <c r="V222" s="300"/>
      <c r="W222" s="300"/>
      <c r="X222" s="300"/>
      <c r="Y222" s="300"/>
      <c r="Z222" s="300"/>
      <c r="AA222" s="300"/>
      <c r="AB222" s="300"/>
    </row>
    <row r="223" spans="2:28">
      <c r="B223" s="1158"/>
      <c r="C223" s="304" t="s">
        <v>159</v>
      </c>
      <c r="D223" s="1201"/>
      <c r="E223" s="1238">
        <v>0.53</v>
      </c>
      <c r="F223" s="1238">
        <v>0.53</v>
      </c>
      <c r="G223" s="1238">
        <v>0.5</v>
      </c>
      <c r="H223" s="1238">
        <v>0.5</v>
      </c>
      <c r="I223" s="1238">
        <v>0.5</v>
      </c>
      <c r="J223" s="1238">
        <v>0.5</v>
      </c>
      <c r="K223" s="1238">
        <v>0.41</v>
      </c>
      <c r="L223" s="1238">
        <v>0.41</v>
      </c>
      <c r="M223" s="1238">
        <v>0.41</v>
      </c>
      <c r="N223" s="1238">
        <v>0.41</v>
      </c>
      <c r="O223" s="1235"/>
      <c r="P223" s="1236"/>
      <c r="Q223" s="1237"/>
      <c r="R223" s="300"/>
      <c r="S223" s="300"/>
      <c r="T223" s="300"/>
      <c r="U223" s="300"/>
      <c r="V223" s="300"/>
      <c r="W223" s="300"/>
      <c r="X223" s="300"/>
      <c r="Y223" s="300"/>
      <c r="Z223" s="300"/>
      <c r="AA223" s="300"/>
      <c r="AB223" s="300"/>
    </row>
    <row r="224" spans="2:28">
      <c r="B224" s="1158"/>
      <c r="C224" s="921" t="s">
        <v>158</v>
      </c>
      <c r="D224" s="1201"/>
      <c r="E224" s="556">
        <v>0.6</v>
      </c>
      <c r="F224" s="556">
        <v>0.6</v>
      </c>
      <c r="G224" s="556">
        <v>0.6</v>
      </c>
      <c r="H224" s="556">
        <v>0.6</v>
      </c>
      <c r="I224" s="556">
        <v>0.6</v>
      </c>
      <c r="J224" s="556">
        <v>0.6</v>
      </c>
      <c r="K224" s="556">
        <v>0.6</v>
      </c>
      <c r="L224" s="556">
        <v>0.6</v>
      </c>
      <c r="M224" s="556">
        <v>0.6</v>
      </c>
      <c r="N224" s="556">
        <v>0.6</v>
      </c>
      <c r="O224" s="1235"/>
      <c r="P224" s="1236"/>
      <c r="Q224" s="1237"/>
      <c r="R224" s="300"/>
      <c r="S224" s="300"/>
      <c r="T224" s="300"/>
      <c r="U224" s="300"/>
      <c r="V224" s="300"/>
      <c r="W224" s="300"/>
      <c r="X224" s="300"/>
      <c r="Y224" s="300"/>
      <c r="Z224" s="300"/>
      <c r="AA224" s="300"/>
      <c r="AB224" s="300"/>
    </row>
    <row r="225" spans="1:28">
      <c r="B225" s="1158"/>
      <c r="C225" s="304" t="s">
        <v>156</v>
      </c>
      <c r="D225" s="1201"/>
      <c r="E225" s="556">
        <v>0.9</v>
      </c>
      <c r="F225" s="556">
        <v>0.9</v>
      </c>
      <c r="G225" s="556">
        <v>0.9</v>
      </c>
      <c r="H225" s="556">
        <v>0.9</v>
      </c>
      <c r="I225" s="556">
        <v>0.9</v>
      </c>
      <c r="J225" s="556">
        <v>0.9</v>
      </c>
      <c r="K225" s="556">
        <v>0.9</v>
      </c>
      <c r="L225" s="556">
        <v>0.9</v>
      </c>
      <c r="M225" s="556">
        <v>0.9</v>
      </c>
      <c r="N225" s="556">
        <v>0.9</v>
      </c>
      <c r="O225" s="1235"/>
      <c r="P225" s="1236"/>
      <c r="Q225" s="1237"/>
      <c r="R225" s="300"/>
      <c r="S225" s="300"/>
      <c r="T225" s="300"/>
      <c r="U225" s="300"/>
      <c r="V225" s="300"/>
      <c r="W225" s="300"/>
      <c r="X225" s="300"/>
      <c r="Y225" s="300"/>
      <c r="Z225" s="300"/>
      <c r="AA225" s="300"/>
      <c r="AB225" s="300"/>
    </row>
    <row r="226" spans="1:28">
      <c r="B226" s="1158"/>
      <c r="C226" s="304"/>
      <c r="D226" s="1201"/>
      <c r="E226" s="1241"/>
      <c r="F226" s="1241"/>
      <c r="G226" s="1241"/>
      <c r="H226" s="1241"/>
      <c r="I226" s="1241"/>
      <c r="J226" s="1241"/>
      <c r="K226" s="1241"/>
      <c r="L226" s="1241"/>
      <c r="M226" s="1241"/>
      <c r="N226" s="1241"/>
      <c r="O226" s="1235"/>
      <c r="P226" s="1236"/>
      <c r="Q226" s="1237"/>
      <c r="R226" s="300"/>
      <c r="S226" s="300"/>
      <c r="T226" s="300"/>
      <c r="U226" s="300"/>
      <c r="V226" s="300"/>
      <c r="W226" s="300"/>
      <c r="X226" s="300"/>
      <c r="Y226" s="300"/>
      <c r="Z226" s="300"/>
      <c r="AA226" s="300"/>
      <c r="AB226" s="300"/>
    </row>
    <row r="227" spans="1:28">
      <c r="B227" s="1158"/>
      <c r="C227" s="304" t="s">
        <v>472</v>
      </c>
      <c r="D227" s="1201" t="s">
        <v>473</v>
      </c>
      <c r="E227" s="304"/>
      <c r="F227" s="304"/>
      <c r="G227" s="304"/>
      <c r="H227" s="304"/>
      <c r="I227" s="304"/>
      <c r="J227" s="304"/>
      <c r="K227" s="304"/>
      <c r="L227" s="304"/>
      <c r="M227" s="304"/>
      <c r="N227" s="304"/>
      <c r="O227" s="1200"/>
      <c r="P227" s="1111"/>
      <c r="R227" s="300"/>
      <c r="S227" s="300"/>
      <c r="T227" s="300"/>
      <c r="U227" s="300"/>
      <c r="V227" s="300"/>
      <c r="W227" s="300"/>
      <c r="X227" s="300"/>
      <c r="Y227" s="300"/>
      <c r="Z227" s="300"/>
      <c r="AA227" s="300"/>
      <c r="AB227" s="300"/>
    </row>
    <row r="228" spans="1:28">
      <c r="B228" s="1158" t="s">
        <v>474</v>
      </c>
      <c r="C228" s="768">
        <v>2</v>
      </c>
      <c r="D228" s="1011">
        <v>1.5</v>
      </c>
      <c r="E228" s="304"/>
      <c r="F228" s="304"/>
      <c r="G228" s="304"/>
      <c r="H228" s="304"/>
      <c r="I228" s="304"/>
      <c r="J228" s="304"/>
      <c r="K228" s="304"/>
      <c r="L228" s="304"/>
      <c r="M228" s="304"/>
      <c r="N228" s="304"/>
      <c r="O228" s="1200"/>
      <c r="P228" s="1111"/>
      <c r="R228" s="300"/>
      <c r="S228" s="300"/>
      <c r="T228" s="300"/>
      <c r="U228" s="300"/>
      <c r="V228" s="300"/>
      <c r="W228" s="300"/>
      <c r="X228" s="300"/>
      <c r="Y228" s="300"/>
      <c r="Z228" s="300"/>
      <c r="AA228" s="300"/>
      <c r="AB228" s="300"/>
    </row>
    <row r="229" spans="1:28">
      <c r="B229" s="1158"/>
      <c r="C229" s="304"/>
      <c r="D229" s="1201"/>
      <c r="E229" s="304"/>
      <c r="F229" s="304"/>
      <c r="G229" s="304"/>
      <c r="H229" s="304"/>
      <c r="I229" s="304"/>
      <c r="J229" s="304"/>
      <c r="K229" s="304"/>
      <c r="L229" s="304"/>
      <c r="M229" s="304"/>
      <c r="N229" s="304"/>
      <c r="O229" s="1200"/>
      <c r="P229" s="1111"/>
      <c r="R229" s="300"/>
      <c r="S229" s="300"/>
      <c r="T229" s="300"/>
      <c r="U229" s="300"/>
      <c r="V229" s="300"/>
      <c r="W229" s="300"/>
      <c r="X229" s="300"/>
      <c r="Y229" s="300"/>
      <c r="Z229" s="300"/>
      <c r="AA229" s="300"/>
      <c r="AB229" s="300"/>
    </row>
    <row r="230" spans="1:28">
      <c r="B230" s="1158" t="s">
        <v>157</v>
      </c>
      <c r="C230" s="304"/>
      <c r="D230" s="1202"/>
      <c r="E230" s="1203">
        <f>IF(E203="[retail]",E209,E232/$D$228)</f>
        <v>10350.923520417262</v>
      </c>
      <c r="F230" s="1203">
        <f>IF(F203="[retail]",F209,F232/$D$228)</f>
        <v>10011.717753559007</v>
      </c>
      <c r="G230" s="1203">
        <f>IF(G203="[retail]",G209,G232/$D$228)</f>
        <v>7572.4279361728004</v>
      </c>
      <c r="H230" s="1203">
        <f>IF(H203="[retail]",H209,H232/$D$228)</f>
        <v>20575.516311046402</v>
      </c>
      <c r="I230" s="1203">
        <f>IF(I203="[retail]",I209,I232/$D$228)</f>
        <v>20575.516311046402</v>
      </c>
      <c r="J230" s="1203">
        <f>IF(J203="[retail]",J209,J232/$D$228)</f>
        <v>20575.516311046402</v>
      </c>
      <c r="K230" s="1203">
        <f>IF(K203="[retail]",K209,K232/$D$228)</f>
        <v>46752.818819037457</v>
      </c>
      <c r="L230" s="1203">
        <f>IF(L203="[retail]",L209,L232/$D$228)</f>
        <v>56122.974883111274</v>
      </c>
      <c r="M230" s="1203">
        <f>IF(M203="[retail]",M209,M232/$D$228)</f>
        <v>3191.374073192952</v>
      </c>
      <c r="N230" s="1203"/>
      <c r="O230" s="1200"/>
      <c r="P230" s="1111"/>
      <c r="R230" s="300"/>
      <c r="S230" s="300"/>
      <c r="T230" s="300"/>
      <c r="U230" s="300"/>
      <c r="V230" s="300"/>
      <c r="W230" s="300"/>
      <c r="X230" s="300"/>
      <c r="Y230" s="300"/>
      <c r="Z230" s="300"/>
      <c r="AA230" s="300"/>
      <c r="AB230" s="300"/>
    </row>
    <row r="231" spans="1:28">
      <c r="B231" s="1158" t="s">
        <v>155</v>
      </c>
      <c r="C231" s="304" t="s">
        <v>161</v>
      </c>
      <c r="D231" s="1204">
        <f>SUM(E231:XN231)</f>
        <v>248962.34597591223</v>
      </c>
      <c r="E231" s="1203">
        <f>IF(E203="[retail]",E232-1/(E220-E217)*(E219-E217)*E230,E232-(1/3)/(E220-E217)*(E219-E217)*E232)</f>
        <v>13801.23136055635</v>
      </c>
      <c r="F231" s="1203">
        <f>IF(F203="[retail]",F232-1/(F220-F217)*(F219-F217)*F230,F232-(1/3)/(F220-F217)*(F219-F217)*F232)</f>
        <v>13348.957004745344</v>
      </c>
      <c r="G231" s="1203">
        <f>IF(G203="[retail]",G232-1/(G220-G217)*(G219-G217)*G230,G232-(1/3)/(G220-G217)*(G219-G217)*G232)</f>
        <v>10601.39911064192</v>
      </c>
      <c r="H231" s="1203">
        <f>IF(H203="[retail]",H232-1/(H220-H217)*(H219-H217)*H230,H232-(1/3)/(H220-H217)*(H219-H217)*H232)</f>
        <v>28805.722835464963</v>
      </c>
      <c r="I231" s="1203">
        <f>IF(I203="[retail]",I232-1/(I220-I217)*(I219-I217)*I230,I232-(1/3)/(I220-I217)*(I219-I217)*I232)</f>
        <v>28805.722835464963</v>
      </c>
      <c r="J231" s="1203">
        <f>IF(J203="[retail]",J232-1/(J220-J217)*(J219-J217)*J230,J232-(1/3)/(J220-J217)*(J219-J217)*J232)</f>
        <v>28805.722835464963</v>
      </c>
      <c r="K231" s="1203">
        <f>IF(K203="[retail]",K232-1/(K220-K217)*(K219-K217)*K230,K232-(1/3)/(K220-K217)*(K219-K217)*K232)</f>
        <v>56103.382582844948</v>
      </c>
      <c r="L231" s="1203">
        <f>IF(L203="[retail]",L232-1/(L220-L217)*(L219-L217)*L230,L232-(1/3)/(L220-L217)*(L219-L217)*L232)</f>
        <v>64541.421115577956</v>
      </c>
      <c r="M231" s="1203">
        <f>IF(M203="[retail]",M232-1/(M220-M217)*(M219-M217)*M230,M232-(1/3)/(M220-M217)*(M219-M217)*M232)</f>
        <v>4148.7862951508368</v>
      </c>
      <c r="N231" s="1203"/>
      <c r="O231" s="1200"/>
      <c r="P231" s="1111"/>
      <c r="R231" s="300"/>
      <c r="S231" s="300"/>
      <c r="T231" s="300"/>
      <c r="U231" s="300"/>
      <c r="V231" s="300"/>
      <c r="W231" s="300"/>
      <c r="X231" s="300"/>
      <c r="Y231" s="300"/>
      <c r="Z231" s="300"/>
      <c r="AA231" s="300"/>
      <c r="AB231" s="300"/>
    </row>
    <row r="232" spans="1:28">
      <c r="B232" s="1158" t="s">
        <v>156</v>
      </c>
      <c r="C232" s="304"/>
      <c r="D232" s="1201"/>
      <c r="E232" s="1203">
        <f>IF(E203="[retail]",E230*$C$268,E209)</f>
        <v>20701.847040834524</v>
      </c>
      <c r="F232" s="1203">
        <f>IF(F203="[retail]",F230*$C$268,F209)</f>
        <v>20023.435507118014</v>
      </c>
      <c r="G232" s="1203">
        <f>IF(G203="[retail]",G230*$C$268,G209)</f>
        <v>15144.855872345601</v>
      </c>
      <c r="H232" s="1203">
        <f>IF(H203="[retail]",H230*$C$268,H209)</f>
        <v>41151.032622092804</v>
      </c>
      <c r="I232" s="1203">
        <f>IF(I203="[retail]",I230*$C$268,I209)</f>
        <v>41151.032622092804</v>
      </c>
      <c r="J232" s="1203">
        <f>IF(J203="[retail]",J230*$C$268,J209)</f>
        <v>41151.032622092804</v>
      </c>
      <c r="K232" s="1203">
        <f>IF(K203="[retail]",K230*$C$268,K209)</f>
        <v>70129.228228556181</v>
      </c>
      <c r="L232" s="1203">
        <f>IF(L203="[retail]",L230*$C$268,L209)</f>
        <v>84184.462324666907</v>
      </c>
      <c r="M232" s="1203">
        <f>IF(M203="[retail]",M230*$C$268,M209)</f>
        <v>6382.748146385904</v>
      </c>
      <c r="N232" s="1203"/>
      <c r="O232" s="1200"/>
      <c r="P232" s="1111"/>
      <c r="R232" s="300"/>
      <c r="S232" s="300"/>
      <c r="T232" s="300"/>
      <c r="U232" s="300"/>
      <c r="V232" s="300"/>
      <c r="W232" s="300"/>
      <c r="X232" s="300"/>
      <c r="Y232" s="300"/>
      <c r="Z232" s="300"/>
      <c r="AA232" s="300"/>
      <c r="AB232" s="300"/>
    </row>
    <row r="233" spans="1:28">
      <c r="B233" s="1158"/>
      <c r="C233" s="1205"/>
      <c r="D233" s="1201"/>
      <c r="E233" s="1206"/>
      <c r="F233" s="450"/>
      <c r="G233" s="1207"/>
      <c r="H233" s="1208"/>
      <c r="I233" s="490"/>
      <c r="J233" s="303"/>
      <c r="K233" s="303"/>
      <c r="L233" s="303"/>
      <c r="M233" s="1209"/>
      <c r="N233" s="450"/>
      <c r="O233" s="1200"/>
      <c r="P233" s="1111"/>
      <c r="R233" s="300"/>
      <c r="S233" s="300"/>
      <c r="T233" s="300"/>
      <c r="U233" s="300"/>
      <c r="V233" s="300"/>
      <c r="W233" s="300"/>
      <c r="X233" s="300"/>
      <c r="Y233" s="300"/>
      <c r="Z233" s="300"/>
      <c r="AA233" s="300"/>
      <c r="AB233" s="300"/>
    </row>
    <row r="234" spans="1:28">
      <c r="B234" s="1158" t="s">
        <v>111</v>
      </c>
      <c r="C234" s="304" t="s">
        <v>154</v>
      </c>
      <c r="D234" s="1210">
        <f>SUM(E234:XN234)</f>
        <v>540113.98207129072</v>
      </c>
      <c r="E234" s="1211">
        <f>(E219-E224)*E231</f>
        <v>60725.417986447945</v>
      </c>
      <c r="F234" s="1211">
        <f>(F219-F224)*F231</f>
        <v>58735.410820879515</v>
      </c>
      <c r="G234" s="1211">
        <f>(G219-G224)*G231</f>
        <v>36044.756976182529</v>
      </c>
      <c r="H234" s="1211">
        <f>(H219-H224)*H231</f>
        <v>97939.457640580877</v>
      </c>
      <c r="I234" s="1211">
        <f>(I219-I224)*I231</f>
        <v>97939.457640580877</v>
      </c>
      <c r="J234" s="1211">
        <f>(J219-J224)*J231</f>
        <v>97939.457640580877</v>
      </c>
      <c r="K234" s="1211">
        <f>(K219-K224)*K231</f>
        <v>39272.367807991468</v>
      </c>
      <c r="L234" s="1211">
        <f>(L219-L224)*L231</f>
        <v>48406.065836683476</v>
      </c>
      <c r="M234" s="1211">
        <f>(M219-M224)*M231</f>
        <v>3111.5897213631283</v>
      </c>
      <c r="N234" s="1211"/>
      <c r="O234" s="1200"/>
      <c r="P234" s="1111"/>
      <c r="R234" s="300"/>
      <c r="S234" s="300"/>
      <c r="T234" s="300"/>
      <c r="U234" s="300"/>
      <c r="V234" s="300"/>
      <c r="W234" s="300"/>
      <c r="X234" s="300"/>
      <c r="Y234" s="300"/>
      <c r="Z234" s="300"/>
      <c r="AA234" s="300"/>
      <c r="AB234" s="300"/>
    </row>
    <row r="235" spans="1:28">
      <c r="B235" s="1158"/>
      <c r="C235" s="304"/>
      <c r="D235" s="1201"/>
      <c r="E235" s="1206"/>
      <c r="F235" s="450"/>
      <c r="G235" s="450"/>
      <c r="H235" s="450"/>
      <c r="I235" s="1212"/>
      <c r="J235" s="304"/>
      <c r="K235" s="304"/>
      <c r="L235" s="304"/>
      <c r="M235" s="1209"/>
      <c r="N235" s="450"/>
      <c r="O235" s="1200"/>
      <c r="P235" s="1111"/>
      <c r="R235" s="300"/>
      <c r="S235" s="300"/>
      <c r="T235" s="300"/>
      <c r="U235" s="300"/>
      <c r="V235" s="300"/>
      <c r="W235" s="300"/>
      <c r="X235" s="300"/>
      <c r="Y235" s="300"/>
      <c r="Z235" s="300"/>
      <c r="AA235" s="300"/>
      <c r="AB235" s="300"/>
    </row>
    <row r="236" spans="1:28" ht="12" thickBot="1">
      <c r="B236" s="1213" t="s">
        <v>170</v>
      </c>
      <c r="C236" s="1214" t="s">
        <v>154</v>
      </c>
      <c r="D236" s="1215">
        <f>D234-D204</f>
        <v>267057.73207129072</v>
      </c>
      <c r="E236" s="1216"/>
      <c r="F236" s="1217"/>
      <c r="G236" s="1217"/>
      <c r="H236" s="1217"/>
      <c r="I236" s="1218"/>
      <c r="J236" s="1214"/>
      <c r="K236" s="1214"/>
      <c r="L236" s="1214"/>
      <c r="M236" s="1216"/>
      <c r="N236" s="1217"/>
      <c r="O236" s="1200"/>
      <c r="P236" s="1111"/>
      <c r="R236" s="300"/>
      <c r="S236" s="300"/>
      <c r="T236" s="300"/>
      <c r="U236" s="300"/>
      <c r="V236" s="300"/>
      <c r="W236" s="300"/>
      <c r="X236" s="300"/>
      <c r="Y236" s="300"/>
      <c r="Z236" s="300"/>
      <c r="AA236" s="300"/>
      <c r="AB236" s="300"/>
    </row>
    <row r="237" spans="1:28">
      <c r="B237" s="300"/>
      <c r="C237" s="297"/>
      <c r="D237" s="300"/>
      <c r="E237" s="300"/>
      <c r="F237" s="300"/>
      <c r="G237" s="300"/>
      <c r="H237" s="300"/>
      <c r="I237" s="300"/>
      <c r="J237" s="300"/>
      <c r="K237" s="300"/>
      <c r="L237" s="1219"/>
      <c r="M237" s="1220"/>
      <c r="N237" s="1220"/>
      <c r="O237" s="1200"/>
      <c r="P237" s="1111"/>
      <c r="R237" s="300"/>
      <c r="S237" s="300"/>
      <c r="T237" s="300"/>
      <c r="U237" s="300"/>
      <c r="V237" s="300"/>
      <c r="W237" s="300"/>
      <c r="X237" s="300"/>
      <c r="Y237" s="300"/>
      <c r="Z237" s="300"/>
      <c r="AA237" s="300"/>
      <c r="AB237" s="300"/>
    </row>
    <row r="238" spans="1:28">
      <c r="B238" s="300"/>
      <c r="C238" s="300"/>
      <c r="D238" s="300"/>
      <c r="E238" s="300"/>
      <c r="F238" s="300"/>
      <c r="G238" s="300"/>
      <c r="H238" s="300"/>
      <c r="I238" s="300"/>
      <c r="J238" s="300"/>
      <c r="K238" s="300"/>
      <c r="L238" s="1105"/>
      <c r="M238" s="1090"/>
      <c r="N238" s="1090"/>
      <c r="O238" s="1105"/>
      <c r="P238" s="1105"/>
      <c r="R238" s="300"/>
      <c r="S238" s="300"/>
      <c r="T238" s="300"/>
      <c r="U238" s="300"/>
      <c r="V238" s="300"/>
      <c r="W238" s="300"/>
      <c r="X238" s="300"/>
      <c r="Y238" s="300"/>
      <c r="Z238" s="300"/>
      <c r="AA238" s="300"/>
      <c r="AB238" s="300"/>
    </row>
    <row r="239" spans="1:28" ht="15.75">
      <c r="A239" s="772">
        <v>4</v>
      </c>
      <c r="B239" s="773" t="s">
        <v>169</v>
      </c>
      <c r="C239" s="773"/>
      <c r="D239" s="773"/>
      <c r="E239" s="300"/>
      <c r="F239" s="300"/>
      <c r="G239" s="300"/>
      <c r="H239" s="300"/>
      <c r="I239" s="300"/>
      <c r="J239" s="300"/>
      <c r="K239" s="300"/>
      <c r="L239" s="1200"/>
      <c r="M239" s="1220"/>
      <c r="N239" s="1220"/>
      <c r="O239" s="1200"/>
      <c r="P239" s="1200"/>
      <c r="R239" s="300"/>
      <c r="S239" s="300"/>
      <c r="T239" s="300"/>
      <c r="U239" s="300"/>
      <c r="V239" s="300"/>
      <c r="W239" s="300"/>
      <c r="X239" s="300"/>
      <c r="Y239" s="300"/>
      <c r="Z239" s="300"/>
      <c r="AA239" s="300"/>
      <c r="AB239" s="300"/>
    </row>
    <row r="240" spans="1:28" ht="12" thickBot="1">
      <c r="B240" s="300"/>
      <c r="C240" s="300"/>
      <c r="D240" s="300"/>
      <c r="E240" s="300"/>
      <c r="F240" s="300"/>
      <c r="G240" s="300"/>
      <c r="H240" s="300"/>
      <c r="I240" s="300"/>
      <c r="J240" s="300"/>
      <c r="K240" s="300"/>
      <c r="L240" s="1105"/>
      <c r="M240" s="1090"/>
      <c r="N240" s="1090"/>
      <c r="O240" s="1105"/>
      <c r="P240" s="1105"/>
      <c r="R240" s="300"/>
      <c r="S240" s="300"/>
      <c r="T240" s="300"/>
      <c r="U240" s="300"/>
      <c r="V240" s="300"/>
      <c r="W240" s="300"/>
      <c r="X240" s="300"/>
      <c r="Y240" s="300"/>
      <c r="Z240" s="300"/>
      <c r="AA240" s="300"/>
      <c r="AB240" s="300"/>
    </row>
    <row r="241" spans="2:28">
      <c r="B241" s="1062"/>
      <c r="C241" s="1063"/>
      <c r="D241" s="1064"/>
      <c r="E241" s="1065" t="s">
        <v>35</v>
      </c>
      <c r="F241" s="1066"/>
      <c r="G241" s="1066"/>
      <c r="H241" s="1066"/>
      <c r="I241" s="1066"/>
      <c r="J241" s="1066"/>
      <c r="K241" s="1066"/>
      <c r="L241" s="1066"/>
      <c r="M241" s="1066"/>
      <c r="N241" s="1066"/>
      <c r="R241" s="300"/>
      <c r="S241" s="300"/>
      <c r="T241" s="300"/>
      <c r="U241" s="300"/>
      <c r="V241" s="300"/>
      <c r="W241" s="300"/>
      <c r="X241" s="300"/>
      <c r="Y241" s="300"/>
      <c r="Z241" s="300"/>
      <c r="AA241" s="300"/>
      <c r="AB241" s="300"/>
    </row>
    <row r="242" spans="2:28" ht="12" thickBot="1">
      <c r="B242" s="1119" t="s">
        <v>168</v>
      </c>
      <c r="C242" s="1070"/>
      <c r="D242" s="1071" t="str">
        <f>$D$64</f>
        <v>TOTAL BRAND 01</v>
      </c>
      <c r="E242" s="1072" t="s">
        <v>699</v>
      </c>
      <c r="F242" s="1072" t="s">
        <v>700</v>
      </c>
      <c r="G242" s="1072" t="s">
        <v>701</v>
      </c>
      <c r="H242" s="1072" t="s">
        <v>702</v>
      </c>
      <c r="I242" s="1073" t="s">
        <v>703</v>
      </c>
      <c r="J242" s="1074" t="s">
        <v>704</v>
      </c>
      <c r="K242" s="1074" t="s">
        <v>705</v>
      </c>
      <c r="L242" s="1074" t="s">
        <v>706</v>
      </c>
      <c r="M242" s="1074" t="s">
        <v>707</v>
      </c>
      <c r="N242" s="1074"/>
      <c r="R242" s="300"/>
      <c r="S242" s="300"/>
      <c r="T242" s="300"/>
      <c r="U242" s="300"/>
      <c r="V242" s="300"/>
      <c r="W242" s="300"/>
      <c r="X242" s="300"/>
      <c r="Y242" s="300"/>
      <c r="Z242" s="300"/>
      <c r="AA242" s="300"/>
      <c r="AB242" s="300"/>
    </row>
    <row r="243" spans="2:28" ht="12.75" thickTop="1" thickBot="1">
      <c r="B243" s="1221"/>
      <c r="C243" s="1083"/>
      <c r="D243" s="1222"/>
      <c r="E243" s="1072" t="s">
        <v>410</v>
      </c>
      <c r="F243" s="1072" t="s">
        <v>410</v>
      </c>
      <c r="G243" s="1072" t="s">
        <v>410</v>
      </c>
      <c r="H243" s="1072" t="s">
        <v>410</v>
      </c>
      <c r="I243" s="1072" t="s">
        <v>410</v>
      </c>
      <c r="J243" s="1072" t="s">
        <v>410</v>
      </c>
      <c r="K243" s="1072" t="s">
        <v>411</v>
      </c>
      <c r="L243" s="1072" t="s">
        <v>411</v>
      </c>
      <c r="M243" s="1072" t="s">
        <v>410</v>
      </c>
      <c r="N243" s="1072"/>
      <c r="R243" s="300"/>
      <c r="S243" s="300"/>
      <c r="T243" s="300"/>
      <c r="U243" s="300"/>
      <c r="V243" s="300"/>
      <c r="W243" s="300"/>
      <c r="X243" s="300"/>
      <c r="Y243" s="300"/>
      <c r="Z243" s="300"/>
      <c r="AA243" s="300"/>
      <c r="AB243" s="300"/>
    </row>
    <row r="244" spans="2:28" ht="12" thickTop="1">
      <c r="B244" s="1081" t="s">
        <v>129</v>
      </c>
      <c r="C244" s="1077" t="s">
        <v>50</v>
      </c>
      <c r="D244" s="1080">
        <f>$E$12</f>
        <v>273056.25</v>
      </c>
      <c r="E244" s="303"/>
      <c r="F244" s="303"/>
      <c r="G244" s="303"/>
      <c r="H244" s="303"/>
      <c r="I244" s="382"/>
      <c r="J244" s="382"/>
      <c r="K244" s="382"/>
      <c r="L244" s="382"/>
      <c r="M244" s="382"/>
      <c r="N244" s="382"/>
      <c r="R244" s="300"/>
      <c r="S244" s="300"/>
      <c r="T244" s="300"/>
      <c r="U244" s="300"/>
      <c r="V244" s="300"/>
      <c r="W244" s="300"/>
      <c r="X244" s="300"/>
      <c r="Y244" s="300"/>
      <c r="Z244" s="300"/>
      <c r="AA244" s="300"/>
      <c r="AB244" s="300"/>
    </row>
    <row r="245" spans="2:28">
      <c r="B245" s="1081" t="s">
        <v>167</v>
      </c>
      <c r="C245" s="1077" t="s">
        <v>50</v>
      </c>
      <c r="D245" s="1084"/>
      <c r="E245" s="1122">
        <v>4.49</v>
      </c>
      <c r="F245" s="1122">
        <v>6.99</v>
      </c>
      <c r="G245" s="1122">
        <v>5.49</v>
      </c>
      <c r="H245" s="1122">
        <v>6.99</v>
      </c>
      <c r="I245" s="1122">
        <v>5.99</v>
      </c>
      <c r="J245" s="1122">
        <v>5.99</v>
      </c>
      <c r="K245" s="1122">
        <v>2.4500000000000002</v>
      </c>
      <c r="L245" s="1122">
        <v>2.99</v>
      </c>
      <c r="M245" s="1122">
        <v>1.99</v>
      </c>
      <c r="N245" s="1122"/>
      <c r="R245" s="300"/>
      <c r="S245" s="300"/>
      <c r="T245" s="300"/>
      <c r="U245" s="300"/>
      <c r="V245" s="300"/>
      <c r="W245" s="300"/>
      <c r="X245" s="300"/>
      <c r="Y245" s="300"/>
      <c r="Z245" s="300"/>
      <c r="AA245" s="300"/>
      <c r="AB245" s="300"/>
    </row>
    <row r="246" spans="2:28">
      <c r="B246" s="1081" t="s">
        <v>165</v>
      </c>
      <c r="C246" s="1077" t="s">
        <v>50</v>
      </c>
      <c r="D246" s="1084"/>
      <c r="E246" s="1122">
        <v>0.93</v>
      </c>
      <c r="F246" s="1122">
        <v>0.97</v>
      </c>
      <c r="G246" s="1122">
        <v>0.94</v>
      </c>
      <c r="H246" s="1122">
        <v>0.95</v>
      </c>
      <c r="I246" s="1122">
        <v>0.94</v>
      </c>
      <c r="J246" s="1122">
        <v>0.94</v>
      </c>
      <c r="K246" s="1122">
        <v>0.93</v>
      </c>
      <c r="L246" s="1122">
        <v>0.97</v>
      </c>
      <c r="M246" s="1122">
        <v>0.94</v>
      </c>
      <c r="N246" s="1122"/>
      <c r="R246" s="300"/>
      <c r="S246" s="300"/>
      <c r="T246" s="300"/>
      <c r="U246" s="300"/>
      <c r="V246" s="300"/>
      <c r="W246" s="300"/>
      <c r="X246" s="300"/>
      <c r="Y246" s="300"/>
      <c r="Z246" s="300"/>
      <c r="AA246" s="300"/>
      <c r="AB246" s="300"/>
    </row>
    <row r="247" spans="2:28">
      <c r="B247" s="1081" t="s">
        <v>164</v>
      </c>
      <c r="C247" s="1077" t="s">
        <v>50</v>
      </c>
      <c r="D247" s="1084"/>
      <c r="E247" s="1122">
        <f>E245-E246</f>
        <v>3.56</v>
      </c>
      <c r="F247" s="1122">
        <f>F245-F246</f>
        <v>6.0200000000000005</v>
      </c>
      <c r="G247" s="1122">
        <f>G245-G246</f>
        <v>4.5500000000000007</v>
      </c>
      <c r="H247" s="1122">
        <f>H245-H246</f>
        <v>6.04</v>
      </c>
      <c r="I247" s="1122">
        <f>I245-I246</f>
        <v>5.0500000000000007</v>
      </c>
      <c r="J247" s="1122">
        <f>J245-J246</f>
        <v>5.0500000000000007</v>
      </c>
      <c r="K247" s="1122">
        <f>K245-K246</f>
        <v>1.52</v>
      </c>
      <c r="L247" s="1122">
        <f>L245-L246</f>
        <v>2.0200000000000005</v>
      </c>
      <c r="M247" s="1122">
        <f>M245-M246</f>
        <v>1.05</v>
      </c>
      <c r="N247" s="1122"/>
      <c r="R247" s="300"/>
      <c r="S247" s="300"/>
      <c r="T247" s="300"/>
      <c r="U247" s="300"/>
      <c r="V247" s="300"/>
      <c r="W247" s="300"/>
      <c r="X247" s="300"/>
      <c r="Y247" s="300"/>
      <c r="Z247" s="300"/>
      <c r="AA247" s="300"/>
      <c r="AB247" s="300"/>
    </row>
    <row r="248" spans="2:28">
      <c r="B248" s="1081" t="s">
        <v>163</v>
      </c>
      <c r="C248" s="1077" t="s">
        <v>49</v>
      </c>
      <c r="D248" s="1125">
        <f>(D250-D252)/D250</f>
        <v>0.76021558434681236</v>
      </c>
      <c r="E248" s="1126">
        <f>E247/E245</f>
        <v>0.79287305122494434</v>
      </c>
      <c r="F248" s="1126">
        <f>F247/F245</f>
        <v>0.86123032904148789</v>
      </c>
      <c r="G248" s="1126">
        <f>G247/G245</f>
        <v>0.82877959927140266</v>
      </c>
      <c r="H248" s="1126">
        <f>H247/H245</f>
        <v>0.86409155937052928</v>
      </c>
      <c r="I248" s="1126">
        <f>I247/I245</f>
        <v>0.8430717863105176</v>
      </c>
      <c r="J248" s="1126">
        <f>J247/J245</f>
        <v>0.8430717863105176</v>
      </c>
      <c r="K248" s="1126">
        <f>K247/K245</f>
        <v>0.62040816326530612</v>
      </c>
      <c r="L248" s="1126">
        <f>L247/L245</f>
        <v>0.67558528428093656</v>
      </c>
      <c r="M248" s="1126">
        <f>M247/M245</f>
        <v>0.52763819095477393</v>
      </c>
      <c r="N248" s="1126"/>
      <c r="R248" s="300"/>
      <c r="S248" s="300"/>
      <c r="T248" s="300"/>
      <c r="U248" s="300"/>
      <c r="V248" s="300"/>
      <c r="W248" s="300"/>
      <c r="X248" s="300"/>
      <c r="Y248" s="300"/>
      <c r="Z248" s="300"/>
      <c r="AA248" s="300"/>
      <c r="AB248" s="300"/>
    </row>
    <row r="249" spans="2:28">
      <c r="B249" s="1081" t="s">
        <v>162</v>
      </c>
      <c r="C249" s="1077" t="s">
        <v>161</v>
      </c>
      <c r="D249" s="1084"/>
      <c r="E249" s="1127">
        <v>10350.923520417262</v>
      </c>
      <c r="F249" s="1127">
        <v>10011.717753559007</v>
      </c>
      <c r="G249" s="1127">
        <v>7572.4279361728004</v>
      </c>
      <c r="H249" s="1127">
        <v>20575.516311046402</v>
      </c>
      <c r="I249" s="1127">
        <v>20575.516311046402</v>
      </c>
      <c r="J249" s="1127">
        <v>20575.516311046402</v>
      </c>
      <c r="K249" s="1127">
        <v>70129.228228556181</v>
      </c>
      <c r="L249" s="1127">
        <v>84184.462324666907</v>
      </c>
      <c r="M249" s="1127">
        <v>3191.374073192952</v>
      </c>
      <c r="N249" s="1127"/>
      <c r="R249" s="300"/>
      <c r="S249" s="300"/>
      <c r="T249" s="300"/>
      <c r="U249" s="300"/>
      <c r="V249" s="300"/>
      <c r="W249" s="300"/>
      <c r="X249" s="300"/>
      <c r="Y249" s="300"/>
      <c r="Z249" s="300"/>
      <c r="AA249" s="300"/>
      <c r="AB249" s="300"/>
    </row>
    <row r="250" spans="2:28">
      <c r="B250" s="1081" t="s">
        <v>113</v>
      </c>
      <c r="C250" s="1077" t="s">
        <v>50</v>
      </c>
      <c r="D250" s="1080">
        <f>SUM(E250:XN250)</f>
        <v>978226.71341056062</v>
      </c>
      <c r="E250" s="508">
        <f>E245*E249</f>
        <v>46475.646606673508</v>
      </c>
      <c r="F250" s="508">
        <f>F245*F249</f>
        <v>69981.907097377465</v>
      </c>
      <c r="G250" s="508">
        <f>G245*G249</f>
        <v>41572.629369588678</v>
      </c>
      <c r="H250" s="508">
        <f>H245*H249</f>
        <v>143822.85901421437</v>
      </c>
      <c r="I250" s="508">
        <f>I245*I249</f>
        <v>123247.34270316795</v>
      </c>
      <c r="J250" s="508">
        <f>J245*J249</f>
        <v>123247.34270316795</v>
      </c>
      <c r="K250" s="508">
        <f>K245*K249</f>
        <v>171816.60915996265</v>
      </c>
      <c r="L250" s="508">
        <f>L245*L249</f>
        <v>251711.54235075408</v>
      </c>
      <c r="M250" s="508">
        <f>M245*M249</f>
        <v>6350.8344056539745</v>
      </c>
      <c r="N250" s="508"/>
      <c r="R250" s="300"/>
      <c r="S250" s="300"/>
      <c r="T250" s="300"/>
      <c r="U250" s="300"/>
      <c r="V250" s="300"/>
      <c r="W250" s="300"/>
      <c r="X250" s="300"/>
      <c r="Y250" s="300"/>
      <c r="Z250" s="300"/>
      <c r="AA250" s="300"/>
      <c r="AB250" s="300"/>
    </row>
    <row r="251" spans="2:28">
      <c r="B251" s="1081" t="s">
        <v>176</v>
      </c>
      <c r="C251" s="1077" t="s">
        <v>49</v>
      </c>
      <c r="D251" s="1128"/>
      <c r="E251" s="1126">
        <f>E250/$D250</f>
        <v>4.7510097577112199E-2</v>
      </c>
      <c r="F251" s="1126">
        <f>F250/$D250</f>
        <v>7.1539558405011722E-2</v>
      </c>
      <c r="G251" s="1126">
        <f>G250/$D250</f>
        <v>4.2497949401368161E-2</v>
      </c>
      <c r="H251" s="1126">
        <f>H250/$D250</f>
        <v>0.14702405591928674</v>
      </c>
      <c r="I251" s="1126">
        <f>I250/$D250</f>
        <v>0.12599057152453899</v>
      </c>
      <c r="J251" s="1126">
        <f>J250/$D250</f>
        <v>0.12599057152453899</v>
      </c>
      <c r="K251" s="1126">
        <f>K250/$D250</f>
        <v>0.17564088856347906</v>
      </c>
      <c r="L251" s="1126">
        <f>L250/$D250</f>
        <v>0.25731411634954099</v>
      </c>
      <c r="M251" s="1126">
        <f>M250/$D250</f>
        <v>6.4921907351231135E-3</v>
      </c>
      <c r="N251" s="1126"/>
      <c r="R251" s="300"/>
      <c r="S251" s="300"/>
      <c r="T251" s="300"/>
      <c r="U251" s="300"/>
      <c r="V251" s="300"/>
      <c r="W251" s="300"/>
      <c r="X251" s="300"/>
      <c r="Y251" s="300"/>
      <c r="Z251" s="300"/>
      <c r="AA251" s="300"/>
      <c r="AB251" s="300"/>
    </row>
    <row r="252" spans="2:28">
      <c r="B252" s="1081" t="s">
        <v>469</v>
      </c>
      <c r="C252" s="1077" t="s">
        <v>50</v>
      </c>
      <c r="D252" s="1080">
        <f>SUM(E252:XN252)</f>
        <v>234563.52085148953</v>
      </c>
      <c r="E252" s="508">
        <f>E246*E249</f>
        <v>9626.3588739880543</v>
      </c>
      <c r="F252" s="508">
        <f>F246*F249</f>
        <v>9711.3662209522372</v>
      </c>
      <c r="G252" s="508">
        <f>G246*G249</f>
        <v>7118.0822600024321</v>
      </c>
      <c r="H252" s="508">
        <f>H246*H249</f>
        <v>19546.740495494079</v>
      </c>
      <c r="I252" s="508">
        <f>I246*I249</f>
        <v>19340.985332383618</v>
      </c>
      <c r="J252" s="508">
        <f>J246*J249</f>
        <v>19340.985332383618</v>
      </c>
      <c r="K252" s="508">
        <f>K246*K249</f>
        <v>65220.18225255725</v>
      </c>
      <c r="L252" s="508">
        <f>L246*L249</f>
        <v>81658.928454926892</v>
      </c>
      <c r="M252" s="508">
        <f>M246*M249</f>
        <v>2999.8916288013747</v>
      </c>
      <c r="N252" s="508"/>
      <c r="R252" s="300"/>
      <c r="S252" s="300"/>
      <c r="T252" s="300"/>
      <c r="U252" s="300"/>
      <c r="V252" s="300"/>
      <c r="W252" s="300"/>
      <c r="X252" s="300"/>
      <c r="Y252" s="300"/>
      <c r="Z252" s="300"/>
      <c r="AA252" s="300"/>
      <c r="AB252" s="300"/>
    </row>
    <row r="253" spans="2:28">
      <c r="B253" s="1081" t="s">
        <v>111</v>
      </c>
      <c r="C253" s="1077" t="s">
        <v>50</v>
      </c>
      <c r="D253" s="1080">
        <f>SUM(E253:XN253)</f>
        <v>743663.19255907112</v>
      </c>
      <c r="E253" s="508">
        <f>E250-E252</f>
        <v>36849.28773268545</v>
      </c>
      <c r="F253" s="508">
        <f>F250-F252</f>
        <v>60270.540876425228</v>
      </c>
      <c r="G253" s="508">
        <f>G250-G252</f>
        <v>34454.547109586245</v>
      </c>
      <c r="H253" s="508">
        <f>H250-H252</f>
        <v>124276.11851872029</v>
      </c>
      <c r="I253" s="508">
        <f>I250-I252</f>
        <v>103906.35737078433</v>
      </c>
      <c r="J253" s="508">
        <f>J250-J252</f>
        <v>103906.35737078433</v>
      </c>
      <c r="K253" s="508">
        <f>K250-K252</f>
        <v>106596.4269074054</v>
      </c>
      <c r="L253" s="508">
        <f>L250-L252</f>
        <v>170052.61389582721</v>
      </c>
      <c r="M253" s="508">
        <f>M250-M252</f>
        <v>3350.9427768525998</v>
      </c>
      <c r="N253" s="508"/>
      <c r="R253" s="300"/>
      <c r="S253" s="300"/>
      <c r="T253" s="300"/>
      <c r="U253" s="300"/>
      <c r="V253" s="300"/>
      <c r="W253" s="300"/>
      <c r="X253" s="300"/>
      <c r="Y253" s="300"/>
      <c r="Z253" s="300"/>
      <c r="AA253" s="300"/>
      <c r="AB253" s="300"/>
    </row>
    <row r="254" spans="2:28">
      <c r="B254" s="1081"/>
      <c r="C254" s="1077" t="s">
        <v>49</v>
      </c>
      <c r="D254" s="1084"/>
      <c r="E254" s="1126">
        <f>E253/$D253</f>
        <v>4.9551044211131122E-2</v>
      </c>
      <c r="F254" s="1126">
        <f>F253/$D253</f>
        <v>8.1045480641611531E-2</v>
      </c>
      <c r="G254" s="1126">
        <f>G253/$D253</f>
        <v>4.6330849038019893E-2</v>
      </c>
      <c r="H254" s="1126">
        <f>H253/$D253</f>
        <v>0.16711344565953989</v>
      </c>
      <c r="I254" s="1126">
        <f>I253/$D253</f>
        <v>0.13972233453322455</v>
      </c>
      <c r="J254" s="1126">
        <f>J253/$D253</f>
        <v>0.13972233453322455</v>
      </c>
      <c r="K254" s="1126">
        <f>K253/$D253</f>
        <v>0.14333965694952447</v>
      </c>
      <c r="L254" s="1126">
        <f>L253/$D253</f>
        <v>0.22866885923269556</v>
      </c>
      <c r="M254" s="1126">
        <f>M253/$D253</f>
        <v>4.505995201028355E-3</v>
      </c>
      <c r="N254" s="1126"/>
      <c r="R254" s="300"/>
      <c r="S254" s="300"/>
      <c r="T254" s="300"/>
      <c r="U254" s="300"/>
      <c r="V254" s="300"/>
      <c r="W254" s="300"/>
      <c r="X254" s="300"/>
      <c r="Y254" s="300"/>
      <c r="Z254" s="300"/>
      <c r="AA254" s="300"/>
      <c r="AB254" s="300"/>
    </row>
    <row r="255" spans="2:28" ht="12" thickBot="1">
      <c r="B255" s="1129" t="s">
        <v>126</v>
      </c>
      <c r="C255" s="1130" t="s">
        <v>50</v>
      </c>
      <c r="D255" s="1196">
        <f>D253-D244</f>
        <v>470606.94255907112</v>
      </c>
      <c r="E255" s="1197"/>
      <c r="F255" s="1197"/>
      <c r="G255" s="1197"/>
      <c r="H255" s="1197"/>
      <c r="I255" s="1197"/>
      <c r="J255" s="777"/>
      <c r="K255" s="778"/>
      <c r="L255" s="778"/>
      <c r="M255" s="1198"/>
      <c r="N255" s="778"/>
      <c r="R255" s="300"/>
      <c r="S255" s="300"/>
      <c r="T255" s="300"/>
      <c r="U255" s="300"/>
      <c r="V255" s="300"/>
      <c r="W255" s="300"/>
      <c r="X255" s="300"/>
      <c r="Y255" s="300"/>
      <c r="Z255" s="300"/>
      <c r="AA255" s="300"/>
      <c r="AB255" s="300"/>
    </row>
    <row r="256" spans="2:28" ht="12" thickBot="1">
      <c r="B256" s="300"/>
      <c r="C256" s="300"/>
      <c r="E256" s="300"/>
      <c r="F256" s="300"/>
      <c r="G256" s="300"/>
      <c r="H256" s="300"/>
      <c r="I256" s="300"/>
      <c r="J256" s="300"/>
      <c r="L256" s="497"/>
      <c r="R256" s="300"/>
      <c r="S256" s="300"/>
      <c r="T256" s="300"/>
      <c r="U256" s="300"/>
      <c r="V256" s="300"/>
      <c r="W256" s="300"/>
      <c r="X256" s="300"/>
      <c r="Y256" s="300"/>
      <c r="Z256" s="300"/>
      <c r="AA256" s="300"/>
      <c r="AB256" s="300"/>
    </row>
    <row r="257" spans="2:28">
      <c r="B257" s="1176" t="s">
        <v>166</v>
      </c>
      <c r="C257" s="1156" t="s">
        <v>157</v>
      </c>
      <c r="D257" s="1223"/>
      <c r="E257" s="555">
        <v>3</v>
      </c>
      <c r="F257" s="555">
        <v>3</v>
      </c>
      <c r="G257" s="555">
        <v>2.5</v>
      </c>
      <c r="H257" s="555">
        <v>2.5</v>
      </c>
      <c r="I257" s="555">
        <v>2.5</v>
      </c>
      <c r="J257" s="1020">
        <v>2.5</v>
      </c>
      <c r="K257" s="1020">
        <v>1</v>
      </c>
      <c r="L257" s="1020">
        <v>1</v>
      </c>
      <c r="M257" s="1020">
        <v>1</v>
      </c>
      <c r="N257" s="1021">
        <v>1</v>
      </c>
      <c r="O257" s="1234"/>
      <c r="P257" s="1234"/>
      <c r="R257" s="300"/>
      <c r="S257" s="300"/>
      <c r="T257" s="300"/>
      <c r="U257" s="300"/>
      <c r="V257" s="300"/>
      <c r="W257" s="300"/>
      <c r="X257" s="300"/>
      <c r="Y257" s="300"/>
      <c r="Z257" s="300"/>
      <c r="AA257" s="300"/>
      <c r="AB257" s="300"/>
    </row>
    <row r="258" spans="2:28">
      <c r="B258" s="1158"/>
      <c r="C258" s="304" t="s">
        <v>159</v>
      </c>
      <c r="D258" s="1224"/>
      <c r="E258" s="1238">
        <v>4</v>
      </c>
      <c r="F258" s="1238">
        <v>4</v>
      </c>
      <c r="G258" s="1238">
        <v>3.5</v>
      </c>
      <c r="H258" s="1238">
        <v>3.5</v>
      </c>
      <c r="I258" s="1238">
        <v>3.5</v>
      </c>
      <c r="J258" s="1238">
        <v>3.5</v>
      </c>
      <c r="K258" s="1238">
        <v>1.25</v>
      </c>
      <c r="L258" s="1238">
        <v>1.28</v>
      </c>
      <c r="M258" s="1238">
        <v>1.28</v>
      </c>
      <c r="N258" s="1242">
        <v>1.28</v>
      </c>
      <c r="O258" s="1234"/>
      <c r="P258" s="1234"/>
      <c r="R258" s="300"/>
      <c r="S258" s="300"/>
      <c r="T258" s="300"/>
      <c r="U258" s="300"/>
      <c r="V258" s="300"/>
      <c r="W258" s="300"/>
      <c r="X258" s="300"/>
      <c r="Y258" s="300"/>
      <c r="Z258" s="300"/>
      <c r="AA258" s="300"/>
      <c r="AB258" s="300"/>
    </row>
    <row r="259" spans="2:28">
      <c r="B259" s="1158"/>
      <c r="C259" s="921" t="s">
        <v>158</v>
      </c>
      <c r="D259" s="1224"/>
      <c r="E259" s="556">
        <v>5</v>
      </c>
      <c r="F259" s="556">
        <v>5</v>
      </c>
      <c r="G259" s="556">
        <v>4</v>
      </c>
      <c r="H259" s="556">
        <v>4</v>
      </c>
      <c r="I259" s="556">
        <v>4</v>
      </c>
      <c r="J259" s="1022">
        <v>4</v>
      </c>
      <c r="K259" s="1022">
        <v>1.3</v>
      </c>
      <c r="L259" s="1022">
        <v>1.35</v>
      </c>
      <c r="M259" s="1022">
        <v>1.35</v>
      </c>
      <c r="N259" s="1023">
        <v>1.35</v>
      </c>
      <c r="O259" s="1234"/>
      <c r="P259" s="1234"/>
      <c r="R259" s="300"/>
      <c r="S259" s="300"/>
      <c r="T259" s="300"/>
      <c r="U259" s="300"/>
      <c r="V259" s="300"/>
      <c r="W259" s="300"/>
      <c r="X259" s="300"/>
      <c r="Y259" s="300"/>
      <c r="Z259" s="300"/>
      <c r="AA259" s="300"/>
      <c r="AB259" s="300"/>
    </row>
    <row r="260" spans="2:28">
      <c r="B260" s="1158"/>
      <c r="C260" s="304" t="s">
        <v>156</v>
      </c>
      <c r="D260" s="1224"/>
      <c r="E260" s="556">
        <v>6</v>
      </c>
      <c r="F260" s="556">
        <v>6</v>
      </c>
      <c r="G260" s="556">
        <v>5</v>
      </c>
      <c r="H260" s="556">
        <v>5</v>
      </c>
      <c r="I260" s="556">
        <v>5</v>
      </c>
      <c r="J260" s="1022">
        <v>5</v>
      </c>
      <c r="K260" s="1022">
        <v>1.5</v>
      </c>
      <c r="L260" s="1022">
        <v>1.5</v>
      </c>
      <c r="M260" s="1022">
        <v>1.5</v>
      </c>
      <c r="N260" s="1023">
        <v>1.5</v>
      </c>
      <c r="O260" s="1234"/>
      <c r="P260" s="1234"/>
      <c r="R260" s="300"/>
      <c r="S260" s="300"/>
      <c r="T260" s="300"/>
      <c r="U260" s="300"/>
      <c r="V260" s="300"/>
      <c r="W260" s="300"/>
      <c r="X260" s="300"/>
      <c r="Y260" s="300"/>
      <c r="Z260" s="300"/>
      <c r="AA260" s="300"/>
      <c r="AB260" s="300"/>
    </row>
    <row r="261" spans="2:28">
      <c r="B261" s="1158"/>
      <c r="C261" s="304"/>
      <c r="D261" s="1224"/>
      <c r="E261" s="1239"/>
      <c r="F261" s="1239"/>
      <c r="G261" s="1239"/>
      <c r="H261" s="1239"/>
      <c r="I261" s="1240"/>
      <c r="J261" s="1239"/>
      <c r="K261" s="1239"/>
      <c r="L261" s="1239"/>
      <c r="M261" s="1239"/>
      <c r="N261" s="1243"/>
      <c r="O261" s="1234"/>
      <c r="P261" s="1234"/>
      <c r="R261" s="300"/>
      <c r="S261" s="300"/>
      <c r="T261" s="300"/>
      <c r="U261" s="300"/>
      <c r="V261" s="300"/>
      <c r="W261" s="300"/>
      <c r="X261" s="300"/>
      <c r="Y261" s="300"/>
      <c r="Z261" s="300"/>
      <c r="AA261" s="300"/>
      <c r="AB261" s="300"/>
    </row>
    <row r="262" spans="2:28">
      <c r="B262" s="1158" t="s">
        <v>160</v>
      </c>
      <c r="C262" s="304" t="s">
        <v>157</v>
      </c>
      <c r="D262" s="1224"/>
      <c r="E262" s="556">
        <v>0.4</v>
      </c>
      <c r="F262" s="556">
        <v>0.4</v>
      </c>
      <c r="G262" s="556">
        <v>0.4</v>
      </c>
      <c r="H262" s="556">
        <v>0.4</v>
      </c>
      <c r="I262" s="556">
        <v>0.4</v>
      </c>
      <c r="J262" s="1022">
        <v>0.4</v>
      </c>
      <c r="K262" s="1022">
        <v>0.4</v>
      </c>
      <c r="L262" s="1022">
        <v>0.4</v>
      </c>
      <c r="M262" s="1022">
        <v>0.4</v>
      </c>
      <c r="N262" s="1023">
        <v>0.4</v>
      </c>
      <c r="O262" s="1234"/>
      <c r="P262" s="1234"/>
      <c r="R262" s="300"/>
      <c r="S262" s="300"/>
      <c r="T262" s="300"/>
      <c r="U262" s="300"/>
      <c r="V262" s="300"/>
      <c r="W262" s="300"/>
      <c r="X262" s="300"/>
      <c r="Y262" s="300"/>
      <c r="Z262" s="300"/>
      <c r="AA262" s="300"/>
      <c r="AB262" s="300"/>
    </row>
    <row r="263" spans="2:28">
      <c r="B263" s="1158"/>
      <c r="C263" s="304" t="s">
        <v>159</v>
      </c>
      <c r="D263" s="1224"/>
      <c r="E263" s="1238">
        <v>0.53</v>
      </c>
      <c r="F263" s="1238">
        <v>0.53</v>
      </c>
      <c r="G263" s="1238">
        <v>0.5</v>
      </c>
      <c r="H263" s="1238">
        <v>0.5</v>
      </c>
      <c r="I263" s="1238">
        <v>0.5</v>
      </c>
      <c r="J263" s="1238">
        <v>0.5</v>
      </c>
      <c r="K263" s="1238">
        <v>0.41</v>
      </c>
      <c r="L263" s="1238">
        <v>0.41</v>
      </c>
      <c r="M263" s="1238">
        <v>0.41</v>
      </c>
      <c r="N263" s="1242">
        <v>0.41</v>
      </c>
      <c r="O263" s="1234"/>
      <c r="P263" s="1234"/>
      <c r="R263" s="300"/>
      <c r="S263" s="300"/>
      <c r="T263" s="300"/>
      <c r="U263" s="300"/>
      <c r="V263" s="300"/>
      <c r="W263" s="300"/>
      <c r="X263" s="300"/>
      <c r="Y263" s="300"/>
      <c r="Z263" s="300"/>
      <c r="AA263" s="300"/>
      <c r="AB263" s="300"/>
    </row>
    <row r="264" spans="2:28">
      <c r="B264" s="1158"/>
      <c r="C264" s="921" t="s">
        <v>158</v>
      </c>
      <c r="D264" s="1224"/>
      <c r="E264" s="556">
        <v>0.6</v>
      </c>
      <c r="F264" s="556">
        <v>0.6</v>
      </c>
      <c r="G264" s="556">
        <v>0.6</v>
      </c>
      <c r="H264" s="556">
        <v>0.6</v>
      </c>
      <c r="I264" s="556">
        <v>0.6</v>
      </c>
      <c r="J264" s="1022">
        <v>0.6</v>
      </c>
      <c r="K264" s="1022">
        <v>0.6</v>
      </c>
      <c r="L264" s="1022">
        <v>0.6</v>
      </c>
      <c r="M264" s="1022">
        <v>0.6</v>
      </c>
      <c r="N264" s="1023">
        <v>0.6</v>
      </c>
      <c r="O264" s="1234"/>
      <c r="P264" s="1234"/>
      <c r="R264" s="300"/>
      <c r="S264" s="300"/>
      <c r="T264" s="300"/>
      <c r="U264" s="300"/>
      <c r="V264" s="300"/>
      <c r="W264" s="300"/>
      <c r="X264" s="300"/>
      <c r="Y264" s="300"/>
      <c r="Z264" s="300"/>
      <c r="AA264" s="300"/>
      <c r="AB264" s="300"/>
    </row>
    <row r="265" spans="2:28">
      <c r="B265" s="1158"/>
      <c r="C265" s="304" t="s">
        <v>156</v>
      </c>
      <c r="D265" s="1224"/>
      <c r="E265" s="556">
        <v>0.9</v>
      </c>
      <c r="F265" s="556">
        <v>0.9</v>
      </c>
      <c r="G265" s="556">
        <v>0.9</v>
      </c>
      <c r="H265" s="556">
        <v>0.9</v>
      </c>
      <c r="I265" s="556">
        <v>0.9</v>
      </c>
      <c r="J265" s="1022">
        <v>0.9</v>
      </c>
      <c r="K265" s="1022">
        <v>0.9</v>
      </c>
      <c r="L265" s="1022">
        <v>0.9</v>
      </c>
      <c r="M265" s="1022">
        <v>0.9</v>
      </c>
      <c r="N265" s="1023">
        <v>0.9</v>
      </c>
      <c r="O265" s="1234"/>
      <c r="P265" s="1234"/>
      <c r="R265" s="300"/>
      <c r="S265" s="300"/>
      <c r="T265" s="300"/>
      <c r="U265" s="300"/>
      <c r="V265" s="300"/>
      <c r="W265" s="300"/>
      <c r="X265" s="300"/>
      <c r="Y265" s="300"/>
      <c r="Z265" s="300"/>
      <c r="AA265" s="300"/>
      <c r="AB265" s="300"/>
    </row>
    <row r="266" spans="2:28">
      <c r="B266" s="1158"/>
      <c r="C266" s="304"/>
      <c r="D266" s="1224"/>
      <c r="E266" s="1255" t="b">
        <f>VLOOKUP(E242&amp;"  Name",'Sim-Report'!$B$6:$AZ$8000,CycleInCalculation+2,FALSE)="Special Offer"</f>
        <v>0</v>
      </c>
      <c r="F266" s="1255" t="b">
        <f>VLOOKUP(F242&amp;"  Name",'Sim-Report'!$B$6:$AZ$8000,CycleInCalculation+2,FALSE)="Special Offer"</f>
        <v>0</v>
      </c>
      <c r="G266" s="1255" t="b">
        <f>VLOOKUP(G242&amp;"  Name",'Sim-Report'!$B$6:$AZ$8000,CycleInCalculation+2,FALSE)="Special Offer"</f>
        <v>0</v>
      </c>
      <c r="H266" s="1255" t="b">
        <f>VLOOKUP(H242&amp;"  Name",'Sim-Report'!$B$6:$AZ$8000,CycleInCalculation+2,FALSE)="Special Offer"</f>
        <v>0</v>
      </c>
      <c r="I266" s="1255" t="b">
        <f>VLOOKUP(I242&amp;"  Name",'Sim-Report'!$B$6:$AZ$8000,CycleInCalculation+2,FALSE)="Special Offer"</f>
        <v>0</v>
      </c>
      <c r="J266" s="1255" t="b">
        <f>VLOOKUP(J242&amp;"  Name",'Sim-Report'!$B$6:$AZ$8000,CycleInCalculation+2,FALSE)="Special Offer"</f>
        <v>0</v>
      </c>
      <c r="K266" s="1255" t="b">
        <f>VLOOKUP(K242&amp;"  Name",'Sim-Report'!$B$6:$AZ$8000,CycleInCalculation+2,FALSE)="Special Offer"</f>
        <v>0</v>
      </c>
      <c r="L266" s="1255" t="b">
        <f>VLOOKUP(L242&amp;"  Name",'Sim-Report'!$B$6:$AZ$8000,CycleInCalculation+2,FALSE)="Special Offer"</f>
        <v>0</v>
      </c>
      <c r="M266" s="1255" t="b">
        <f>VLOOKUP(M242&amp;"  Name",'Sim-Report'!$B$6:$AZ$8000,CycleInCalculation+2,FALSE)="Special Offer"</f>
        <v>1</v>
      </c>
      <c r="N266" s="1255"/>
      <c r="O266" s="1255"/>
      <c r="P266" s="1255"/>
      <c r="Q266" s="1255"/>
      <c r="R266" s="1255"/>
      <c r="S266" s="1255"/>
      <c r="T266" s="1255"/>
      <c r="U266" s="1255"/>
      <c r="V266" s="1255"/>
      <c r="W266" s="1255"/>
      <c r="X266" s="1255"/>
      <c r="Y266" s="1255"/>
      <c r="Z266" s="1255"/>
      <c r="AA266" s="300"/>
      <c r="AB266" s="300"/>
    </row>
    <row r="267" spans="2:28">
      <c r="B267" s="1158"/>
      <c r="C267" s="304" t="s">
        <v>472</v>
      </c>
      <c r="D267" s="1201" t="s">
        <v>473</v>
      </c>
      <c r="E267" s="485"/>
      <c r="F267" s="485"/>
      <c r="G267" s="485"/>
      <c r="H267" s="485"/>
      <c r="I267" s="485"/>
      <c r="J267" s="485"/>
      <c r="K267" s="485"/>
      <c r="L267" s="485"/>
      <c r="M267" s="485"/>
      <c r="N267" s="485"/>
      <c r="R267" s="300"/>
      <c r="S267" s="300"/>
      <c r="T267" s="300"/>
      <c r="U267" s="300"/>
      <c r="V267" s="300"/>
      <c r="W267" s="300"/>
      <c r="X267" s="300"/>
      <c r="Y267" s="300"/>
      <c r="Z267" s="300"/>
      <c r="AA267" s="300"/>
      <c r="AB267" s="300"/>
    </row>
    <row r="268" spans="2:28">
      <c r="B268" s="1158" t="s">
        <v>474</v>
      </c>
      <c r="C268" s="768">
        <v>2</v>
      </c>
      <c r="D268" s="1011">
        <v>1.5</v>
      </c>
      <c r="E268" s="304"/>
      <c r="F268" s="304"/>
      <c r="G268" s="304"/>
      <c r="H268" s="304"/>
      <c r="I268" s="304"/>
      <c r="J268" s="304"/>
      <c r="K268" s="304"/>
      <c r="L268" s="304"/>
      <c r="M268" s="485"/>
      <c r="N268" s="485"/>
      <c r="R268" s="300"/>
      <c r="S268" s="300"/>
      <c r="T268" s="300"/>
      <c r="U268" s="300"/>
      <c r="V268" s="300"/>
      <c r="W268" s="300"/>
      <c r="X268" s="300"/>
      <c r="Y268" s="300"/>
      <c r="Z268" s="300"/>
      <c r="AA268" s="300"/>
      <c r="AB268" s="300"/>
    </row>
    <row r="269" spans="2:28">
      <c r="B269" s="1158"/>
      <c r="C269" s="304"/>
      <c r="D269" s="1224"/>
      <c r="E269" s="485"/>
      <c r="F269" s="485"/>
      <c r="G269" s="485"/>
      <c r="H269" s="485"/>
      <c r="I269" s="485"/>
      <c r="J269" s="485"/>
      <c r="K269" s="485"/>
      <c r="L269" s="485"/>
      <c r="M269" s="485"/>
      <c r="N269" s="485"/>
      <c r="R269" s="300"/>
      <c r="S269" s="300"/>
      <c r="T269" s="300"/>
      <c r="U269" s="300"/>
      <c r="V269" s="300"/>
      <c r="W269" s="300"/>
      <c r="X269" s="300"/>
      <c r="Y269" s="300"/>
      <c r="Z269" s="300"/>
      <c r="AA269" s="300"/>
      <c r="AB269" s="300"/>
    </row>
    <row r="270" spans="2:28">
      <c r="B270" s="1158" t="s">
        <v>157</v>
      </c>
      <c r="C270" s="304"/>
      <c r="D270" s="1224"/>
      <c r="E270" s="1203">
        <f>IF(E243="[retail]",E249,E249/$D$268)</f>
        <v>10350.923520417262</v>
      </c>
      <c r="F270" s="1203">
        <f>IF(F243="[retail]",F249,F249/$D$268)</f>
        <v>10011.717753559007</v>
      </c>
      <c r="G270" s="1203">
        <f>IF(G243="[retail]",G249,G249/$D$268)</f>
        <v>7572.4279361728004</v>
      </c>
      <c r="H270" s="1203">
        <f>IF(H243="[retail]",H249,H249/$D$268)</f>
        <v>20575.516311046402</v>
      </c>
      <c r="I270" s="1203">
        <f>IF(I243="[retail]",I249,I249/$D$268)</f>
        <v>20575.516311046402</v>
      </c>
      <c r="J270" s="1203">
        <f>IF(J243="[retail]",J249,J249/$D$268)</f>
        <v>20575.516311046402</v>
      </c>
      <c r="K270" s="1203">
        <f>IF(K243="[retail]",K249,K249/$D$268)</f>
        <v>46752.818819037457</v>
      </c>
      <c r="L270" s="1203">
        <f>IF(L243="[retail]",L249,L249/$D$268)</f>
        <v>56122.974883111274</v>
      </c>
      <c r="M270" s="1203">
        <f>IF(M243="[retail]",M249,M249/$D$268)</f>
        <v>3191.374073192952</v>
      </c>
      <c r="N270" s="1203"/>
      <c r="R270" s="300"/>
      <c r="S270" s="300"/>
      <c r="T270" s="300"/>
      <c r="U270" s="300"/>
      <c r="V270" s="300"/>
      <c r="W270" s="300"/>
      <c r="X270" s="300"/>
      <c r="Y270" s="300"/>
      <c r="Z270" s="300"/>
      <c r="AA270" s="300"/>
      <c r="AB270" s="300"/>
    </row>
    <row r="271" spans="2:28">
      <c r="B271" s="1158" t="s">
        <v>155</v>
      </c>
      <c r="C271" s="304" t="s">
        <v>161</v>
      </c>
      <c r="D271" s="1204">
        <f>SUM(E271:XN271)</f>
        <v>248962.34597591223</v>
      </c>
      <c r="E271" s="1203">
        <f>IF(E243="[retail]",E272-1/(E260-E257)*(E259-E257)*E270,E272-(1/3)/(E260-E257)*(E259-E257)*E272)</f>
        <v>13801.23136055635</v>
      </c>
      <c r="F271" s="1203">
        <f>IF(F243="[retail]",F272-1/(F260-F257)*(F259-F257)*F270,F272-(1/3)/(F260-F257)*(F259-F257)*F272)</f>
        <v>13348.957004745344</v>
      </c>
      <c r="G271" s="1203">
        <f>IF(G243="[retail]",G272-1/(G260-G257)*(G259-G257)*G270,G272-(1/3)/(G260-G257)*(G259-G257)*G272)</f>
        <v>10601.39911064192</v>
      </c>
      <c r="H271" s="1203">
        <f>IF(H243="[retail]",H272-1/(H260-H257)*(H259-H257)*H270,H272-(1/3)/(H260-H257)*(H259-H257)*H272)</f>
        <v>28805.722835464963</v>
      </c>
      <c r="I271" s="1203">
        <f>IF(I243="[retail]",I272-1/(I260-I257)*(I259-I257)*I270,I272-(1/3)/(I260-I257)*(I259-I257)*I272)</f>
        <v>28805.722835464963</v>
      </c>
      <c r="J271" s="1203">
        <f>IF(J243="[retail]",J272-1/(J260-J257)*(J259-J257)*J270,J272-(1/3)/(J260-J257)*(J259-J257)*J272)</f>
        <v>28805.722835464963</v>
      </c>
      <c r="K271" s="1203">
        <f>IF(K243="[retail]",K272-1/(K260-K257)*(K259-K257)*K270,K272-(1/3)/(K260-K257)*(K259-K257)*K272)</f>
        <v>56103.382582844948</v>
      </c>
      <c r="L271" s="1203">
        <f>IF(L243="[retail]",L272-1/(L260-L257)*(L259-L257)*L270,L272-(1/3)/(L260-L257)*(L259-L257)*L272)</f>
        <v>64541.421115577956</v>
      </c>
      <c r="M271" s="1203">
        <f>IF(M243="[retail]",M272-1/(M260-M257)*(M259-M257)*M270,M272-(1/3)/(M260-M257)*(M259-M257)*M272)</f>
        <v>4148.7862951508368</v>
      </c>
      <c r="N271" s="1203"/>
      <c r="R271" s="300"/>
      <c r="S271" s="300"/>
      <c r="T271" s="300"/>
      <c r="U271" s="300"/>
      <c r="V271" s="300"/>
      <c r="W271" s="300"/>
      <c r="X271" s="300"/>
      <c r="Y271" s="300"/>
      <c r="Z271" s="300"/>
      <c r="AA271" s="300"/>
      <c r="AB271" s="300"/>
    </row>
    <row r="272" spans="2:28">
      <c r="B272" s="1158" t="s">
        <v>156</v>
      </c>
      <c r="C272" s="304"/>
      <c r="D272" s="1201"/>
      <c r="E272" s="1203">
        <f>IF(E243="[retail]",E249*$C$268,E249)</f>
        <v>20701.847040834524</v>
      </c>
      <c r="F272" s="1203">
        <f>IF(F243="[retail]",F249*$C$268,F249)</f>
        <v>20023.435507118014</v>
      </c>
      <c r="G272" s="1203">
        <f>IF(G243="[retail]",G249*$C$268,G249)</f>
        <v>15144.855872345601</v>
      </c>
      <c r="H272" s="1203">
        <f>IF(H243="[retail]",H249*$C$268,H249)</f>
        <v>41151.032622092804</v>
      </c>
      <c r="I272" s="1203">
        <f>IF(I243="[retail]",I249*$C$268,I249)</f>
        <v>41151.032622092804</v>
      </c>
      <c r="J272" s="1203">
        <f>IF(J243="[retail]",J249*$C$268,J249)</f>
        <v>41151.032622092804</v>
      </c>
      <c r="K272" s="1203">
        <f>IF(K243="[retail]",K249*$C$268,K249)</f>
        <v>70129.228228556181</v>
      </c>
      <c r="L272" s="1203">
        <f>IF(L243="[retail]",L249*$C$268,L249)</f>
        <v>84184.462324666907</v>
      </c>
      <c r="M272" s="1203">
        <f>IF(M243="[retail]",M249*$C$268,M249)</f>
        <v>6382.748146385904</v>
      </c>
      <c r="N272" s="1203"/>
      <c r="R272" s="300"/>
      <c r="S272" s="300"/>
      <c r="T272" s="300"/>
      <c r="U272" s="300"/>
      <c r="V272" s="300"/>
      <c r="W272" s="300"/>
      <c r="X272" s="300"/>
      <c r="Y272" s="300"/>
      <c r="Z272" s="300"/>
      <c r="AA272" s="300"/>
      <c r="AB272" s="300"/>
    </row>
    <row r="273" spans="1:34">
      <c r="B273" s="1186" t="s">
        <v>686</v>
      </c>
      <c r="C273" s="304"/>
      <c r="D273" s="1257">
        <v>-0.02</v>
      </c>
      <c r="E273" s="1203"/>
      <c r="F273" s="1203"/>
      <c r="G273" s="1203"/>
      <c r="H273" s="1203"/>
      <c r="I273" s="1203"/>
      <c r="J273" s="1203"/>
      <c r="K273" s="1203"/>
      <c r="L273" s="1203"/>
      <c r="M273" s="1203"/>
      <c r="N273" s="1203"/>
      <c r="R273" s="300"/>
      <c r="S273" s="300"/>
      <c r="T273" s="300"/>
      <c r="U273" s="300"/>
      <c r="V273" s="300"/>
      <c r="W273" s="300"/>
      <c r="X273" s="300"/>
      <c r="Y273" s="300"/>
      <c r="Z273" s="300"/>
      <c r="AA273" s="300"/>
      <c r="AB273" s="300"/>
    </row>
    <row r="274" spans="1:34">
      <c r="B274" s="1186" t="s">
        <v>685</v>
      </c>
      <c r="C274" s="1225"/>
      <c r="D274" s="1254">
        <f>(D271-SUM(E249:XN249))/SUM(E249:XN249)</f>
        <v>7.2649888977189166E-3</v>
      </c>
      <c r="E274" s="1079"/>
      <c r="F274" s="303"/>
      <c r="G274" s="303"/>
      <c r="H274" s="303"/>
      <c r="I274" s="303"/>
      <c r="J274" s="1208"/>
      <c r="K274" s="303"/>
      <c r="L274" s="303"/>
      <c r="M274" s="1079"/>
      <c r="N274" s="303"/>
      <c r="R274" s="300"/>
      <c r="S274" s="300"/>
      <c r="T274" s="300"/>
      <c r="U274" s="300"/>
      <c r="V274" s="300"/>
      <c r="W274" s="300"/>
      <c r="X274" s="300"/>
      <c r="Y274" s="300"/>
      <c r="Z274" s="300"/>
      <c r="AA274" s="300"/>
      <c r="AB274" s="300"/>
    </row>
    <row r="275" spans="1:34">
      <c r="B275" s="1186" t="s">
        <v>687</v>
      </c>
      <c r="C275" s="1225"/>
      <c r="D275" s="1257">
        <v>0.02</v>
      </c>
      <c r="E275" s="1079"/>
      <c r="F275" s="303"/>
      <c r="G275" s="303"/>
      <c r="H275" s="303"/>
      <c r="I275" s="303"/>
      <c r="J275" s="1208"/>
      <c r="K275" s="303"/>
      <c r="L275" s="303"/>
      <c r="M275" s="1079"/>
      <c r="N275" s="303"/>
      <c r="R275" s="300"/>
      <c r="S275" s="300"/>
      <c r="T275" s="300"/>
      <c r="U275" s="300"/>
      <c r="V275" s="300"/>
      <c r="W275" s="300"/>
      <c r="X275" s="300"/>
      <c r="Y275" s="300"/>
      <c r="Z275" s="300"/>
      <c r="AA275" s="300"/>
      <c r="AB275" s="300"/>
    </row>
    <row r="276" spans="1:34">
      <c r="B276" s="1158" t="s">
        <v>111</v>
      </c>
      <c r="C276" s="304" t="s">
        <v>154</v>
      </c>
      <c r="D276" s="1226">
        <f>SUM(E276:XN276)</f>
        <v>540113.98207129072</v>
      </c>
      <c r="E276" s="684">
        <f>(E259-E264)*E271</f>
        <v>60725.417986447945</v>
      </c>
      <c r="F276" s="684">
        <f>(F259-F264)*F271</f>
        <v>58735.410820879515</v>
      </c>
      <c r="G276" s="684">
        <f>(G259-G264)*G271</f>
        <v>36044.756976182529</v>
      </c>
      <c r="H276" s="684">
        <f>(H259-H264)*H271</f>
        <v>97939.457640580877</v>
      </c>
      <c r="I276" s="684">
        <f>(I259-I264)*I271</f>
        <v>97939.457640580877</v>
      </c>
      <c r="J276" s="684">
        <f>(J259-J264)*J271</f>
        <v>97939.457640580877</v>
      </c>
      <c r="K276" s="684">
        <f>(K259-K264)*K271</f>
        <v>39272.367807991468</v>
      </c>
      <c r="L276" s="684">
        <f>(L259-L264)*L271</f>
        <v>48406.065836683476</v>
      </c>
      <c r="M276" s="684">
        <f>(M259-M264)*M271</f>
        <v>3111.5897213631283</v>
      </c>
      <c r="N276" s="347"/>
      <c r="O276" s="1200"/>
      <c r="P276" s="1111"/>
      <c r="R276" s="300"/>
      <c r="S276" s="300"/>
      <c r="T276" s="300"/>
      <c r="U276" s="300"/>
      <c r="V276" s="300"/>
      <c r="W276" s="300"/>
      <c r="X276" s="300"/>
      <c r="Y276" s="300"/>
      <c r="Z276" s="300"/>
      <c r="AA276" s="300"/>
      <c r="AB276" s="300"/>
    </row>
    <row r="277" spans="1:34">
      <c r="B277" s="1158" t="s">
        <v>678</v>
      </c>
      <c r="C277" s="304"/>
      <c r="D277" s="1245"/>
      <c r="E277" s="1206"/>
      <c r="F277" s="450"/>
      <c r="G277" s="450"/>
      <c r="H277" s="450"/>
      <c r="I277" s="1212"/>
      <c r="J277" s="304"/>
      <c r="K277" s="304"/>
      <c r="L277" s="304"/>
      <c r="M277" s="1209"/>
      <c r="N277" s="450"/>
      <c r="O277" s="1200"/>
      <c r="P277" s="1111"/>
      <c r="R277" s="300"/>
      <c r="S277" s="300"/>
      <c r="T277" s="300"/>
      <c r="U277" s="300"/>
      <c r="V277" s="300"/>
      <c r="W277" s="300"/>
      <c r="X277" s="300"/>
      <c r="Y277" s="300"/>
      <c r="Z277" s="300"/>
      <c r="AA277" s="300"/>
      <c r="AB277" s="300"/>
    </row>
    <row r="278" spans="1:34" ht="12" thickBot="1">
      <c r="B278" s="1213" t="s">
        <v>170</v>
      </c>
      <c r="C278" s="1214" t="s">
        <v>154</v>
      </c>
      <c r="D278" s="1215">
        <f>D276-D277</f>
        <v>540113.98207129072</v>
      </c>
      <c r="E278" s="1216"/>
      <c r="F278" s="1217"/>
      <c r="G278" s="1217"/>
      <c r="H278" s="1217"/>
      <c r="I278" s="1218"/>
      <c r="J278" s="1214"/>
      <c r="K278" s="1214"/>
      <c r="L278" s="1214"/>
      <c r="M278" s="1216"/>
      <c r="N278" s="1217"/>
      <c r="O278" s="1200"/>
      <c r="P278" s="1111"/>
      <c r="R278" s="300"/>
      <c r="S278" s="300"/>
      <c r="T278" s="300"/>
      <c r="U278" s="300"/>
      <c r="V278" s="300"/>
      <c r="W278" s="300"/>
      <c r="X278" s="300"/>
      <c r="Y278" s="300"/>
      <c r="Z278" s="300"/>
      <c r="AA278" s="300"/>
      <c r="AB278" s="300"/>
    </row>
    <row r="279" spans="1:34">
      <c r="B279" s="1227" t="s">
        <v>688</v>
      </c>
      <c r="C279" s="1228"/>
      <c r="D279" s="1059"/>
      <c r="E279" s="1256">
        <f>IF(E242="","",IF(E266,"",IF(E243="[retail]",E271/(SUMIFS($E$271:$XN$271,$E$266:$XN$266,FALSE,$E$243:$XN$243,"[retail]")),E271/SUMIFS($E$271:$XN$271,$E$243:$XN$243,"[wholesale]"))))</f>
        <v>0.11114898632405894</v>
      </c>
      <c r="F279" s="1256">
        <f>IF(F242="","",IF(F266,"",IF(F243="[retail]",F271/(SUMIFS($E$271:$XN$271,$E$266:$XN$266,FALSE,$E$243:$XN$243,"[retail]")),F271/SUMIFS($E$271:$XN$271,$E$243:$XN$243,"[wholesale]"))))</f>
        <v>0.10750656958054788</v>
      </c>
      <c r="G279" s="1256">
        <f>IF(G242="","",IF(G266,"",IF(G243="[retail]",G271/(SUMIFS($E$271:$XN$271,$E$266:$XN$266,FALSE,$E$243:$XN$243,"[retail]")),G271/SUMIFS($E$271:$XN$271,$E$243:$XN$243,"[wholesale]"))))</f>
        <v>8.5378958875530986E-2</v>
      </c>
      <c r="H279" s="1256">
        <f>IF(H242="","",IF(H266,"",IF(H243="[retail]",H271/(SUMIFS($E$271:$XN$271,$E$266:$XN$266,FALSE,$E$243:$XN$243,"[retail]")),H271/SUMIFS($E$271:$XN$271,$E$243:$XN$243,"[wholesale]"))))</f>
        <v>0.23198849507328745</v>
      </c>
      <c r="I279" s="1256">
        <f>IF(I242="","",IF(I266,"",IF(I243="[retail]",I271/(SUMIFS($E$271:$XN$271,$E$266:$XN$266,FALSE,$E$243:$XN$243,"[retail]")),I271/SUMIFS($E$271:$XN$271,$E$243:$XN$243,"[wholesale]"))))</f>
        <v>0.23198849507328745</v>
      </c>
      <c r="J279" s="1256">
        <f>IF(J242="","",IF(J266,"",IF(J243="[retail]",J271/(SUMIFS($E$271:$XN$271,$E$266:$XN$266,FALSE,$E$243:$XN$243,"[retail]")),J271/SUMIFS($E$271:$XN$271,$E$243:$XN$243,"[wholesale]"))))</f>
        <v>0.23198849507328745</v>
      </c>
      <c r="K279" s="1256">
        <f>IF(K242="","",IF(K266,"",IF(K243="[retail]",K271/(SUMIFS($E$271:$XN$271,$E$266:$XN$266,FALSE,$E$243:$XN$243,"[retail]")),K271/SUMIFS($E$271:$XN$271,$E$243:$XN$243,"[wholesale]"))))</f>
        <v>0.46502941579719559</v>
      </c>
      <c r="L279" s="1256">
        <f>IF(L242="","",IF(L266,"",IF(L243="[retail]",L271/(SUMIFS($E$271:$XN$271,$E$266:$XN$266,FALSE,$E$243:$XN$243,"[retail]")),L271/SUMIFS($E$271:$XN$271,$E$243:$XN$243,"[wholesale]"))))</f>
        <v>0.5349705842028043</v>
      </c>
      <c r="M279" s="1256" t="str">
        <f>IF(M242="","",IF(M266,"",IF(M243="[retail]",M271/(SUMIFS($E$271:$XN$271,$E$266:$XN$266,FALSE,$E$243:$XN$243,"[retail]")),M271/SUMIFS($E$271:$XN$271,$E$243:$XN$243,"[wholesale]"))))</f>
        <v/>
      </c>
      <c r="N279" s="1256"/>
      <c r="O279" s="1256"/>
      <c r="P279" s="1256"/>
      <c r="Q279" s="1256"/>
      <c r="R279" s="1256"/>
      <c r="S279" s="1256"/>
      <c r="T279" s="1256"/>
      <c r="U279" s="1256"/>
      <c r="V279" s="1256"/>
      <c r="W279" s="1256"/>
      <c r="X279" s="1256"/>
      <c r="Y279" s="1256"/>
      <c r="Z279" s="1256"/>
      <c r="AA279" s="300"/>
      <c r="AB279" s="300"/>
    </row>
    <row r="280" spans="1:34">
      <c r="B280" s="1227"/>
      <c r="C280" s="1228"/>
      <c r="D280" s="1059"/>
      <c r="E280" s="300"/>
      <c r="F280" s="300"/>
      <c r="G280" s="300"/>
      <c r="H280" s="300"/>
      <c r="I280" s="1229"/>
      <c r="J280" s="300"/>
      <c r="K280" s="300"/>
      <c r="M280" s="300"/>
      <c r="N280" s="300"/>
      <c r="R280" s="300"/>
      <c r="S280" s="300"/>
      <c r="T280" s="300"/>
      <c r="U280" s="300"/>
      <c r="V280" s="300"/>
      <c r="W280" s="300"/>
      <c r="X280" s="300"/>
      <c r="Y280" s="300"/>
      <c r="Z280" s="300"/>
      <c r="AA280" s="300"/>
      <c r="AB280" s="300"/>
    </row>
    <row r="281" spans="1:34">
      <c r="B281" s="1227"/>
      <c r="C281" s="1228"/>
      <c r="D281" s="1059"/>
      <c r="E281" s="1231"/>
      <c r="F281" s="300"/>
      <c r="G281" s="300"/>
      <c r="H281" s="300"/>
      <c r="I281" s="1229"/>
      <c r="J281" s="300"/>
      <c r="K281" s="300"/>
      <c r="M281" s="300"/>
      <c r="N281" s="300"/>
      <c r="R281" s="300"/>
      <c r="S281" s="300"/>
      <c r="T281" s="300"/>
      <c r="U281" s="300"/>
      <c r="V281" s="300"/>
      <c r="W281" s="300"/>
      <c r="X281" s="300"/>
      <c r="Y281" s="300"/>
      <c r="Z281" s="300"/>
      <c r="AA281" s="300"/>
      <c r="AB281" s="300"/>
    </row>
    <row r="282" spans="1:34">
      <c r="B282" s="1227"/>
      <c r="C282" s="1228"/>
      <c r="D282" s="1059"/>
      <c r="E282" s="300"/>
      <c r="F282" s="300"/>
      <c r="G282" s="300"/>
      <c r="H282" s="300"/>
      <c r="I282" s="1229"/>
      <c r="J282" s="300"/>
      <c r="K282" s="300"/>
      <c r="M282" s="300"/>
      <c r="N282" s="300"/>
      <c r="R282" s="300"/>
      <c r="S282" s="300"/>
      <c r="T282" s="300"/>
      <c r="U282" s="300"/>
      <c r="V282" s="300"/>
      <c r="W282" s="300"/>
      <c r="X282" s="300"/>
      <c r="Y282" s="300"/>
      <c r="Z282" s="300"/>
      <c r="AA282" s="300"/>
      <c r="AB282" s="300"/>
    </row>
    <row r="283" spans="1:34" ht="15.75">
      <c r="A283" s="772">
        <v>5</v>
      </c>
      <c r="B283" s="773" t="s">
        <v>698</v>
      </c>
      <c r="C283" s="773"/>
      <c r="D283" s="773"/>
      <c r="E283" s="300"/>
      <c r="F283" s="300"/>
      <c r="G283" s="300"/>
      <c r="H283" s="300"/>
      <c r="I283" s="300"/>
      <c r="J283" s="300"/>
      <c r="K283" s="300"/>
      <c r="M283" s="300"/>
      <c r="N283" s="300"/>
      <c r="R283" s="300"/>
      <c r="S283" s="300"/>
      <c r="T283" s="300"/>
      <c r="U283" s="300"/>
      <c r="V283" s="300"/>
      <c r="W283" s="300"/>
      <c r="X283" s="300"/>
      <c r="Y283" s="300"/>
      <c r="Z283" s="300"/>
      <c r="AA283" s="300"/>
      <c r="AB283" s="300"/>
    </row>
    <row r="284" spans="1:34">
      <c r="B284" s="300"/>
      <c r="C284" s="300"/>
      <c r="D284" s="300"/>
      <c r="E284" s="300"/>
      <c r="F284" s="300"/>
      <c r="G284" s="300"/>
      <c r="H284" s="300"/>
      <c r="J284" s="300"/>
      <c r="K284" s="300"/>
      <c r="M284" s="300"/>
      <c r="N284" s="300"/>
      <c r="R284" s="300"/>
      <c r="S284" s="300"/>
      <c r="T284" s="300"/>
      <c r="U284" s="300"/>
      <c r="V284" s="300"/>
      <c r="W284" s="300"/>
      <c r="X284" s="300"/>
      <c r="Y284" s="300"/>
      <c r="Z284" s="300"/>
      <c r="AA284" s="300"/>
      <c r="AB284" s="300"/>
    </row>
    <row r="285" spans="1:34">
      <c r="B285" s="300"/>
      <c r="C285" s="300"/>
      <c r="D285" s="300"/>
      <c r="E285" s="300"/>
      <c r="F285" s="300"/>
      <c r="G285" s="300"/>
      <c r="H285" s="300"/>
      <c r="I285" s="362" t="str">
        <f>"Cycle used for MCS:  "&amp;MCSCycleCurrent&amp;"       Total iterations:  "&amp;MCSRun&amp;"       Current Interaction:  "&amp;MCSInt</f>
        <v>Cycle used for MCS:         Total iterations:  100       Current Interaction:  0</v>
      </c>
      <c r="J285" s="300"/>
      <c r="K285" s="300"/>
      <c r="M285" s="300"/>
      <c r="N285" s="300"/>
      <c r="R285" s="300"/>
      <c r="S285" s="300"/>
      <c r="T285" s="300"/>
      <c r="U285" s="300"/>
      <c r="V285" s="300"/>
      <c r="W285" s="300"/>
      <c r="X285" s="300"/>
      <c r="Y285" s="300"/>
      <c r="Z285" s="300"/>
      <c r="AA285" s="300"/>
      <c r="AB285" s="300"/>
    </row>
    <row r="286" spans="1:34">
      <c r="B286" s="300"/>
      <c r="C286" s="300"/>
      <c r="D286" s="300"/>
      <c r="E286" s="300"/>
      <c r="F286" s="300"/>
      <c r="G286" s="300"/>
      <c r="H286" s="300"/>
      <c r="I286" s="300"/>
      <c r="J286" s="300"/>
      <c r="K286" s="300"/>
      <c r="M286" s="300"/>
      <c r="N286" s="300"/>
      <c r="R286" s="300"/>
      <c r="S286" s="300"/>
      <c r="T286" s="300"/>
      <c r="U286" s="300"/>
      <c r="V286" s="300"/>
      <c r="W286" s="300"/>
      <c r="X286" s="300"/>
      <c r="Y286" s="300"/>
      <c r="Z286" s="300"/>
      <c r="AA286" s="300"/>
      <c r="AB286" s="300"/>
      <c r="AC286" s="1230"/>
      <c r="AD286" s="1230"/>
      <c r="AE286" s="1230"/>
      <c r="AF286" s="1230"/>
      <c r="AG286" s="1230"/>
      <c r="AH286" s="1230"/>
    </row>
    <row r="287" spans="1:34" s="1231" customFormat="1" ht="15" customHeight="1">
      <c r="A287" s="497"/>
      <c r="B287" s="300"/>
      <c r="C287" s="300"/>
      <c r="D287" s="300"/>
      <c r="E287" s="300"/>
      <c r="F287" s="300"/>
      <c r="G287" s="300"/>
      <c r="H287" s="300"/>
      <c r="I287" s="1478" t="s">
        <v>153</v>
      </c>
      <c r="J287" s="1478"/>
      <c r="K287" s="1001">
        <f>MCSCycleCurrent</f>
        <v>0</v>
      </c>
      <c r="L287" s="1258"/>
      <c r="M287" s="1258"/>
      <c r="N287" s="1258"/>
      <c r="O287" s="1258"/>
      <c r="P287" s="1258"/>
      <c r="Q287" s="1258"/>
      <c r="R287" s="1258"/>
      <c r="S287" s="1258"/>
      <c r="T287" s="1258"/>
      <c r="U287" s="1258"/>
    </row>
    <row r="288" spans="1:34" s="1228" customFormat="1" ht="15" customHeight="1">
      <c r="A288" s="497"/>
      <c r="B288" s="300"/>
      <c r="C288" s="300"/>
      <c r="D288" s="300"/>
      <c r="E288" s="300"/>
      <c r="F288" s="300"/>
      <c r="G288" s="300"/>
      <c r="H288" s="300"/>
      <c r="I288" s="1478" t="s">
        <v>715</v>
      </c>
      <c r="J288" s="1478"/>
      <c r="K288" s="1273"/>
      <c r="L288" s="1273"/>
      <c r="M288" s="1273"/>
      <c r="N288" s="1273"/>
      <c r="O288" s="1273"/>
      <c r="P288" s="1273"/>
      <c r="Q288" s="1273"/>
      <c r="R288" s="1273"/>
      <c r="S288" s="1273"/>
      <c r="T288" s="1273"/>
      <c r="U288" s="1273"/>
    </row>
    <row r="289" spans="1:34" s="1232" customFormat="1" ht="15" customHeight="1">
      <c r="A289" s="497"/>
      <c r="B289" s="300"/>
      <c r="C289" s="300"/>
      <c r="D289" s="300"/>
      <c r="E289" s="300"/>
      <c r="F289" s="300"/>
      <c r="G289" s="300"/>
      <c r="H289" s="300"/>
      <c r="I289" s="1478" t="s">
        <v>617</v>
      </c>
      <c r="J289" s="1478"/>
      <c r="K289" s="1272"/>
      <c r="L289" s="1272"/>
      <c r="M289" s="1272"/>
      <c r="N289" s="1272"/>
      <c r="O289" s="1272"/>
      <c r="P289" s="1272"/>
      <c r="Q289" s="1272"/>
      <c r="R289" s="1272"/>
      <c r="S289" s="1272"/>
      <c r="T289" s="1272"/>
      <c r="U289" s="1272"/>
    </row>
    <row r="290" spans="1:34" ht="15" customHeight="1">
      <c r="B290" s="300"/>
      <c r="C290" s="300"/>
      <c r="D290" s="300"/>
      <c r="E290" s="300"/>
      <c r="F290" s="300"/>
      <c r="G290" s="300"/>
      <c r="H290" s="300"/>
      <c r="I290" s="1478" t="s">
        <v>693</v>
      </c>
      <c r="J290" s="1478"/>
      <c r="K290" s="1274"/>
      <c r="L290" s="1273"/>
      <c r="M290" s="1273"/>
      <c r="N290" s="1273"/>
      <c r="O290" s="1273"/>
      <c r="P290" s="1273"/>
      <c r="Q290" s="1273"/>
      <c r="R290" s="1273"/>
      <c r="S290" s="1273"/>
      <c r="T290" s="1273"/>
      <c r="U290" s="1273"/>
      <c r="V290" s="300"/>
      <c r="W290" s="300"/>
      <c r="X290" s="300"/>
      <c r="Y290" s="300"/>
      <c r="Z290" s="300"/>
      <c r="AA290" s="300"/>
      <c r="AB290" s="300"/>
      <c r="AC290" s="1230"/>
      <c r="AD290" s="1230"/>
      <c r="AE290" s="1230"/>
      <c r="AF290" s="1230"/>
      <c r="AG290" s="1230"/>
      <c r="AH290" s="1230"/>
    </row>
    <row r="291" spans="1:34">
      <c r="B291" s="300"/>
      <c r="C291" s="300"/>
      <c r="D291" s="300"/>
      <c r="E291" s="300"/>
      <c r="F291" s="300"/>
      <c r="G291" s="300"/>
      <c r="H291" s="300"/>
      <c r="I291" s="300"/>
      <c r="J291" s="300"/>
      <c r="K291" s="1273"/>
      <c r="L291" s="1273"/>
      <c r="M291" s="1273"/>
      <c r="N291" s="1273"/>
      <c r="O291" s="1273"/>
      <c r="P291" s="1273"/>
      <c r="Q291" s="1273"/>
      <c r="R291" s="1273"/>
      <c r="S291" s="1273"/>
      <c r="T291" s="1273"/>
      <c r="U291" s="1273"/>
      <c r="V291" s="300"/>
      <c r="W291" s="300"/>
      <c r="X291" s="300"/>
      <c r="Y291" s="300"/>
      <c r="Z291" s="300"/>
      <c r="AA291" s="300"/>
      <c r="AB291" s="300"/>
      <c r="AC291" s="1230"/>
      <c r="AD291" s="1230"/>
      <c r="AE291" s="1230"/>
      <c r="AF291" s="1230"/>
      <c r="AG291" s="1230"/>
      <c r="AH291" s="1230"/>
    </row>
    <row r="292" spans="1:34">
      <c r="B292" s="300"/>
      <c r="C292" s="300"/>
      <c r="D292" s="300"/>
      <c r="E292" s="300"/>
      <c r="F292" s="300"/>
      <c r="G292" s="300"/>
      <c r="H292" s="300"/>
      <c r="I292" s="300"/>
      <c r="J292" s="300"/>
      <c r="K292" s="1273"/>
      <c r="L292" s="1273"/>
      <c r="M292" s="1273"/>
      <c r="N292" s="1273"/>
      <c r="O292" s="1273"/>
      <c r="P292" s="1273"/>
      <c r="Q292" s="1273"/>
      <c r="R292" s="1273"/>
      <c r="S292" s="1273"/>
      <c r="T292" s="1273"/>
      <c r="U292" s="1273"/>
      <c r="V292" s="300"/>
      <c r="W292" s="300"/>
      <c r="X292" s="300"/>
      <c r="Y292" s="300"/>
      <c r="Z292" s="300"/>
      <c r="AA292" s="300"/>
      <c r="AB292" s="300"/>
      <c r="AC292" s="1230"/>
      <c r="AD292" s="1230"/>
      <c r="AE292" s="1230"/>
      <c r="AF292" s="1230"/>
      <c r="AG292" s="1230"/>
      <c r="AH292" s="1230"/>
    </row>
    <row r="293" spans="1:34">
      <c r="B293" s="300"/>
      <c r="C293" s="300"/>
      <c r="D293" s="300"/>
      <c r="E293" s="300"/>
      <c r="F293" s="300"/>
      <c r="G293" s="300"/>
      <c r="H293" s="300"/>
      <c r="I293" s="300"/>
      <c r="J293" s="300"/>
      <c r="K293" s="1273"/>
      <c r="L293" s="1273"/>
      <c r="M293" s="1273"/>
      <c r="N293" s="1273"/>
      <c r="O293" s="1273"/>
      <c r="P293" s="1273"/>
      <c r="Q293" s="1273"/>
      <c r="R293" s="1273"/>
      <c r="S293" s="1273"/>
      <c r="T293" s="1273"/>
      <c r="U293" s="1273"/>
      <c r="V293" s="300"/>
      <c r="W293" s="300"/>
      <c r="X293" s="300"/>
      <c r="Y293" s="300"/>
      <c r="Z293" s="300"/>
      <c r="AA293" s="300"/>
      <c r="AB293" s="300"/>
      <c r="AC293" s="1230"/>
      <c r="AD293" s="1230"/>
      <c r="AE293" s="1230"/>
      <c r="AF293" s="1230"/>
      <c r="AG293" s="1230"/>
      <c r="AH293" s="1230"/>
    </row>
    <row r="294" spans="1:34">
      <c r="B294" s="300"/>
      <c r="C294" s="300"/>
      <c r="D294" s="300"/>
      <c r="E294" s="300"/>
      <c r="F294" s="300"/>
      <c r="G294" s="300"/>
      <c r="H294" s="300"/>
      <c r="I294" s="300"/>
      <c r="J294" s="300"/>
      <c r="K294" s="1273"/>
      <c r="L294" s="1273"/>
      <c r="M294" s="1273"/>
      <c r="N294" s="1273"/>
      <c r="O294" s="1273"/>
      <c r="P294" s="1273"/>
      <c r="Q294" s="1273"/>
      <c r="R294" s="1273"/>
      <c r="S294" s="1273"/>
      <c r="T294" s="1273"/>
      <c r="U294" s="1273"/>
      <c r="V294" s="300"/>
      <c r="W294" s="300"/>
      <c r="X294" s="300"/>
      <c r="Y294" s="300"/>
      <c r="Z294" s="300"/>
      <c r="AA294" s="300"/>
      <c r="AB294" s="300"/>
      <c r="AC294" s="1230"/>
      <c r="AD294" s="1230"/>
      <c r="AE294" s="1230"/>
      <c r="AF294" s="1230"/>
      <c r="AG294" s="1230"/>
      <c r="AH294" s="1230"/>
    </row>
    <row r="295" spans="1:34">
      <c r="B295" s="300"/>
      <c r="C295" s="300"/>
      <c r="D295" s="300"/>
      <c r="E295" s="300"/>
      <c r="F295" s="300"/>
      <c r="G295" s="300"/>
      <c r="H295" s="300"/>
      <c r="I295" s="300"/>
      <c r="J295" s="300"/>
      <c r="K295" s="1273"/>
      <c r="L295" s="1273"/>
      <c r="M295" s="1273"/>
      <c r="N295" s="1273"/>
      <c r="O295" s="1273"/>
      <c r="P295" s="1273"/>
      <c r="Q295" s="1273"/>
      <c r="R295" s="1273"/>
      <c r="S295" s="1273"/>
      <c r="T295" s="1273"/>
      <c r="U295" s="1273"/>
      <c r="V295" s="300"/>
      <c r="W295" s="300"/>
      <c r="X295" s="300"/>
      <c r="Y295" s="300"/>
      <c r="Z295" s="300"/>
      <c r="AA295" s="300"/>
      <c r="AB295" s="300"/>
      <c r="AC295" s="1230"/>
      <c r="AD295" s="1230"/>
      <c r="AE295" s="1230"/>
      <c r="AF295" s="1230"/>
      <c r="AG295" s="1230"/>
      <c r="AH295" s="1230"/>
    </row>
    <row r="296" spans="1:34">
      <c r="B296" s="300"/>
      <c r="C296" s="300"/>
      <c r="D296" s="300"/>
      <c r="E296" s="300"/>
      <c r="F296" s="300"/>
      <c r="G296" s="300"/>
      <c r="H296" s="300"/>
      <c r="I296" s="300"/>
      <c r="J296" s="300"/>
      <c r="K296" s="1273"/>
      <c r="L296" s="1273"/>
      <c r="M296" s="1273"/>
      <c r="N296" s="1273"/>
      <c r="O296" s="1273"/>
      <c r="P296" s="1273"/>
      <c r="Q296" s="1273"/>
      <c r="R296" s="1273"/>
      <c r="S296" s="1273"/>
      <c r="T296" s="1273"/>
      <c r="U296" s="1273"/>
      <c r="V296" s="300"/>
      <c r="W296" s="300"/>
      <c r="X296" s="300"/>
      <c r="Y296" s="300"/>
      <c r="Z296" s="300"/>
      <c r="AA296" s="300"/>
      <c r="AB296" s="300"/>
      <c r="AC296" s="1230"/>
      <c r="AD296" s="1230"/>
      <c r="AE296" s="1230"/>
      <c r="AF296" s="1230"/>
      <c r="AG296" s="1230"/>
      <c r="AH296" s="1230"/>
    </row>
    <row r="297" spans="1:34">
      <c r="B297" s="300"/>
      <c r="C297" s="300"/>
      <c r="D297" s="300"/>
      <c r="E297" s="300"/>
      <c r="F297" s="300"/>
      <c r="G297" s="300"/>
      <c r="H297" s="300"/>
      <c r="I297" s="300"/>
      <c r="J297" s="300"/>
      <c r="K297" s="1273"/>
      <c r="L297" s="1273"/>
      <c r="M297" s="1273"/>
      <c r="N297" s="1273"/>
      <c r="O297" s="1273"/>
      <c r="P297" s="1273"/>
      <c r="Q297" s="1273"/>
      <c r="R297" s="1273"/>
      <c r="S297" s="1273"/>
      <c r="T297" s="1273"/>
      <c r="U297" s="1273"/>
      <c r="V297" s="300"/>
      <c r="W297" s="300"/>
      <c r="X297" s="300"/>
      <c r="Y297" s="300"/>
      <c r="Z297" s="300"/>
      <c r="AA297" s="300"/>
      <c r="AB297" s="300"/>
      <c r="AC297" s="1230"/>
      <c r="AD297" s="1230"/>
      <c r="AE297" s="1230"/>
      <c r="AF297" s="1230"/>
      <c r="AG297" s="1230"/>
      <c r="AH297" s="1230"/>
    </row>
    <row r="298" spans="1:34">
      <c r="B298" s="300"/>
      <c r="C298" s="300"/>
      <c r="D298" s="300"/>
      <c r="E298" s="300"/>
      <c r="F298" s="300"/>
      <c r="G298" s="300"/>
      <c r="H298" s="300"/>
      <c r="I298" s="300"/>
      <c r="J298" s="300"/>
      <c r="K298" s="1273"/>
      <c r="L298" s="1273"/>
      <c r="M298" s="1273"/>
      <c r="N298" s="1273"/>
      <c r="O298" s="1273"/>
      <c r="P298" s="1273"/>
      <c r="Q298" s="1273"/>
      <c r="R298" s="1273"/>
      <c r="S298" s="1273"/>
      <c r="T298" s="1273"/>
      <c r="U298" s="1273"/>
      <c r="V298" s="300"/>
      <c r="W298" s="300"/>
      <c r="X298" s="300"/>
      <c r="Y298" s="300"/>
      <c r="Z298" s="300"/>
      <c r="AA298" s="300"/>
      <c r="AB298" s="300"/>
      <c r="AC298" s="1230"/>
      <c r="AD298" s="1230"/>
      <c r="AE298" s="1230"/>
      <c r="AF298" s="1230"/>
      <c r="AG298" s="1230"/>
      <c r="AH298" s="1230"/>
    </row>
    <row r="299" spans="1:34">
      <c r="B299" s="300"/>
      <c r="C299" s="300"/>
      <c r="D299" s="300"/>
      <c r="E299" s="300"/>
      <c r="F299" s="300"/>
      <c r="G299" s="300"/>
      <c r="H299" s="300"/>
      <c r="I299" s="300"/>
      <c r="J299" s="300"/>
      <c r="K299" s="1273"/>
      <c r="L299" s="1273"/>
      <c r="M299" s="1273"/>
      <c r="N299" s="1273"/>
      <c r="O299" s="1273"/>
      <c r="P299" s="1273"/>
      <c r="Q299" s="1273"/>
      <c r="R299" s="1273"/>
      <c r="S299" s="1273"/>
      <c r="T299" s="1273"/>
      <c r="U299" s="1273"/>
      <c r="V299" s="300"/>
      <c r="W299" s="300"/>
      <c r="X299" s="300"/>
      <c r="Y299" s="300"/>
      <c r="Z299" s="300"/>
      <c r="AA299" s="300"/>
      <c r="AB299" s="300"/>
      <c r="AC299" s="1230"/>
      <c r="AD299" s="1230"/>
      <c r="AE299" s="1230"/>
      <c r="AF299" s="1230"/>
      <c r="AG299" s="1230"/>
      <c r="AH299" s="1230"/>
    </row>
    <row r="300" spans="1:34">
      <c r="B300" s="300"/>
      <c r="C300" s="300"/>
      <c r="D300" s="300"/>
      <c r="E300" s="300"/>
      <c r="F300" s="300"/>
      <c r="G300" s="300"/>
      <c r="H300" s="300"/>
      <c r="I300" s="300"/>
      <c r="J300" s="300"/>
      <c r="K300" s="1273"/>
      <c r="L300" s="1273"/>
      <c r="M300" s="1273"/>
      <c r="N300" s="1273"/>
      <c r="O300" s="1273"/>
      <c r="P300" s="1273"/>
      <c r="Q300" s="1273"/>
      <c r="R300" s="1273"/>
      <c r="S300" s="1273"/>
      <c r="T300" s="1273"/>
      <c r="U300" s="1273"/>
      <c r="V300" s="300"/>
      <c r="W300" s="300"/>
      <c r="X300" s="300"/>
      <c r="Y300" s="300"/>
      <c r="Z300" s="300"/>
      <c r="AA300" s="300"/>
      <c r="AB300" s="300"/>
      <c r="AC300" s="1230"/>
      <c r="AD300" s="1230"/>
      <c r="AE300" s="1230"/>
      <c r="AF300" s="1230"/>
      <c r="AG300" s="1230"/>
      <c r="AH300" s="1230"/>
    </row>
    <row r="301" spans="1:34">
      <c r="B301" s="300"/>
      <c r="C301" s="300"/>
      <c r="D301" s="300"/>
      <c r="E301" s="300"/>
      <c r="F301" s="300"/>
      <c r="G301" s="300"/>
      <c r="H301" s="300"/>
      <c r="I301" s="300"/>
      <c r="J301" s="300"/>
      <c r="K301" s="1273"/>
      <c r="L301" s="1273"/>
      <c r="M301" s="1273"/>
      <c r="N301" s="1273"/>
      <c r="O301" s="1273"/>
      <c r="P301" s="1273"/>
      <c r="Q301" s="1273"/>
      <c r="R301" s="1273"/>
      <c r="S301" s="1273"/>
      <c r="T301" s="1273"/>
      <c r="U301" s="1273"/>
      <c r="V301" s="300"/>
      <c r="W301" s="300"/>
      <c r="X301" s="300"/>
      <c r="Y301" s="300"/>
      <c r="Z301" s="300"/>
      <c r="AA301" s="300"/>
      <c r="AB301" s="300"/>
      <c r="AC301" s="1230"/>
      <c r="AD301" s="1230"/>
      <c r="AE301" s="1230"/>
      <c r="AF301" s="1230"/>
      <c r="AG301" s="1230"/>
      <c r="AH301" s="1230"/>
    </row>
    <row r="302" spans="1:34">
      <c r="B302" s="300"/>
      <c r="C302" s="300"/>
      <c r="D302" s="300"/>
      <c r="E302" s="300"/>
      <c r="F302" s="300"/>
      <c r="G302" s="300"/>
      <c r="H302" s="300"/>
      <c r="I302" s="300"/>
      <c r="J302" s="300"/>
      <c r="K302" s="1273"/>
      <c r="L302" s="1273"/>
      <c r="M302" s="1273"/>
      <c r="N302" s="1273"/>
      <c r="O302" s="1273"/>
      <c r="P302" s="1273"/>
      <c r="Q302" s="1273"/>
      <c r="R302" s="1273"/>
      <c r="S302" s="1273"/>
      <c r="T302" s="1273"/>
      <c r="U302" s="1273"/>
      <c r="V302" s="300"/>
      <c r="W302" s="300"/>
      <c r="X302" s="300"/>
      <c r="Y302" s="300"/>
      <c r="Z302" s="300"/>
      <c r="AA302" s="300"/>
      <c r="AB302" s="300"/>
      <c r="AC302" s="1230"/>
      <c r="AD302" s="1230"/>
      <c r="AE302" s="1230"/>
      <c r="AF302" s="1230"/>
      <c r="AG302" s="1230"/>
      <c r="AH302" s="1230"/>
    </row>
    <row r="303" spans="1:34">
      <c r="B303" s="300"/>
      <c r="C303" s="300"/>
      <c r="D303" s="300"/>
      <c r="E303" s="300"/>
      <c r="F303" s="300"/>
      <c r="G303" s="300"/>
      <c r="H303" s="300"/>
      <c r="I303" s="300"/>
      <c r="J303" s="300"/>
      <c r="K303" s="1273"/>
      <c r="L303" s="1273"/>
      <c r="M303" s="1273"/>
      <c r="N303" s="1273"/>
      <c r="O303" s="1273"/>
      <c r="P303" s="1273"/>
      <c r="Q303" s="1273"/>
      <c r="R303" s="1273"/>
      <c r="S303" s="1273"/>
      <c r="T303" s="1273"/>
      <c r="U303" s="1273"/>
      <c r="V303" s="300"/>
      <c r="W303" s="300"/>
      <c r="X303" s="300"/>
      <c r="Y303" s="300"/>
      <c r="Z303" s="300"/>
      <c r="AA303" s="300"/>
      <c r="AB303" s="300"/>
      <c r="AC303" s="1230"/>
      <c r="AD303" s="1230"/>
      <c r="AE303" s="1230"/>
      <c r="AF303" s="1230"/>
      <c r="AG303" s="1230"/>
      <c r="AH303" s="1230"/>
    </row>
    <row r="304" spans="1:34">
      <c r="B304" s="300"/>
      <c r="C304" s="300"/>
      <c r="D304" s="300"/>
      <c r="E304" s="300"/>
      <c r="F304" s="300"/>
      <c r="G304" s="300"/>
      <c r="H304" s="300"/>
      <c r="I304" s="300"/>
      <c r="J304" s="300"/>
      <c r="K304" s="1273"/>
      <c r="L304" s="1273"/>
      <c r="M304" s="1273"/>
      <c r="N304" s="1273"/>
      <c r="O304" s="1273"/>
      <c r="P304" s="1273"/>
      <c r="Q304" s="1273"/>
      <c r="R304" s="1273"/>
      <c r="S304" s="1273"/>
      <c r="T304" s="1273"/>
      <c r="U304" s="1273"/>
      <c r="V304" s="300"/>
      <c r="W304" s="300"/>
      <c r="X304" s="300"/>
      <c r="Y304" s="300"/>
      <c r="Z304" s="300"/>
      <c r="AA304" s="300"/>
      <c r="AB304" s="300"/>
      <c r="AC304" s="1230"/>
      <c r="AD304" s="1230"/>
      <c r="AE304" s="1230"/>
      <c r="AF304" s="1230"/>
      <c r="AG304" s="1230"/>
      <c r="AH304" s="1230"/>
    </row>
    <row r="305" spans="1:34">
      <c r="B305" s="300"/>
      <c r="C305" s="300"/>
      <c r="D305" s="300"/>
      <c r="E305" s="300"/>
      <c r="F305" s="300"/>
      <c r="G305" s="300"/>
      <c r="H305" s="300"/>
      <c r="I305" s="300"/>
      <c r="J305" s="300"/>
      <c r="K305" s="1273"/>
      <c r="L305" s="1273"/>
      <c r="M305" s="1273"/>
      <c r="N305" s="1273"/>
      <c r="O305" s="1273"/>
      <c r="P305" s="1273"/>
      <c r="Q305" s="1273"/>
      <c r="R305" s="1273"/>
      <c r="S305" s="1273"/>
      <c r="T305" s="1273"/>
      <c r="U305" s="1273"/>
      <c r="V305" s="300"/>
      <c r="W305" s="300"/>
      <c r="X305" s="300"/>
      <c r="Y305" s="300"/>
      <c r="Z305" s="300"/>
      <c r="AA305" s="300"/>
      <c r="AB305" s="300"/>
      <c r="AC305" s="1230"/>
      <c r="AD305" s="1230"/>
      <c r="AE305" s="1230"/>
      <c r="AF305" s="1230"/>
      <c r="AG305" s="1230"/>
      <c r="AH305" s="1230"/>
    </row>
    <row r="306" spans="1:34">
      <c r="B306" s="300"/>
      <c r="C306" s="300"/>
      <c r="D306" s="300"/>
      <c r="E306" s="300"/>
      <c r="F306" s="300"/>
      <c r="G306" s="300"/>
      <c r="H306" s="300"/>
      <c r="I306" s="300"/>
      <c r="J306" s="300"/>
      <c r="K306" s="1273"/>
      <c r="L306" s="1273"/>
      <c r="M306" s="1273"/>
      <c r="N306" s="1273"/>
      <c r="O306" s="1273"/>
      <c r="P306" s="1273"/>
      <c r="Q306" s="1273"/>
      <c r="R306" s="1273"/>
      <c r="S306" s="1273"/>
      <c r="T306" s="1273"/>
      <c r="U306" s="1273"/>
      <c r="V306" s="300"/>
      <c r="W306" s="300"/>
      <c r="X306" s="300"/>
      <c r="Y306" s="300"/>
      <c r="Z306" s="300"/>
      <c r="AA306" s="300"/>
      <c r="AB306" s="300"/>
      <c r="AC306" s="1230"/>
      <c r="AD306" s="1230"/>
      <c r="AE306" s="1230"/>
      <c r="AF306" s="1230"/>
      <c r="AG306" s="1230"/>
      <c r="AH306" s="1230"/>
    </row>
    <row r="307" spans="1:34">
      <c r="B307" s="300"/>
      <c r="C307" s="300"/>
      <c r="D307" s="300"/>
      <c r="E307" s="300"/>
      <c r="F307" s="300"/>
      <c r="G307" s="300"/>
      <c r="H307" s="300"/>
      <c r="I307" s="300"/>
      <c r="J307" s="300"/>
      <c r="K307" s="1273"/>
      <c r="L307" s="1273"/>
      <c r="M307" s="1273"/>
      <c r="N307" s="1273"/>
      <c r="O307" s="1273"/>
      <c r="P307" s="1273"/>
      <c r="Q307" s="1273"/>
      <c r="R307" s="1273"/>
      <c r="S307" s="1273"/>
      <c r="T307" s="1273"/>
      <c r="U307" s="1273"/>
      <c r="V307" s="300"/>
      <c r="W307" s="300"/>
      <c r="X307" s="300"/>
      <c r="Y307" s="300"/>
      <c r="Z307" s="300"/>
      <c r="AA307" s="300"/>
      <c r="AB307" s="300"/>
      <c r="AC307" s="1230"/>
      <c r="AD307" s="1230"/>
      <c r="AE307" s="1230"/>
      <c r="AF307" s="1230"/>
      <c r="AG307" s="1230"/>
      <c r="AH307" s="1230"/>
    </row>
    <row r="308" spans="1:34">
      <c r="B308" s="300"/>
      <c r="C308" s="300"/>
      <c r="D308" s="300"/>
      <c r="E308" s="300"/>
      <c r="F308" s="300"/>
      <c r="G308" s="300"/>
      <c r="H308" s="300"/>
      <c r="I308" s="300"/>
      <c r="J308" s="300"/>
      <c r="K308" s="1273"/>
      <c r="L308" s="1273"/>
      <c r="M308" s="1273"/>
      <c r="N308" s="1273"/>
      <c r="O308" s="1273"/>
      <c r="P308" s="1273"/>
      <c r="Q308" s="1273"/>
      <c r="R308" s="1273"/>
      <c r="S308" s="1273"/>
      <c r="T308" s="1273"/>
      <c r="U308" s="1273"/>
      <c r="V308" s="300"/>
      <c r="W308" s="300"/>
      <c r="X308" s="300"/>
      <c r="Y308" s="300"/>
      <c r="Z308" s="300"/>
      <c r="AA308" s="300"/>
      <c r="AB308" s="300"/>
      <c r="AC308" s="1230"/>
      <c r="AD308" s="1230"/>
      <c r="AE308" s="1230"/>
      <c r="AF308" s="1230"/>
      <c r="AG308" s="1230"/>
      <c r="AH308" s="1230"/>
    </row>
    <row r="309" spans="1:34">
      <c r="B309" s="300"/>
      <c r="C309" s="300"/>
      <c r="D309" s="300"/>
      <c r="E309" s="300"/>
      <c r="F309" s="300"/>
      <c r="G309" s="300"/>
      <c r="H309" s="300"/>
      <c r="I309" s="300"/>
      <c r="J309" s="300"/>
      <c r="K309" s="1273"/>
      <c r="L309" s="1273"/>
      <c r="M309" s="1273"/>
      <c r="N309" s="1273"/>
      <c r="O309" s="1273"/>
      <c r="P309" s="1273"/>
      <c r="Q309" s="1273"/>
      <c r="R309" s="1273"/>
      <c r="S309" s="1273"/>
      <c r="T309" s="1273"/>
      <c r="U309" s="1273"/>
      <c r="V309" s="300"/>
      <c r="W309" s="300"/>
      <c r="X309" s="300"/>
      <c r="Y309" s="300"/>
      <c r="Z309" s="300"/>
      <c r="AA309" s="300"/>
      <c r="AB309" s="300"/>
      <c r="AC309" s="1230"/>
      <c r="AD309" s="1230"/>
      <c r="AE309" s="1230"/>
      <c r="AF309" s="1230"/>
      <c r="AG309" s="1230"/>
      <c r="AH309" s="1230"/>
    </row>
    <row r="310" spans="1:34">
      <c r="B310" s="300"/>
      <c r="C310" s="300"/>
      <c r="D310" s="300"/>
      <c r="E310" s="300"/>
      <c r="F310" s="300"/>
      <c r="G310" s="300"/>
      <c r="H310" s="300"/>
      <c r="I310" s="300"/>
      <c r="J310" s="300"/>
      <c r="K310" s="1273"/>
      <c r="L310" s="1273"/>
      <c r="M310" s="1273"/>
      <c r="N310" s="1273"/>
      <c r="O310" s="1273"/>
      <c r="P310" s="1273"/>
      <c r="Q310" s="1273"/>
      <c r="R310" s="1273"/>
      <c r="S310" s="1273"/>
      <c r="T310" s="1273"/>
      <c r="U310" s="1273"/>
      <c r="V310" s="300"/>
      <c r="W310" s="300"/>
      <c r="X310" s="300"/>
      <c r="Y310" s="300"/>
      <c r="Z310" s="300"/>
      <c r="AA310" s="300"/>
      <c r="AB310" s="300"/>
      <c r="AC310" s="1230"/>
      <c r="AD310" s="1230"/>
      <c r="AE310" s="1230"/>
      <c r="AF310" s="1230"/>
      <c r="AG310" s="1230"/>
      <c r="AH310" s="1230"/>
    </row>
    <row r="311" spans="1:34" s="1231" customFormat="1" ht="15" customHeight="1">
      <c r="A311" s="497"/>
      <c r="B311" s="300"/>
      <c r="C311" s="300"/>
      <c r="D311" s="300"/>
      <c r="E311" s="300"/>
      <c r="F311" s="300"/>
      <c r="G311" s="300"/>
      <c r="H311" s="300"/>
      <c r="I311" s="1478" t="s">
        <v>153</v>
      </c>
      <c r="J311" s="1478"/>
      <c r="K311" s="1273"/>
      <c r="L311" s="1273"/>
      <c r="M311" s="1273"/>
      <c r="N311" s="1273"/>
      <c r="O311" s="1273"/>
      <c r="P311" s="1273"/>
      <c r="Q311" s="1273"/>
      <c r="R311" s="1273"/>
      <c r="S311" s="1273"/>
      <c r="T311" s="1273"/>
      <c r="U311" s="1273"/>
    </row>
    <row r="312" spans="1:34" s="1228" customFormat="1" ht="15" customHeight="1">
      <c r="A312" s="497"/>
      <c r="B312" s="300"/>
      <c r="C312" s="300"/>
      <c r="D312" s="300"/>
      <c r="E312" s="300"/>
      <c r="F312" s="300"/>
      <c r="G312" s="300"/>
      <c r="H312" s="300"/>
      <c r="I312" s="1478" t="s">
        <v>715</v>
      </c>
      <c r="J312" s="1478"/>
      <c r="K312" s="1273"/>
      <c r="L312" s="1273"/>
      <c r="M312" s="1273"/>
      <c r="N312" s="1273"/>
      <c r="O312" s="1273"/>
      <c r="P312" s="1273"/>
      <c r="Q312" s="1273"/>
      <c r="R312" s="1273"/>
      <c r="S312" s="1273"/>
      <c r="T312" s="1273"/>
      <c r="U312" s="1273"/>
    </row>
    <row r="313" spans="1:34" s="1232" customFormat="1" ht="15" customHeight="1">
      <c r="A313" s="497"/>
      <c r="B313" s="300"/>
      <c r="C313" s="300"/>
      <c r="D313" s="300"/>
      <c r="E313" s="300"/>
      <c r="F313" s="300"/>
      <c r="G313" s="300"/>
      <c r="H313" s="300"/>
      <c r="I313" s="1478" t="s">
        <v>617</v>
      </c>
      <c r="J313" s="1478"/>
    </row>
    <row r="314" spans="1:34">
      <c r="B314" s="300"/>
      <c r="C314" s="300"/>
      <c r="D314" s="300"/>
      <c r="E314" s="300"/>
      <c r="F314" s="300"/>
      <c r="G314" s="300"/>
      <c r="H314" s="300"/>
      <c r="I314" s="1478" t="s">
        <v>693</v>
      </c>
      <c r="J314" s="1478"/>
      <c r="K314" s="1274"/>
      <c r="L314" s="1273"/>
      <c r="M314" s="1273"/>
      <c r="N314" s="1273"/>
      <c r="O314" s="1273"/>
      <c r="P314" s="1273"/>
      <c r="Q314" s="1273"/>
      <c r="R314" s="1273"/>
      <c r="S314" s="1273"/>
      <c r="T314" s="1273"/>
      <c r="U314" s="1273"/>
      <c r="V314" s="300"/>
      <c r="W314" s="300"/>
      <c r="X314" s="300"/>
      <c r="Y314" s="300"/>
      <c r="Z314" s="300"/>
      <c r="AA314" s="300"/>
      <c r="AB314" s="300"/>
      <c r="AC314" s="1230"/>
      <c r="AD314" s="1230"/>
      <c r="AE314" s="1230"/>
      <c r="AF314" s="1230"/>
      <c r="AG314" s="1230"/>
      <c r="AH314" s="1230"/>
    </row>
    <row r="315" spans="1:34">
      <c r="B315" s="300"/>
      <c r="C315" s="300"/>
      <c r="D315" s="300"/>
      <c r="E315" s="300"/>
      <c r="F315" s="300"/>
      <c r="G315" s="300"/>
      <c r="H315" s="300"/>
      <c r="I315" s="300"/>
      <c r="J315" s="300"/>
      <c r="K315" s="1273"/>
      <c r="L315" s="1273"/>
      <c r="M315" s="1273"/>
      <c r="N315" s="1273"/>
      <c r="O315" s="1273"/>
      <c r="P315" s="1273"/>
      <c r="Q315" s="1273"/>
      <c r="R315" s="1273"/>
      <c r="S315" s="1273"/>
      <c r="T315" s="1273"/>
      <c r="U315" s="1273"/>
      <c r="V315" s="300"/>
      <c r="W315" s="300"/>
      <c r="X315" s="300"/>
      <c r="Y315" s="300"/>
      <c r="Z315" s="300"/>
      <c r="AA315" s="300"/>
      <c r="AB315" s="300"/>
      <c r="AC315" s="1230"/>
      <c r="AD315" s="1230"/>
      <c r="AE315" s="1230"/>
      <c r="AF315" s="1230"/>
      <c r="AG315" s="1230"/>
      <c r="AH315" s="1230"/>
    </row>
    <row r="316" spans="1:34">
      <c r="B316" s="300"/>
      <c r="C316" s="300"/>
      <c r="D316" s="300"/>
      <c r="E316" s="300"/>
      <c r="F316" s="300"/>
      <c r="G316" s="300"/>
      <c r="H316" s="300"/>
      <c r="I316" s="300"/>
      <c r="J316" s="300"/>
      <c r="K316" s="1273"/>
      <c r="L316" s="1273"/>
      <c r="M316" s="1273"/>
      <c r="N316" s="1273"/>
      <c r="O316" s="1273"/>
      <c r="P316" s="1273"/>
      <c r="Q316" s="1273"/>
      <c r="R316" s="1273"/>
      <c r="S316" s="1273"/>
      <c r="T316" s="1273"/>
      <c r="U316" s="1273"/>
      <c r="V316" s="300"/>
      <c r="W316" s="300"/>
      <c r="X316" s="300"/>
      <c r="Y316" s="300"/>
      <c r="Z316" s="300"/>
      <c r="AA316" s="300"/>
      <c r="AB316" s="300"/>
      <c r="AC316" s="1230"/>
      <c r="AD316" s="1230"/>
      <c r="AE316" s="1230"/>
      <c r="AF316" s="1230"/>
      <c r="AG316" s="1230"/>
      <c r="AH316" s="1230"/>
    </row>
    <row r="317" spans="1:34">
      <c r="B317" s="300"/>
      <c r="C317" s="300"/>
      <c r="D317" s="300"/>
      <c r="E317" s="300"/>
      <c r="F317" s="300"/>
      <c r="G317" s="300"/>
      <c r="H317" s="300"/>
      <c r="I317" s="300"/>
      <c r="J317" s="300"/>
      <c r="K317" s="1273"/>
      <c r="L317" s="1273"/>
      <c r="M317" s="1273"/>
      <c r="N317" s="1273"/>
      <c r="O317" s="1273"/>
      <c r="P317" s="1273"/>
      <c r="Q317" s="1273"/>
      <c r="R317" s="1273"/>
      <c r="S317" s="1273"/>
      <c r="T317" s="1273"/>
      <c r="U317" s="1273"/>
      <c r="V317" s="300"/>
      <c r="W317" s="300"/>
      <c r="X317" s="300"/>
      <c r="Y317" s="300"/>
      <c r="Z317" s="300"/>
      <c r="AA317" s="300"/>
      <c r="AB317" s="300"/>
      <c r="AC317" s="1230"/>
      <c r="AD317" s="1230"/>
      <c r="AE317" s="1230"/>
      <c r="AF317" s="1230"/>
      <c r="AG317" s="1230"/>
      <c r="AH317" s="1230"/>
    </row>
    <row r="318" spans="1:34">
      <c r="B318" s="300"/>
      <c r="C318" s="300"/>
      <c r="D318" s="300"/>
      <c r="E318" s="300"/>
      <c r="F318" s="300"/>
      <c r="G318" s="300"/>
      <c r="H318" s="300"/>
      <c r="I318" s="300"/>
      <c r="J318" s="300"/>
      <c r="K318" s="1273"/>
      <c r="L318" s="1273"/>
      <c r="M318" s="1273"/>
      <c r="N318" s="1273"/>
      <c r="O318" s="1273"/>
      <c r="P318" s="1273"/>
      <c r="Q318" s="1273"/>
      <c r="R318" s="1273"/>
      <c r="S318" s="1273"/>
      <c r="T318" s="1273"/>
      <c r="U318" s="1273"/>
      <c r="V318" s="300"/>
      <c r="W318" s="300"/>
      <c r="X318" s="300"/>
      <c r="Y318" s="300"/>
      <c r="Z318" s="300"/>
      <c r="AA318" s="300"/>
      <c r="AB318" s="300"/>
      <c r="AC318" s="1230"/>
      <c r="AD318" s="1230"/>
      <c r="AE318" s="1230"/>
      <c r="AF318" s="1230"/>
      <c r="AG318" s="1230"/>
      <c r="AH318" s="1230"/>
    </row>
    <row r="319" spans="1:34">
      <c r="B319" s="300"/>
      <c r="C319" s="300"/>
      <c r="D319" s="300"/>
      <c r="E319" s="300"/>
      <c r="F319" s="300"/>
      <c r="G319" s="300"/>
      <c r="H319" s="300"/>
      <c r="I319" s="300"/>
      <c r="J319" s="300"/>
      <c r="K319" s="1273"/>
      <c r="L319" s="1273"/>
      <c r="M319" s="1273"/>
      <c r="N319" s="1273"/>
      <c r="O319" s="1273"/>
      <c r="P319" s="1273"/>
      <c r="Q319" s="1273"/>
      <c r="R319" s="1273"/>
      <c r="S319" s="1273"/>
      <c r="T319" s="1273"/>
      <c r="U319" s="1273"/>
      <c r="V319" s="300"/>
      <c r="W319" s="300"/>
      <c r="X319" s="300"/>
      <c r="Y319" s="300"/>
      <c r="Z319" s="300"/>
      <c r="AA319" s="300"/>
      <c r="AB319" s="300"/>
      <c r="AC319" s="1230"/>
      <c r="AD319" s="1230"/>
      <c r="AE319" s="1230"/>
      <c r="AF319" s="1230"/>
      <c r="AG319" s="1230"/>
      <c r="AH319" s="1230"/>
    </row>
    <row r="320" spans="1:34">
      <c r="B320" s="300"/>
      <c r="C320" s="300"/>
      <c r="D320" s="300"/>
      <c r="E320" s="300"/>
      <c r="F320" s="300"/>
      <c r="G320" s="300"/>
      <c r="H320" s="300"/>
      <c r="I320" s="300"/>
      <c r="J320" s="300"/>
      <c r="K320" s="1273"/>
      <c r="L320" s="1273"/>
      <c r="M320" s="1273"/>
      <c r="N320" s="1273"/>
      <c r="O320" s="1273"/>
      <c r="P320" s="1273"/>
      <c r="Q320" s="1273"/>
      <c r="R320" s="1273"/>
      <c r="S320" s="1273"/>
      <c r="T320" s="1273"/>
      <c r="U320" s="1273"/>
      <c r="V320" s="300"/>
      <c r="W320" s="300"/>
      <c r="X320" s="300"/>
      <c r="Y320" s="300"/>
      <c r="Z320" s="300"/>
      <c r="AA320" s="300"/>
      <c r="AB320" s="300"/>
      <c r="AC320" s="1230"/>
      <c r="AD320" s="1230"/>
      <c r="AE320" s="1230"/>
      <c r="AF320" s="1230"/>
      <c r="AG320" s="1230"/>
      <c r="AH320" s="1230"/>
    </row>
    <row r="321" spans="1:34">
      <c r="B321" s="300"/>
      <c r="C321" s="300"/>
      <c r="D321" s="300"/>
      <c r="E321" s="300"/>
      <c r="F321" s="300"/>
      <c r="G321" s="300"/>
      <c r="H321" s="300"/>
      <c r="I321" s="300"/>
      <c r="J321" s="300"/>
      <c r="K321" s="1273"/>
      <c r="L321" s="1273"/>
      <c r="M321" s="1273"/>
      <c r="N321" s="1273"/>
      <c r="O321" s="1273"/>
      <c r="P321" s="1273"/>
      <c r="Q321" s="1273"/>
      <c r="R321" s="1273"/>
      <c r="S321" s="1273"/>
      <c r="T321" s="1273"/>
      <c r="U321" s="1273"/>
      <c r="V321" s="300"/>
      <c r="W321" s="300"/>
      <c r="X321" s="300"/>
      <c r="Y321" s="300"/>
      <c r="Z321" s="300"/>
      <c r="AA321" s="300"/>
      <c r="AB321" s="300"/>
      <c r="AC321" s="1230"/>
      <c r="AD321" s="1230"/>
      <c r="AE321" s="1230"/>
      <c r="AF321" s="1230"/>
      <c r="AG321" s="1230"/>
      <c r="AH321" s="1230"/>
    </row>
    <row r="322" spans="1:34">
      <c r="B322" s="300"/>
      <c r="C322" s="300"/>
      <c r="D322" s="300"/>
      <c r="E322" s="300"/>
      <c r="F322" s="300"/>
      <c r="G322" s="300"/>
      <c r="H322" s="300"/>
      <c r="I322" s="300"/>
      <c r="J322" s="300"/>
      <c r="K322" s="1273"/>
      <c r="L322" s="1273"/>
      <c r="M322" s="1273"/>
      <c r="N322" s="1273"/>
      <c r="O322" s="1273"/>
      <c r="P322" s="1273"/>
      <c r="Q322" s="1273"/>
      <c r="R322" s="1273"/>
      <c r="S322" s="1273"/>
      <c r="T322" s="1273"/>
      <c r="U322" s="1273"/>
      <c r="V322" s="300"/>
      <c r="W322" s="300"/>
      <c r="X322" s="300"/>
      <c r="Y322" s="300"/>
      <c r="Z322" s="300"/>
      <c r="AA322" s="300"/>
      <c r="AB322" s="300"/>
      <c r="AC322" s="1230"/>
      <c r="AD322" s="1230"/>
      <c r="AE322" s="1230"/>
      <c r="AF322" s="1230"/>
      <c r="AG322" s="1230"/>
      <c r="AH322" s="1230"/>
    </row>
    <row r="323" spans="1:34">
      <c r="B323" s="300"/>
      <c r="C323" s="300"/>
      <c r="D323" s="300"/>
      <c r="E323" s="300"/>
      <c r="F323" s="300"/>
      <c r="G323" s="300"/>
      <c r="H323" s="300"/>
      <c r="I323" s="300"/>
      <c r="J323" s="300"/>
      <c r="K323" s="1273"/>
      <c r="L323" s="1273"/>
      <c r="M323" s="1273"/>
      <c r="N323" s="1273"/>
      <c r="O323" s="1273"/>
      <c r="P323" s="1273"/>
      <c r="Q323" s="1273"/>
      <c r="R323" s="1273"/>
      <c r="S323" s="1273"/>
      <c r="T323" s="1273"/>
      <c r="U323" s="1273"/>
      <c r="V323" s="300"/>
      <c r="W323" s="300"/>
      <c r="X323" s="300"/>
      <c r="Y323" s="300"/>
      <c r="Z323" s="300"/>
      <c r="AA323" s="300"/>
      <c r="AB323" s="300"/>
      <c r="AC323" s="1230"/>
      <c r="AD323" s="1230"/>
      <c r="AE323" s="1230"/>
      <c r="AF323" s="1230"/>
      <c r="AG323" s="1230"/>
      <c r="AH323" s="1230"/>
    </row>
    <row r="324" spans="1:34">
      <c r="B324" s="300"/>
      <c r="C324" s="300"/>
      <c r="D324" s="300"/>
      <c r="E324" s="300"/>
      <c r="F324" s="300"/>
      <c r="G324" s="300"/>
      <c r="H324" s="300"/>
      <c r="I324" s="300"/>
      <c r="J324" s="300"/>
      <c r="K324" s="1273"/>
      <c r="L324" s="1273"/>
      <c r="M324" s="1273"/>
      <c r="N324" s="1273"/>
      <c r="O324" s="1273"/>
      <c r="P324" s="1273"/>
      <c r="Q324" s="1273"/>
      <c r="R324" s="1273"/>
      <c r="S324" s="1273"/>
      <c r="T324" s="1273"/>
      <c r="U324" s="1273"/>
      <c r="V324" s="300"/>
      <c r="W324" s="300"/>
      <c r="X324" s="300"/>
      <c r="Y324" s="300"/>
      <c r="Z324" s="300"/>
      <c r="AA324" s="300"/>
      <c r="AB324" s="300"/>
      <c r="AC324" s="1230"/>
      <c r="AD324" s="1230"/>
      <c r="AE324" s="1230"/>
      <c r="AF324" s="1230"/>
      <c r="AG324" s="1230"/>
      <c r="AH324" s="1230"/>
    </row>
    <row r="325" spans="1:34">
      <c r="B325" s="300"/>
      <c r="C325" s="300"/>
      <c r="D325" s="300"/>
      <c r="E325" s="300"/>
      <c r="F325" s="300"/>
      <c r="G325" s="300"/>
      <c r="H325" s="300"/>
      <c r="I325" s="300"/>
      <c r="J325" s="300"/>
      <c r="K325" s="1273"/>
      <c r="L325" s="1273"/>
      <c r="M325" s="1273"/>
      <c r="N325" s="1273"/>
      <c r="O325" s="1273"/>
      <c r="P325" s="1273"/>
      <c r="Q325" s="1273"/>
      <c r="R325" s="1273"/>
      <c r="S325" s="1273"/>
      <c r="T325" s="1273"/>
      <c r="U325" s="1273"/>
      <c r="V325" s="300"/>
      <c r="W325" s="300"/>
      <c r="X325" s="300"/>
      <c r="Y325" s="300"/>
      <c r="Z325" s="300"/>
      <c r="AA325" s="300"/>
      <c r="AB325" s="300"/>
      <c r="AC325" s="1230"/>
      <c r="AD325" s="1230"/>
      <c r="AE325" s="1230"/>
      <c r="AF325" s="1230"/>
      <c r="AG325" s="1230"/>
      <c r="AH325" s="1230"/>
    </row>
    <row r="326" spans="1:34">
      <c r="B326" s="300"/>
      <c r="C326" s="300"/>
      <c r="D326" s="300"/>
      <c r="E326" s="300"/>
      <c r="F326" s="300"/>
      <c r="G326" s="300"/>
      <c r="H326" s="300"/>
      <c r="I326" s="300"/>
      <c r="J326" s="300"/>
      <c r="K326" s="1273"/>
      <c r="L326" s="1273"/>
      <c r="M326" s="1273"/>
      <c r="N326" s="1273"/>
      <c r="O326" s="1273"/>
      <c r="P326" s="1273"/>
      <c r="Q326" s="1273"/>
      <c r="R326" s="1273"/>
      <c r="S326" s="1273"/>
      <c r="T326" s="1273"/>
      <c r="U326" s="1273"/>
      <c r="V326" s="300"/>
      <c r="W326" s="300"/>
      <c r="X326" s="300"/>
      <c r="Y326" s="300"/>
      <c r="Z326" s="300"/>
      <c r="AA326" s="300"/>
      <c r="AB326" s="300"/>
      <c r="AC326" s="1230"/>
      <c r="AD326" s="1230"/>
      <c r="AE326" s="1230"/>
      <c r="AF326" s="1230"/>
      <c r="AG326" s="1230"/>
      <c r="AH326" s="1230"/>
    </row>
    <row r="327" spans="1:34">
      <c r="B327" s="300"/>
      <c r="C327" s="300"/>
      <c r="D327" s="300"/>
      <c r="E327" s="300"/>
      <c r="F327" s="300"/>
      <c r="G327" s="300"/>
      <c r="H327" s="300"/>
      <c r="I327" s="300"/>
      <c r="J327" s="300"/>
      <c r="K327" s="1273"/>
      <c r="L327" s="1273"/>
      <c r="M327" s="1273"/>
      <c r="N327" s="1273"/>
      <c r="O327" s="1273"/>
      <c r="P327" s="1273"/>
      <c r="Q327" s="1273"/>
      <c r="R327" s="1273"/>
      <c r="S327" s="1273"/>
      <c r="T327" s="1273"/>
      <c r="U327" s="1273"/>
      <c r="V327" s="300"/>
      <c r="W327" s="300"/>
      <c r="X327" s="300"/>
      <c r="Y327" s="300"/>
      <c r="Z327" s="300"/>
      <c r="AA327" s="300"/>
      <c r="AB327" s="300"/>
      <c r="AC327" s="1230"/>
      <c r="AD327" s="1230"/>
      <c r="AE327" s="1230"/>
      <c r="AF327" s="1230"/>
      <c r="AG327" s="1230"/>
      <c r="AH327" s="1230"/>
    </row>
    <row r="328" spans="1:34">
      <c r="B328" s="300"/>
      <c r="C328" s="300"/>
      <c r="D328" s="300"/>
      <c r="E328" s="300"/>
      <c r="F328" s="300"/>
      <c r="G328" s="300"/>
      <c r="H328" s="300"/>
      <c r="I328" s="300"/>
      <c r="J328" s="300"/>
      <c r="K328" s="1273"/>
      <c r="L328" s="1273"/>
      <c r="M328" s="1273"/>
      <c r="N328" s="1273"/>
      <c r="O328" s="1273"/>
      <c r="P328" s="1273"/>
      <c r="Q328" s="1273"/>
      <c r="R328" s="1273"/>
      <c r="S328" s="1273"/>
      <c r="T328" s="1273"/>
      <c r="U328" s="1273"/>
      <c r="V328" s="300"/>
      <c r="W328" s="300"/>
      <c r="X328" s="300"/>
      <c r="Y328" s="300"/>
      <c r="Z328" s="300"/>
      <c r="AA328" s="300"/>
      <c r="AB328" s="300"/>
      <c r="AC328" s="1230"/>
      <c r="AD328" s="1230"/>
      <c r="AE328" s="1230"/>
      <c r="AF328" s="1230"/>
      <c r="AG328" s="1230"/>
      <c r="AH328" s="1230"/>
    </row>
    <row r="329" spans="1:34">
      <c r="B329" s="300"/>
      <c r="C329" s="300"/>
      <c r="D329" s="300"/>
      <c r="E329" s="300"/>
      <c r="F329" s="300"/>
      <c r="G329" s="300"/>
      <c r="H329" s="300"/>
      <c r="I329" s="300"/>
      <c r="J329" s="300"/>
      <c r="K329" s="1273"/>
      <c r="L329" s="1273"/>
      <c r="M329" s="1273"/>
      <c r="N329" s="1273"/>
      <c r="O329" s="1273"/>
      <c r="P329" s="1273"/>
      <c r="Q329" s="1273"/>
      <c r="R329" s="1273"/>
      <c r="S329" s="1273"/>
      <c r="T329" s="1273"/>
      <c r="U329" s="1273"/>
      <c r="V329" s="300"/>
      <c r="W329" s="300"/>
      <c r="X329" s="300"/>
      <c r="Y329" s="300"/>
      <c r="Z329" s="300"/>
      <c r="AA329" s="300"/>
      <c r="AB329" s="300"/>
      <c r="AC329" s="1230"/>
      <c r="AD329" s="1230"/>
      <c r="AE329" s="1230"/>
      <c r="AF329" s="1230"/>
      <c r="AG329" s="1230"/>
      <c r="AH329" s="1230"/>
    </row>
    <row r="330" spans="1:34">
      <c r="B330" s="300"/>
      <c r="C330" s="300"/>
      <c r="D330" s="300"/>
      <c r="E330" s="300"/>
      <c r="F330" s="300"/>
      <c r="G330" s="300"/>
      <c r="H330" s="300"/>
      <c r="I330" s="300"/>
      <c r="J330" s="300"/>
      <c r="K330" s="1273"/>
      <c r="L330" s="1273"/>
      <c r="M330" s="1273"/>
      <c r="N330" s="1273"/>
      <c r="O330" s="1273"/>
      <c r="P330" s="1273"/>
      <c r="Q330" s="1273"/>
      <c r="R330" s="1273"/>
      <c r="S330" s="1273"/>
      <c r="T330" s="1273"/>
      <c r="U330" s="1273"/>
      <c r="V330" s="300"/>
      <c r="W330" s="300"/>
      <c r="X330" s="300"/>
      <c r="Y330" s="300"/>
      <c r="Z330" s="300"/>
      <c r="AA330" s="300"/>
      <c r="AB330" s="300"/>
      <c r="AC330" s="1230"/>
      <c r="AD330" s="1230"/>
      <c r="AE330" s="1230"/>
      <c r="AF330" s="1230"/>
      <c r="AG330" s="1230"/>
      <c r="AH330" s="1230"/>
    </row>
    <row r="331" spans="1:34">
      <c r="B331" s="300"/>
      <c r="C331" s="300"/>
      <c r="D331" s="300"/>
      <c r="E331" s="300"/>
      <c r="F331" s="300"/>
      <c r="G331" s="300"/>
      <c r="H331" s="300"/>
      <c r="I331" s="300"/>
      <c r="J331" s="300"/>
      <c r="K331" s="1273"/>
      <c r="L331" s="1273"/>
      <c r="M331" s="1273"/>
      <c r="N331" s="1273"/>
      <c r="O331" s="1273"/>
      <c r="P331" s="1273"/>
      <c r="Q331" s="1273"/>
      <c r="R331" s="1273"/>
      <c r="S331" s="1273"/>
      <c r="T331" s="1273"/>
      <c r="U331" s="1273"/>
      <c r="V331" s="300"/>
      <c r="W331" s="300"/>
      <c r="X331" s="300"/>
      <c r="Y331" s="300"/>
      <c r="Z331" s="300"/>
      <c r="AA331" s="300"/>
      <c r="AB331" s="300"/>
      <c r="AC331" s="1230"/>
      <c r="AD331" s="1230"/>
      <c r="AE331" s="1230"/>
      <c r="AF331" s="1230"/>
      <c r="AG331" s="1230"/>
      <c r="AH331" s="1230"/>
    </row>
    <row r="332" spans="1:34">
      <c r="B332" s="300"/>
      <c r="C332" s="300"/>
      <c r="D332" s="300"/>
      <c r="E332" s="300"/>
      <c r="F332" s="300"/>
      <c r="G332" s="300"/>
      <c r="H332" s="300"/>
      <c r="I332" s="300"/>
      <c r="J332" s="300"/>
      <c r="K332" s="1273"/>
      <c r="L332" s="1273"/>
      <c r="M332" s="1273"/>
      <c r="N332" s="1273"/>
      <c r="O332" s="1273"/>
      <c r="P332" s="1273"/>
      <c r="Q332" s="1273"/>
      <c r="R332" s="1273"/>
      <c r="S332" s="1273"/>
      <c r="T332" s="1273"/>
      <c r="U332" s="1273"/>
      <c r="V332" s="300"/>
      <c r="W332" s="300"/>
      <c r="X332" s="300"/>
      <c r="Y332" s="300"/>
      <c r="Z332" s="300"/>
      <c r="AA332" s="300"/>
      <c r="AB332" s="300"/>
      <c r="AC332" s="1230"/>
      <c r="AD332" s="1230"/>
      <c r="AE332" s="1230"/>
      <c r="AF332" s="1230"/>
      <c r="AG332" s="1230"/>
      <c r="AH332" s="1230"/>
    </row>
    <row r="333" spans="1:34">
      <c r="B333" s="300"/>
      <c r="C333" s="300"/>
      <c r="D333" s="300"/>
      <c r="E333" s="300"/>
      <c r="F333" s="300"/>
      <c r="G333" s="300"/>
      <c r="H333" s="300"/>
      <c r="I333" s="300"/>
      <c r="J333" s="300"/>
      <c r="K333" s="1273"/>
      <c r="L333" s="1273"/>
      <c r="M333" s="1273"/>
      <c r="N333" s="1273"/>
      <c r="O333" s="1273"/>
      <c r="P333" s="1273"/>
      <c r="Q333" s="1273"/>
      <c r="R333" s="1273"/>
      <c r="S333" s="1273"/>
      <c r="T333" s="1273"/>
      <c r="U333" s="1273"/>
      <c r="V333" s="300"/>
      <c r="W333" s="300"/>
      <c r="X333" s="300"/>
      <c r="Y333" s="300"/>
      <c r="Z333" s="300"/>
      <c r="AA333" s="300"/>
      <c r="AB333" s="300"/>
      <c r="AC333" s="1230"/>
      <c r="AD333" s="1230"/>
      <c r="AE333" s="1230"/>
      <c r="AF333" s="1230"/>
      <c r="AG333" s="1230"/>
      <c r="AH333" s="1230"/>
    </row>
    <row r="334" spans="1:34">
      <c r="B334" s="300"/>
      <c r="C334" s="300"/>
      <c r="D334" s="300"/>
      <c r="E334" s="300"/>
      <c r="F334" s="300"/>
      <c r="G334" s="300"/>
      <c r="H334" s="300"/>
      <c r="I334" s="300"/>
      <c r="J334" s="300"/>
      <c r="K334" s="1273"/>
      <c r="L334" s="1273"/>
      <c r="M334" s="1273"/>
      <c r="N334" s="1273"/>
      <c r="O334" s="1273"/>
      <c r="P334" s="1273"/>
      <c r="Q334" s="1273"/>
      <c r="R334" s="1273"/>
      <c r="S334" s="1273"/>
      <c r="T334" s="1273"/>
      <c r="U334" s="1273"/>
      <c r="V334" s="300"/>
      <c r="W334" s="300"/>
      <c r="X334" s="300"/>
      <c r="Y334" s="300"/>
      <c r="Z334" s="300"/>
      <c r="AA334" s="300"/>
      <c r="AB334" s="300"/>
      <c r="AC334" s="1230"/>
      <c r="AD334" s="1230"/>
      <c r="AE334" s="1230"/>
      <c r="AF334" s="1230"/>
      <c r="AG334" s="1230"/>
      <c r="AH334" s="1230"/>
    </row>
    <row r="335" spans="1:34" s="1231" customFormat="1" ht="15" customHeight="1">
      <c r="A335" s="497"/>
      <c r="B335" s="300"/>
      <c r="C335" s="300"/>
      <c r="D335" s="300"/>
      <c r="E335" s="300"/>
      <c r="F335" s="300"/>
      <c r="G335" s="300"/>
      <c r="H335" s="300"/>
      <c r="I335" s="1478" t="s">
        <v>153</v>
      </c>
      <c r="J335" s="1478"/>
      <c r="K335" s="1273"/>
      <c r="L335" s="1273"/>
      <c r="M335" s="1273"/>
      <c r="N335" s="1273"/>
      <c r="O335" s="1273"/>
      <c r="P335" s="1273"/>
      <c r="Q335" s="1273"/>
      <c r="R335" s="1273"/>
      <c r="S335" s="1273"/>
      <c r="T335" s="1273"/>
      <c r="U335" s="1273"/>
    </row>
    <row r="336" spans="1:34" s="1228" customFormat="1" ht="15" customHeight="1">
      <c r="A336" s="497"/>
      <c r="B336" s="300"/>
      <c r="C336" s="300"/>
      <c r="D336" s="300"/>
      <c r="E336" s="300"/>
      <c r="F336" s="300"/>
      <c r="G336" s="300"/>
      <c r="H336" s="300"/>
      <c r="I336" s="1478" t="s">
        <v>715</v>
      </c>
      <c r="J336" s="1478"/>
      <c r="K336" s="1273"/>
      <c r="L336" s="1273"/>
      <c r="M336" s="1273"/>
      <c r="N336" s="1273"/>
      <c r="O336" s="1273"/>
      <c r="P336" s="1273"/>
      <c r="Q336" s="1273"/>
      <c r="R336" s="1273"/>
      <c r="S336" s="1273"/>
      <c r="T336" s="1273"/>
      <c r="U336" s="1273"/>
    </row>
    <row r="337" spans="1:34" s="1232" customFormat="1" ht="15" customHeight="1">
      <c r="A337" s="497"/>
      <c r="B337" s="300"/>
      <c r="C337" s="300"/>
      <c r="D337" s="300"/>
      <c r="E337" s="300"/>
      <c r="F337" s="300"/>
      <c r="G337" s="300"/>
      <c r="H337" s="300"/>
      <c r="I337" s="1478" t="s">
        <v>617</v>
      </c>
      <c r="J337" s="1478"/>
      <c r="K337" s="1272"/>
      <c r="L337" s="1272"/>
      <c r="M337" s="1272"/>
      <c r="N337" s="1272"/>
      <c r="O337" s="1272"/>
      <c r="P337" s="1272"/>
      <c r="Q337" s="1272"/>
      <c r="R337" s="1272"/>
      <c r="S337" s="1272"/>
      <c r="T337" s="1272"/>
      <c r="U337" s="1272"/>
    </row>
    <row r="338" spans="1:34">
      <c r="B338" s="300"/>
      <c r="C338" s="300"/>
      <c r="D338" s="300"/>
      <c r="E338" s="300"/>
      <c r="F338" s="300"/>
      <c r="G338" s="300"/>
      <c r="H338" s="300"/>
      <c r="I338" s="1478" t="s">
        <v>693</v>
      </c>
      <c r="J338" s="1478"/>
      <c r="K338" s="1274"/>
      <c r="L338" s="1273"/>
      <c r="M338" s="1273"/>
      <c r="N338" s="1273"/>
      <c r="O338" s="1273"/>
      <c r="P338" s="1273"/>
      <c r="Q338" s="1273"/>
      <c r="R338" s="1273"/>
      <c r="S338" s="1273"/>
      <c r="T338" s="1273"/>
      <c r="U338" s="1273"/>
      <c r="V338" s="300"/>
      <c r="W338" s="300"/>
      <c r="X338" s="300"/>
      <c r="Y338" s="300"/>
      <c r="Z338" s="300"/>
      <c r="AA338" s="300"/>
      <c r="AB338" s="300"/>
      <c r="AC338" s="1230"/>
      <c r="AD338" s="1230"/>
      <c r="AE338" s="1230"/>
      <c r="AF338" s="1230"/>
      <c r="AG338" s="1230"/>
      <c r="AH338" s="1230"/>
    </row>
    <row r="339" spans="1:34">
      <c r="B339" s="300"/>
      <c r="C339" s="300"/>
      <c r="D339" s="300"/>
      <c r="E339" s="300"/>
      <c r="F339" s="300"/>
      <c r="G339" s="300"/>
      <c r="H339" s="300"/>
      <c r="I339" s="300"/>
      <c r="J339" s="300"/>
      <c r="K339" s="1273"/>
      <c r="L339" s="1273"/>
      <c r="M339" s="1273"/>
      <c r="N339" s="1273"/>
      <c r="O339" s="1273"/>
      <c r="P339" s="1273"/>
      <c r="Q339" s="1273"/>
      <c r="R339" s="1273"/>
      <c r="S339" s="1273"/>
      <c r="T339" s="1273"/>
      <c r="U339" s="1273"/>
      <c r="V339" s="300"/>
      <c r="W339" s="300"/>
      <c r="X339" s="300"/>
      <c r="Y339" s="300"/>
      <c r="Z339" s="300"/>
      <c r="AA339" s="300"/>
      <c r="AB339" s="300"/>
      <c r="AC339" s="1230"/>
      <c r="AD339" s="1230"/>
      <c r="AE339" s="1230"/>
      <c r="AF339" s="1230"/>
      <c r="AG339" s="1230"/>
      <c r="AH339" s="1230"/>
    </row>
    <row r="340" spans="1:34">
      <c r="B340" s="300"/>
      <c r="C340" s="300"/>
      <c r="D340" s="300"/>
      <c r="E340" s="300"/>
      <c r="F340" s="300"/>
      <c r="G340" s="300"/>
      <c r="H340" s="300"/>
      <c r="I340" s="300"/>
      <c r="J340" s="300"/>
      <c r="K340" s="1273"/>
      <c r="L340" s="1273"/>
      <c r="M340" s="1273"/>
      <c r="N340" s="1273"/>
      <c r="O340" s="1273"/>
      <c r="P340" s="1273"/>
      <c r="Q340" s="1273"/>
      <c r="R340" s="1273"/>
      <c r="S340" s="1273"/>
      <c r="T340" s="1273"/>
      <c r="U340" s="1273"/>
      <c r="V340" s="300"/>
      <c r="W340" s="300"/>
      <c r="X340" s="300"/>
      <c r="Y340" s="300"/>
      <c r="Z340" s="300"/>
      <c r="AA340" s="300"/>
      <c r="AB340" s="300"/>
      <c r="AC340" s="1230"/>
      <c r="AD340" s="1230"/>
      <c r="AE340" s="1230"/>
      <c r="AF340" s="1230"/>
      <c r="AG340" s="1230"/>
      <c r="AH340" s="1230"/>
    </row>
    <row r="341" spans="1:34">
      <c r="B341" s="300"/>
      <c r="C341" s="300"/>
      <c r="D341" s="300"/>
      <c r="E341" s="300"/>
      <c r="F341" s="300"/>
      <c r="G341" s="300"/>
      <c r="H341" s="300"/>
      <c r="I341" s="300"/>
      <c r="J341" s="300"/>
      <c r="K341" s="1273"/>
      <c r="L341" s="1273"/>
      <c r="M341" s="1273"/>
      <c r="N341" s="1273"/>
      <c r="O341" s="1273"/>
      <c r="P341" s="1273"/>
      <c r="Q341" s="1273"/>
      <c r="R341" s="1273"/>
      <c r="S341" s="1273"/>
      <c r="T341" s="1273"/>
      <c r="U341" s="1273"/>
      <c r="V341" s="300"/>
      <c r="W341" s="300"/>
      <c r="X341" s="300"/>
      <c r="Y341" s="300"/>
      <c r="Z341" s="300"/>
      <c r="AA341" s="300"/>
      <c r="AB341" s="300"/>
      <c r="AC341" s="1230"/>
      <c r="AD341" s="1230"/>
      <c r="AE341" s="1230"/>
      <c r="AF341" s="1230"/>
      <c r="AG341" s="1230"/>
      <c r="AH341" s="1230"/>
    </row>
    <row r="342" spans="1:34">
      <c r="B342" s="300"/>
      <c r="C342" s="300"/>
      <c r="D342" s="300"/>
      <c r="E342" s="300"/>
      <c r="F342" s="300"/>
      <c r="G342" s="300"/>
      <c r="H342" s="300"/>
      <c r="I342" s="300"/>
      <c r="J342" s="300"/>
      <c r="K342" s="1273"/>
      <c r="L342" s="1273"/>
      <c r="M342" s="1273"/>
      <c r="N342" s="1273"/>
      <c r="O342" s="1273"/>
      <c r="P342" s="1273"/>
      <c r="Q342" s="1273"/>
      <c r="R342" s="1273"/>
      <c r="S342" s="1273"/>
      <c r="T342" s="1273"/>
      <c r="U342" s="1273"/>
      <c r="V342" s="300"/>
      <c r="W342" s="300"/>
      <c r="X342" s="300"/>
      <c r="Y342" s="300"/>
      <c r="Z342" s="300"/>
      <c r="AA342" s="300"/>
      <c r="AB342" s="300"/>
      <c r="AC342" s="1230"/>
      <c r="AD342" s="1230"/>
      <c r="AE342" s="1230"/>
      <c r="AF342" s="1230"/>
      <c r="AG342" s="1230"/>
      <c r="AH342" s="1230"/>
    </row>
    <row r="343" spans="1:34">
      <c r="B343" s="300"/>
      <c r="C343" s="300"/>
      <c r="D343" s="300"/>
      <c r="E343" s="300"/>
      <c r="F343" s="300"/>
      <c r="G343" s="300"/>
      <c r="H343" s="300"/>
      <c r="I343" s="300"/>
      <c r="J343" s="300"/>
      <c r="K343" s="1273"/>
      <c r="L343" s="1273"/>
      <c r="M343" s="1273"/>
      <c r="N343" s="1273"/>
      <c r="O343" s="1273"/>
      <c r="P343" s="1273"/>
      <c r="Q343" s="1273"/>
      <c r="R343" s="1273"/>
      <c r="S343" s="1273"/>
      <c r="T343" s="1273"/>
      <c r="U343" s="1273"/>
      <c r="V343" s="300"/>
      <c r="W343" s="300"/>
      <c r="X343" s="300"/>
      <c r="Y343" s="300"/>
      <c r="Z343" s="300"/>
      <c r="AA343" s="300"/>
      <c r="AB343" s="300"/>
      <c r="AC343" s="1230"/>
      <c r="AD343" s="1230"/>
      <c r="AE343" s="1230"/>
      <c r="AF343" s="1230"/>
      <c r="AG343" s="1230"/>
      <c r="AH343" s="1230"/>
    </row>
    <row r="344" spans="1:34">
      <c r="B344" s="300"/>
      <c r="C344" s="300"/>
      <c r="D344" s="300"/>
      <c r="E344" s="300"/>
      <c r="F344" s="300"/>
      <c r="G344" s="300"/>
      <c r="H344" s="300"/>
      <c r="I344" s="300"/>
      <c r="J344" s="300"/>
      <c r="K344" s="1273"/>
      <c r="L344" s="1273"/>
      <c r="M344" s="1273"/>
      <c r="N344" s="1273"/>
      <c r="O344" s="1273"/>
      <c r="P344" s="1273"/>
      <c r="Q344" s="1273"/>
      <c r="R344" s="1273"/>
      <c r="S344" s="1273"/>
      <c r="T344" s="1273"/>
      <c r="U344" s="1273"/>
      <c r="V344" s="300"/>
      <c r="W344" s="300"/>
      <c r="X344" s="300"/>
      <c r="Y344" s="300"/>
      <c r="Z344" s="300"/>
      <c r="AA344" s="300"/>
      <c r="AB344" s="300"/>
      <c r="AC344" s="1230"/>
      <c r="AD344" s="1230"/>
      <c r="AE344" s="1230"/>
      <c r="AF344" s="1230"/>
      <c r="AG344" s="1230"/>
      <c r="AH344" s="1230"/>
    </row>
    <row r="345" spans="1:34">
      <c r="B345" s="300"/>
      <c r="C345" s="300"/>
      <c r="D345" s="300"/>
      <c r="E345" s="300"/>
      <c r="F345" s="300"/>
      <c r="G345" s="300"/>
      <c r="H345" s="300"/>
      <c r="I345" s="300"/>
      <c r="J345" s="300"/>
      <c r="K345" s="1273"/>
      <c r="L345" s="1273"/>
      <c r="M345" s="1273"/>
      <c r="N345" s="1273"/>
      <c r="O345" s="1273"/>
      <c r="P345" s="1273"/>
      <c r="Q345" s="1273"/>
      <c r="R345" s="1273"/>
      <c r="S345" s="1273"/>
      <c r="T345" s="1273"/>
      <c r="U345" s="1273"/>
      <c r="V345" s="300"/>
      <c r="W345" s="300"/>
      <c r="X345" s="300"/>
      <c r="Y345" s="300"/>
      <c r="Z345" s="300"/>
      <c r="AA345" s="300"/>
      <c r="AB345" s="300"/>
      <c r="AC345" s="1230"/>
      <c r="AD345" s="1230"/>
      <c r="AE345" s="1230"/>
      <c r="AF345" s="1230"/>
      <c r="AG345" s="1230"/>
      <c r="AH345" s="1230"/>
    </row>
    <row r="346" spans="1:34">
      <c r="B346" s="300"/>
      <c r="C346" s="300"/>
      <c r="D346" s="300"/>
      <c r="E346" s="300"/>
      <c r="F346" s="300"/>
      <c r="G346" s="300"/>
      <c r="H346" s="300"/>
      <c r="I346" s="300"/>
      <c r="J346" s="300"/>
      <c r="K346" s="1273"/>
      <c r="L346" s="1273"/>
      <c r="M346" s="1273"/>
      <c r="N346" s="1273"/>
      <c r="O346" s="1273"/>
      <c r="P346" s="1273"/>
      <c r="Q346" s="1273"/>
      <c r="R346" s="1273"/>
      <c r="S346" s="1273"/>
      <c r="T346" s="1273"/>
      <c r="U346" s="1273"/>
      <c r="V346" s="300"/>
      <c r="W346" s="300"/>
      <c r="X346" s="300"/>
      <c r="Y346" s="300"/>
      <c r="Z346" s="300"/>
      <c r="AA346" s="300"/>
      <c r="AB346" s="300"/>
      <c r="AC346" s="1230"/>
      <c r="AD346" s="1230"/>
      <c r="AE346" s="1230"/>
      <c r="AF346" s="1230"/>
      <c r="AG346" s="1230"/>
      <c r="AH346" s="1230"/>
    </row>
    <row r="347" spans="1:34">
      <c r="B347" s="300"/>
      <c r="C347" s="300"/>
      <c r="D347" s="300"/>
      <c r="E347" s="300"/>
      <c r="F347" s="300"/>
      <c r="G347" s="300"/>
      <c r="H347" s="300"/>
      <c r="I347" s="300"/>
      <c r="J347" s="300"/>
      <c r="K347" s="1273"/>
      <c r="L347" s="1273"/>
      <c r="M347" s="1273"/>
      <c r="N347" s="1273"/>
      <c r="O347" s="1273"/>
      <c r="P347" s="1273"/>
      <c r="Q347" s="1273"/>
      <c r="R347" s="1273"/>
      <c r="S347" s="1273"/>
      <c r="T347" s="1273"/>
      <c r="U347" s="1273"/>
      <c r="V347" s="300"/>
      <c r="W347" s="300"/>
      <c r="X347" s="300"/>
      <c r="Y347" s="300"/>
      <c r="Z347" s="300"/>
      <c r="AA347" s="300"/>
      <c r="AB347" s="300"/>
      <c r="AC347" s="1230"/>
      <c r="AD347" s="1230"/>
      <c r="AE347" s="1230"/>
      <c r="AF347" s="1230"/>
      <c r="AG347" s="1230"/>
      <c r="AH347" s="1230"/>
    </row>
    <row r="348" spans="1:34">
      <c r="B348" s="300"/>
      <c r="C348" s="300"/>
      <c r="D348" s="300"/>
      <c r="E348" s="300"/>
      <c r="F348" s="300"/>
      <c r="G348" s="300"/>
      <c r="H348" s="300"/>
      <c r="I348" s="300"/>
      <c r="J348" s="300"/>
      <c r="K348" s="1273"/>
      <c r="L348" s="1273"/>
      <c r="M348" s="1273"/>
      <c r="N348" s="1273"/>
      <c r="O348" s="1273"/>
      <c r="P348" s="1273"/>
      <c r="Q348" s="1273"/>
      <c r="R348" s="1273"/>
      <c r="S348" s="1273"/>
      <c r="T348" s="1273"/>
      <c r="U348" s="1273"/>
      <c r="V348" s="300"/>
      <c r="W348" s="300"/>
      <c r="X348" s="300"/>
      <c r="Y348" s="300"/>
      <c r="Z348" s="300"/>
      <c r="AA348" s="300"/>
      <c r="AB348" s="300"/>
      <c r="AC348" s="1230"/>
      <c r="AD348" s="1230"/>
      <c r="AE348" s="1230"/>
      <c r="AF348" s="1230"/>
      <c r="AG348" s="1230"/>
      <c r="AH348" s="1230"/>
    </row>
    <row r="349" spans="1:34">
      <c r="B349" s="300"/>
      <c r="C349" s="300"/>
      <c r="D349" s="300"/>
      <c r="E349" s="300"/>
      <c r="F349" s="300"/>
      <c r="G349" s="300"/>
      <c r="H349" s="300"/>
      <c r="I349" s="300"/>
      <c r="J349" s="300"/>
      <c r="K349" s="1273"/>
      <c r="L349" s="1273"/>
      <c r="M349" s="1273"/>
      <c r="N349" s="1273"/>
      <c r="O349" s="1273"/>
      <c r="P349" s="1273"/>
      <c r="Q349" s="1273"/>
      <c r="R349" s="1273"/>
      <c r="S349" s="1273"/>
      <c r="T349" s="1273"/>
      <c r="U349" s="1273"/>
      <c r="V349" s="300"/>
      <c r="W349" s="300"/>
      <c r="X349" s="300"/>
      <c r="Y349" s="300"/>
      <c r="Z349" s="300"/>
      <c r="AA349" s="300"/>
      <c r="AB349" s="300"/>
      <c r="AC349" s="1230"/>
      <c r="AD349" s="1230"/>
      <c r="AE349" s="1230"/>
      <c r="AF349" s="1230"/>
      <c r="AG349" s="1230"/>
      <c r="AH349" s="1230"/>
    </row>
    <row r="350" spans="1:34">
      <c r="B350" s="300"/>
      <c r="C350" s="300"/>
      <c r="D350" s="300"/>
      <c r="E350" s="300"/>
      <c r="F350" s="300"/>
      <c r="G350" s="300"/>
      <c r="H350" s="300"/>
      <c r="I350" s="300"/>
      <c r="J350" s="300"/>
      <c r="K350" s="1273"/>
      <c r="L350" s="1273"/>
      <c r="M350" s="1273"/>
      <c r="N350" s="1273"/>
      <c r="O350" s="1273"/>
      <c r="P350" s="1273"/>
      <c r="Q350" s="1273"/>
      <c r="R350" s="1273"/>
      <c r="S350" s="1273"/>
      <c r="T350" s="1273"/>
      <c r="U350" s="1273"/>
      <c r="V350" s="300"/>
      <c r="W350" s="300"/>
      <c r="X350" s="300"/>
      <c r="Y350" s="300"/>
      <c r="Z350" s="300"/>
      <c r="AA350" s="300"/>
      <c r="AB350" s="300"/>
      <c r="AC350" s="1230"/>
      <c r="AD350" s="1230"/>
      <c r="AE350" s="1230"/>
      <c r="AF350" s="1230"/>
      <c r="AG350" s="1230"/>
      <c r="AH350" s="1230"/>
    </row>
    <row r="351" spans="1:34">
      <c r="B351" s="300"/>
      <c r="C351" s="300"/>
      <c r="D351" s="300"/>
      <c r="E351" s="300"/>
      <c r="F351" s="300"/>
      <c r="G351" s="300"/>
      <c r="H351" s="300"/>
      <c r="I351" s="300"/>
      <c r="J351" s="300"/>
      <c r="K351" s="1273"/>
      <c r="L351" s="1273"/>
      <c r="M351" s="1273"/>
      <c r="N351" s="1273"/>
      <c r="O351" s="1273"/>
      <c r="P351" s="1273"/>
      <c r="Q351" s="1273"/>
      <c r="R351" s="1273"/>
      <c r="S351" s="1273"/>
      <c r="T351" s="1273"/>
      <c r="U351" s="1273"/>
      <c r="V351" s="300"/>
      <c r="W351" s="300"/>
      <c r="X351" s="300"/>
      <c r="Y351" s="300"/>
      <c r="Z351" s="300"/>
      <c r="AA351" s="300"/>
      <c r="AB351" s="300"/>
      <c r="AC351" s="1230"/>
      <c r="AD351" s="1230"/>
      <c r="AE351" s="1230"/>
      <c r="AF351" s="1230"/>
      <c r="AG351" s="1230"/>
      <c r="AH351" s="1230"/>
    </row>
    <row r="352" spans="1:34">
      <c r="B352" s="300"/>
      <c r="C352" s="300"/>
      <c r="D352" s="300"/>
      <c r="E352" s="300"/>
      <c r="F352" s="300"/>
      <c r="G352" s="300"/>
      <c r="H352" s="300"/>
      <c r="I352" s="300"/>
      <c r="J352" s="300"/>
      <c r="K352" s="1273"/>
      <c r="L352" s="1273"/>
      <c r="M352" s="1273"/>
      <c r="N352" s="1273"/>
      <c r="O352" s="1273"/>
      <c r="P352" s="1273"/>
      <c r="Q352" s="1273"/>
      <c r="R352" s="1273"/>
      <c r="S352" s="1273"/>
      <c r="T352" s="1273"/>
      <c r="U352" s="1273"/>
      <c r="V352" s="300"/>
      <c r="W352" s="300"/>
      <c r="X352" s="300"/>
      <c r="Y352" s="300"/>
      <c r="Z352" s="300"/>
      <c r="AA352" s="300"/>
      <c r="AB352" s="300"/>
      <c r="AC352" s="1230"/>
      <c r="AD352" s="1230"/>
      <c r="AE352" s="1230"/>
      <c r="AF352" s="1230"/>
      <c r="AG352" s="1230"/>
      <c r="AH352" s="1230"/>
    </row>
    <row r="353" spans="1:34">
      <c r="B353" s="300"/>
      <c r="C353" s="300"/>
      <c r="D353" s="300"/>
      <c r="E353" s="300"/>
      <c r="F353" s="300"/>
      <c r="G353" s="300"/>
      <c r="H353" s="300"/>
      <c r="I353" s="300"/>
      <c r="J353" s="300"/>
      <c r="K353" s="1273"/>
      <c r="L353" s="1273"/>
      <c r="M353" s="1273"/>
      <c r="N353" s="1273"/>
      <c r="O353" s="1273"/>
      <c r="P353" s="1273"/>
      <c r="Q353" s="1273"/>
      <c r="R353" s="1273"/>
      <c r="S353" s="1273"/>
      <c r="T353" s="1273"/>
      <c r="U353" s="1273"/>
      <c r="V353" s="300"/>
      <c r="W353" s="300"/>
      <c r="X353" s="300"/>
      <c r="Y353" s="300"/>
      <c r="Z353" s="300"/>
      <c r="AA353" s="300"/>
      <c r="AB353" s="300"/>
      <c r="AC353" s="1230"/>
      <c r="AD353" s="1230"/>
      <c r="AE353" s="1230"/>
      <c r="AF353" s="1230"/>
      <c r="AG353" s="1230"/>
      <c r="AH353" s="1230"/>
    </row>
    <row r="354" spans="1:34">
      <c r="B354" s="300"/>
      <c r="C354" s="300"/>
      <c r="D354" s="300"/>
      <c r="E354" s="300"/>
      <c r="F354" s="300"/>
      <c r="G354" s="300"/>
      <c r="H354" s="300"/>
      <c r="I354" s="300"/>
      <c r="J354" s="300"/>
      <c r="K354" s="1273"/>
      <c r="L354" s="1273"/>
      <c r="M354" s="1273"/>
      <c r="N354" s="1273"/>
      <c r="O354" s="1273"/>
      <c r="P354" s="1273"/>
      <c r="Q354" s="1273"/>
      <c r="R354" s="1273"/>
      <c r="S354" s="1273"/>
      <c r="T354" s="1273"/>
      <c r="U354" s="1273"/>
      <c r="V354" s="300"/>
      <c r="W354" s="300"/>
      <c r="X354" s="300"/>
      <c r="Y354" s="300"/>
      <c r="Z354" s="300"/>
      <c r="AA354" s="300"/>
      <c r="AB354" s="300"/>
      <c r="AC354" s="1230"/>
      <c r="AD354" s="1230"/>
      <c r="AE354" s="1230"/>
      <c r="AF354" s="1230"/>
      <c r="AG354" s="1230"/>
      <c r="AH354" s="1230"/>
    </row>
    <row r="355" spans="1:34">
      <c r="B355" s="300"/>
      <c r="C355" s="300"/>
      <c r="D355" s="300"/>
      <c r="E355" s="300"/>
      <c r="F355" s="300"/>
      <c r="G355" s="300"/>
      <c r="H355" s="300"/>
      <c r="I355" s="300"/>
      <c r="J355" s="300"/>
      <c r="K355" s="1273"/>
      <c r="L355" s="1273"/>
      <c r="M355" s="1273"/>
      <c r="N355" s="1273"/>
      <c r="O355" s="1273"/>
      <c r="P355" s="1273"/>
      <c r="Q355" s="1273"/>
      <c r="R355" s="1273"/>
      <c r="S355" s="1273"/>
      <c r="T355" s="1273"/>
      <c r="U355" s="1273"/>
      <c r="V355" s="300"/>
      <c r="W355" s="300"/>
      <c r="X355" s="300"/>
      <c r="Y355" s="300"/>
      <c r="Z355" s="300"/>
      <c r="AA355" s="300"/>
      <c r="AB355" s="300"/>
      <c r="AC355" s="1230"/>
      <c r="AD355" s="1230"/>
      <c r="AE355" s="1230"/>
      <c r="AF355" s="1230"/>
      <c r="AG355" s="1230"/>
      <c r="AH355" s="1230"/>
    </row>
    <row r="356" spans="1:34">
      <c r="B356" s="300"/>
      <c r="C356" s="300"/>
      <c r="D356" s="300"/>
      <c r="E356" s="300"/>
      <c r="F356" s="300"/>
      <c r="G356" s="300"/>
      <c r="H356" s="300"/>
      <c r="I356" s="300"/>
      <c r="J356" s="300"/>
      <c r="K356" s="1273"/>
      <c r="L356" s="1273"/>
      <c r="M356" s="1273"/>
      <c r="N356" s="1273"/>
      <c r="O356" s="1273"/>
      <c r="P356" s="1273"/>
      <c r="Q356" s="1273"/>
      <c r="R356" s="1273"/>
      <c r="S356" s="1273"/>
      <c r="T356" s="1273"/>
      <c r="U356" s="1273"/>
      <c r="V356" s="300"/>
      <c r="W356" s="300"/>
      <c r="X356" s="300"/>
      <c r="Y356" s="300"/>
      <c r="Z356" s="300"/>
      <c r="AA356" s="300"/>
      <c r="AB356" s="300"/>
      <c r="AC356" s="1230"/>
      <c r="AD356" s="1230"/>
      <c r="AE356" s="1230"/>
      <c r="AF356" s="1230"/>
      <c r="AG356" s="1230"/>
      <c r="AH356" s="1230"/>
    </row>
    <row r="357" spans="1:34">
      <c r="B357" s="300"/>
      <c r="C357" s="300"/>
      <c r="D357" s="300"/>
      <c r="E357" s="300"/>
      <c r="F357" s="300"/>
      <c r="G357" s="300"/>
      <c r="H357" s="300"/>
      <c r="I357" s="300"/>
      <c r="J357" s="300"/>
      <c r="K357" s="1273"/>
      <c r="L357" s="1273"/>
      <c r="M357" s="1273"/>
      <c r="N357" s="1273"/>
      <c r="O357" s="1273"/>
      <c r="P357" s="1273"/>
      <c r="Q357" s="1273"/>
      <c r="R357" s="1273"/>
      <c r="S357" s="1273"/>
      <c r="T357" s="1273"/>
      <c r="U357" s="1273"/>
      <c r="V357" s="300"/>
      <c r="W357" s="300"/>
      <c r="X357" s="300"/>
      <c r="Y357" s="300"/>
      <c r="Z357" s="300"/>
      <c r="AA357" s="300"/>
      <c r="AB357" s="300"/>
      <c r="AC357" s="1230"/>
      <c r="AD357" s="1230"/>
      <c r="AE357" s="1230"/>
      <c r="AF357" s="1230"/>
      <c r="AG357" s="1230"/>
      <c r="AH357" s="1230"/>
    </row>
    <row r="358" spans="1:34">
      <c r="B358" s="300"/>
      <c r="C358" s="300"/>
      <c r="D358" s="300"/>
      <c r="E358" s="300"/>
      <c r="F358" s="300"/>
      <c r="G358" s="300"/>
      <c r="H358" s="300"/>
      <c r="I358" s="300"/>
      <c r="J358" s="300"/>
      <c r="K358" s="1273"/>
      <c r="L358" s="1273"/>
      <c r="M358" s="1273"/>
      <c r="N358" s="1273"/>
      <c r="O358" s="1273"/>
      <c r="P358" s="1273"/>
      <c r="Q358" s="1273"/>
      <c r="R358" s="1273"/>
      <c r="S358" s="1273"/>
      <c r="T358" s="1273"/>
      <c r="U358" s="1273"/>
      <c r="V358" s="300"/>
      <c r="W358" s="300"/>
      <c r="X358" s="300"/>
      <c r="Y358" s="300"/>
      <c r="Z358" s="300"/>
      <c r="AA358" s="300"/>
      <c r="AB358" s="300"/>
      <c r="AC358" s="1230"/>
      <c r="AD358" s="1230"/>
      <c r="AE358" s="1230"/>
      <c r="AF358" s="1230"/>
      <c r="AG358" s="1230"/>
      <c r="AH358" s="1230"/>
    </row>
    <row r="359" spans="1:34" s="1231" customFormat="1" ht="15" customHeight="1">
      <c r="A359" s="497"/>
      <c r="B359" s="300"/>
      <c r="C359" s="300"/>
      <c r="D359" s="300"/>
      <c r="E359" s="300"/>
      <c r="F359" s="300"/>
      <c r="G359" s="300"/>
      <c r="H359" s="300"/>
      <c r="I359" s="1478" t="s">
        <v>153</v>
      </c>
      <c r="J359" s="1478"/>
      <c r="K359" s="1273"/>
      <c r="L359" s="1273"/>
      <c r="M359" s="1273"/>
      <c r="N359" s="1273"/>
      <c r="O359" s="1273"/>
      <c r="P359" s="1273"/>
      <c r="Q359" s="1273"/>
      <c r="R359" s="1273"/>
      <c r="S359" s="1273"/>
      <c r="T359" s="1273"/>
      <c r="U359" s="1273"/>
    </row>
    <row r="360" spans="1:34" s="1228" customFormat="1" ht="15" customHeight="1">
      <c r="A360" s="497"/>
      <c r="B360" s="300"/>
      <c r="C360" s="300"/>
      <c r="D360" s="300"/>
      <c r="E360" s="300"/>
      <c r="F360" s="300"/>
      <c r="G360" s="300"/>
      <c r="H360" s="300"/>
      <c r="I360" s="1478" t="s">
        <v>715</v>
      </c>
      <c r="J360" s="1478"/>
      <c r="K360" s="1273"/>
      <c r="L360" s="1273"/>
      <c r="M360" s="1273"/>
      <c r="N360" s="1273"/>
      <c r="O360" s="1273"/>
      <c r="P360" s="1273"/>
      <c r="Q360" s="1273"/>
      <c r="R360" s="1273"/>
      <c r="S360" s="1273"/>
      <c r="T360" s="1273"/>
      <c r="U360" s="1273"/>
    </row>
    <row r="361" spans="1:34" s="1232" customFormat="1" ht="15" customHeight="1">
      <c r="A361" s="497"/>
      <c r="B361" s="300"/>
      <c r="C361" s="300"/>
      <c r="D361" s="300"/>
      <c r="E361" s="300"/>
      <c r="F361" s="300"/>
      <c r="G361" s="300"/>
      <c r="H361" s="300"/>
      <c r="I361" s="1478" t="s">
        <v>617</v>
      </c>
      <c r="J361" s="1478"/>
      <c r="K361" s="1272"/>
      <c r="L361" s="1272"/>
      <c r="M361" s="1272"/>
      <c r="N361" s="1272"/>
      <c r="O361" s="1272"/>
      <c r="P361" s="1272"/>
      <c r="Q361" s="1272"/>
      <c r="R361" s="1272"/>
      <c r="S361" s="1272"/>
      <c r="T361" s="1272"/>
      <c r="U361" s="1272"/>
    </row>
    <row r="362" spans="1:34" s="1232" customFormat="1">
      <c r="A362" s="497"/>
      <c r="B362" s="300"/>
      <c r="C362" s="300"/>
      <c r="D362" s="300"/>
      <c r="E362" s="300"/>
      <c r="F362" s="300"/>
      <c r="G362" s="300"/>
      <c r="H362" s="300"/>
      <c r="I362" s="1478" t="s">
        <v>638</v>
      </c>
      <c r="J362" s="1478"/>
      <c r="K362" s="1273"/>
      <c r="L362" s="1273"/>
      <c r="M362" s="1273"/>
      <c r="N362" s="1273"/>
      <c r="O362" s="1273"/>
      <c r="P362" s="1273"/>
      <c r="Q362" s="1273"/>
      <c r="R362" s="1273"/>
      <c r="S362" s="1273"/>
      <c r="T362" s="1273"/>
      <c r="U362" s="1273"/>
    </row>
    <row r="363" spans="1:34">
      <c r="B363" s="300"/>
      <c r="C363" s="300"/>
      <c r="D363" s="300"/>
      <c r="E363" s="300"/>
      <c r="F363" s="300"/>
      <c r="G363" s="300"/>
      <c r="H363" s="300"/>
      <c r="I363" s="1478" t="s">
        <v>716</v>
      </c>
      <c r="J363" s="1478"/>
      <c r="K363" s="1256"/>
      <c r="L363" s="1256"/>
      <c r="M363" s="1256"/>
      <c r="N363" s="1256"/>
      <c r="O363" s="1256"/>
      <c r="P363" s="1256"/>
      <c r="Q363" s="1256"/>
      <c r="R363" s="1256"/>
      <c r="S363" s="1256"/>
      <c r="T363" s="1256"/>
      <c r="U363" s="1256"/>
      <c r="V363" s="300"/>
      <c r="W363" s="300"/>
      <c r="X363" s="300"/>
      <c r="Y363" s="300"/>
      <c r="Z363" s="300"/>
      <c r="AA363" s="300"/>
      <c r="AB363" s="300"/>
      <c r="AC363" s="1230"/>
      <c r="AD363" s="1230"/>
      <c r="AE363" s="1230"/>
      <c r="AF363" s="1230"/>
      <c r="AG363" s="1230"/>
      <c r="AH363" s="1230"/>
    </row>
    <row r="364" spans="1:34">
      <c r="B364" s="300"/>
      <c r="C364" s="300"/>
      <c r="D364" s="300"/>
      <c r="E364" s="300"/>
      <c r="F364" s="300"/>
      <c r="G364" s="300"/>
      <c r="H364" s="300"/>
      <c r="I364" s="1478" t="s">
        <v>618</v>
      </c>
      <c r="J364" s="1478"/>
      <c r="K364" s="1272"/>
      <c r="L364" s="1272"/>
      <c r="M364" s="1272"/>
      <c r="N364" s="1272"/>
      <c r="O364" s="1272"/>
      <c r="P364" s="1272"/>
      <c r="Q364" s="1272"/>
      <c r="R364" s="1272"/>
      <c r="S364" s="1272"/>
      <c r="T364" s="1272"/>
      <c r="U364" s="1272"/>
      <c r="V364" s="300"/>
      <c r="W364" s="300"/>
      <c r="X364" s="300"/>
      <c r="Y364" s="300"/>
      <c r="Z364" s="300"/>
      <c r="AA364" s="300"/>
      <c r="AB364" s="300"/>
      <c r="AC364" s="1230"/>
      <c r="AD364" s="1230"/>
      <c r="AE364" s="1230"/>
      <c r="AF364" s="1230"/>
      <c r="AG364" s="1230"/>
      <c r="AH364" s="1230"/>
    </row>
    <row r="365" spans="1:34">
      <c r="B365" s="300"/>
      <c r="C365" s="300"/>
      <c r="D365" s="300"/>
      <c r="E365" s="300"/>
      <c r="F365" s="300"/>
      <c r="G365" s="300"/>
      <c r="H365" s="300"/>
      <c r="I365" s="1478" t="s">
        <v>695</v>
      </c>
      <c r="J365" s="1478"/>
      <c r="K365" s="1256"/>
      <c r="L365" s="1256"/>
      <c r="M365" s="1256"/>
      <c r="N365" s="1256"/>
      <c r="O365" s="1256"/>
      <c r="P365" s="1256"/>
      <c r="Q365" s="1256"/>
      <c r="R365" s="1256"/>
      <c r="S365" s="1256"/>
      <c r="T365" s="1256"/>
      <c r="U365" s="1256"/>
      <c r="V365" s="300"/>
      <c r="W365" s="300"/>
      <c r="X365" s="300"/>
      <c r="Y365" s="300"/>
      <c r="Z365" s="300"/>
      <c r="AA365" s="300"/>
      <c r="AB365" s="300"/>
      <c r="AC365" s="1230"/>
      <c r="AD365" s="1230"/>
      <c r="AE365" s="1230"/>
      <c r="AF365" s="1230"/>
      <c r="AG365" s="1230"/>
      <c r="AH365" s="1230"/>
    </row>
    <row r="366" spans="1:34">
      <c r="B366" s="300"/>
      <c r="C366" s="300"/>
      <c r="D366" s="300"/>
      <c r="E366" s="300"/>
      <c r="F366" s="300"/>
      <c r="G366" s="300"/>
      <c r="H366" s="300"/>
      <c r="I366" s="300"/>
      <c r="J366" s="300"/>
      <c r="K366" s="300"/>
      <c r="M366" s="300"/>
      <c r="N366" s="300"/>
      <c r="R366" s="300"/>
      <c r="S366" s="300"/>
      <c r="T366" s="300"/>
      <c r="U366" s="300"/>
      <c r="V366" s="300"/>
      <c r="W366" s="300"/>
      <c r="X366" s="300"/>
      <c r="Y366" s="300"/>
      <c r="Z366" s="300"/>
      <c r="AA366" s="300"/>
      <c r="AB366" s="300"/>
      <c r="AC366" s="1230"/>
      <c r="AD366" s="1230"/>
      <c r="AE366" s="1230"/>
      <c r="AF366" s="1230"/>
      <c r="AG366" s="1230"/>
      <c r="AH366" s="1230"/>
    </row>
    <row r="367" spans="1:34">
      <c r="B367" s="300"/>
      <c r="C367" s="300"/>
      <c r="D367" s="300"/>
      <c r="E367" s="300"/>
      <c r="F367" s="300"/>
      <c r="G367" s="300"/>
      <c r="H367" s="300"/>
      <c r="I367" s="300"/>
      <c r="J367" s="300"/>
      <c r="K367" s="300"/>
      <c r="M367" s="300"/>
      <c r="N367" s="300"/>
      <c r="R367" s="300"/>
      <c r="S367" s="300"/>
      <c r="T367" s="300"/>
      <c r="U367" s="300"/>
      <c r="V367" s="300"/>
      <c r="W367" s="300"/>
      <c r="X367" s="300"/>
      <c r="Y367" s="300"/>
      <c r="Z367" s="300"/>
      <c r="AA367" s="300"/>
      <c r="AB367" s="300"/>
      <c r="AC367" s="1230"/>
      <c r="AD367" s="1230"/>
      <c r="AE367" s="1230"/>
      <c r="AF367" s="1230"/>
      <c r="AG367" s="1230"/>
      <c r="AH367" s="1230"/>
    </row>
    <row r="368" spans="1:34">
      <c r="B368" s="300"/>
      <c r="C368" s="300"/>
      <c r="D368" s="300"/>
      <c r="E368" s="300"/>
      <c r="F368" s="300"/>
      <c r="G368" s="300"/>
      <c r="H368" s="300"/>
      <c r="I368" s="300"/>
      <c r="J368" s="300"/>
      <c r="K368" s="300"/>
      <c r="M368" s="300"/>
      <c r="N368" s="300"/>
      <c r="R368" s="300"/>
      <c r="S368" s="300"/>
      <c r="T368" s="300"/>
      <c r="U368" s="300"/>
      <c r="V368" s="300"/>
      <c r="W368" s="300"/>
      <c r="X368" s="300"/>
      <c r="Y368" s="300"/>
      <c r="Z368" s="300"/>
      <c r="AA368" s="300"/>
      <c r="AB368" s="300"/>
      <c r="AC368" s="1230"/>
      <c r="AD368" s="1230"/>
      <c r="AE368" s="1230"/>
      <c r="AF368" s="1230"/>
      <c r="AG368" s="1230"/>
      <c r="AH368" s="1230"/>
    </row>
    <row r="369" spans="1:34">
      <c r="B369" s="300"/>
      <c r="C369" s="300"/>
      <c r="D369" s="300"/>
      <c r="E369" s="300"/>
      <c r="F369" s="300"/>
      <c r="G369" s="300"/>
      <c r="H369" s="300"/>
      <c r="I369" s="300"/>
      <c r="J369" s="300"/>
      <c r="K369" s="300"/>
      <c r="M369" s="300"/>
      <c r="N369" s="300"/>
      <c r="R369" s="300"/>
      <c r="S369" s="300"/>
      <c r="T369" s="300"/>
      <c r="U369" s="300"/>
      <c r="V369" s="300"/>
      <c r="W369" s="300"/>
      <c r="X369" s="300"/>
      <c r="Y369" s="300"/>
      <c r="Z369" s="300"/>
      <c r="AA369" s="300"/>
      <c r="AB369" s="300"/>
      <c r="AC369" s="1230"/>
      <c r="AD369" s="1230"/>
      <c r="AE369" s="1230"/>
      <c r="AF369" s="1230"/>
      <c r="AG369" s="1230"/>
      <c r="AH369" s="1230"/>
    </row>
    <row r="370" spans="1:34">
      <c r="B370" s="300"/>
      <c r="C370" s="300"/>
      <c r="D370" s="300"/>
      <c r="E370" s="300"/>
      <c r="F370" s="300"/>
      <c r="G370" s="300"/>
      <c r="H370" s="300"/>
      <c r="I370" s="1271"/>
      <c r="J370" s="1271"/>
      <c r="K370" s="300"/>
      <c r="M370" s="300"/>
      <c r="N370" s="300"/>
      <c r="R370" s="300"/>
      <c r="S370" s="300"/>
      <c r="T370" s="300"/>
      <c r="U370" s="300"/>
      <c r="V370" s="300"/>
      <c r="W370" s="300"/>
      <c r="X370" s="300"/>
      <c r="Y370" s="300"/>
      <c r="Z370" s="300"/>
      <c r="AA370" s="300"/>
      <c r="AB370" s="300"/>
      <c r="AC370" s="1230"/>
      <c r="AD370" s="1230"/>
      <c r="AE370" s="1230"/>
      <c r="AF370" s="1230"/>
      <c r="AG370" s="1230"/>
      <c r="AH370" s="1230"/>
    </row>
    <row r="371" spans="1:34">
      <c r="B371" s="300"/>
      <c r="C371" s="300"/>
      <c r="D371" s="300"/>
      <c r="E371" s="300"/>
      <c r="F371" s="300"/>
      <c r="G371" s="300"/>
      <c r="H371" s="300"/>
      <c r="I371" s="1271"/>
      <c r="J371" s="1271"/>
      <c r="K371" s="300"/>
      <c r="M371" s="300"/>
      <c r="N371" s="300"/>
      <c r="R371" s="300"/>
      <c r="S371" s="300"/>
      <c r="T371" s="300"/>
      <c r="U371" s="300"/>
      <c r="V371" s="300"/>
      <c r="W371" s="300"/>
      <c r="X371" s="300"/>
      <c r="Y371" s="300"/>
      <c r="Z371" s="300"/>
      <c r="AA371" s="300"/>
      <c r="AB371" s="300"/>
      <c r="AC371" s="1230"/>
      <c r="AD371" s="1230"/>
      <c r="AE371" s="1230"/>
      <c r="AF371" s="1230"/>
      <c r="AG371" s="1230"/>
      <c r="AH371" s="1230"/>
    </row>
    <row r="372" spans="1:34">
      <c r="B372" s="300"/>
      <c r="C372" s="300"/>
      <c r="D372" s="300"/>
      <c r="E372" s="300"/>
      <c r="F372" s="300"/>
      <c r="G372" s="300"/>
      <c r="H372" s="300"/>
      <c r="I372" s="1271"/>
      <c r="J372" s="1271"/>
      <c r="K372" s="300"/>
      <c r="M372" s="300"/>
      <c r="N372" s="300"/>
      <c r="R372" s="300"/>
      <c r="S372" s="300"/>
      <c r="T372" s="300"/>
      <c r="U372" s="300"/>
      <c r="V372" s="300"/>
      <c r="W372" s="300"/>
      <c r="X372" s="300"/>
      <c r="Y372" s="300"/>
      <c r="Z372" s="300"/>
      <c r="AA372" s="300"/>
      <c r="AB372" s="300"/>
      <c r="AC372" s="1230"/>
      <c r="AD372" s="1230"/>
      <c r="AE372" s="1230"/>
      <c r="AF372" s="1230"/>
      <c r="AG372" s="1230"/>
      <c r="AH372" s="1230"/>
    </row>
    <row r="373" spans="1:34">
      <c r="B373" s="300"/>
      <c r="C373" s="300"/>
      <c r="D373" s="300"/>
      <c r="E373" s="300"/>
      <c r="F373" s="300"/>
      <c r="G373" s="300"/>
      <c r="H373" s="300"/>
      <c r="I373" s="1271"/>
      <c r="J373" s="1271"/>
      <c r="K373" s="300"/>
      <c r="M373" s="300"/>
      <c r="N373" s="300"/>
      <c r="R373" s="300"/>
      <c r="S373" s="300"/>
      <c r="T373" s="300"/>
      <c r="U373" s="300"/>
      <c r="V373" s="300"/>
      <c r="W373" s="300"/>
      <c r="X373" s="300"/>
      <c r="Y373" s="300"/>
      <c r="Z373" s="300"/>
      <c r="AA373" s="300"/>
      <c r="AB373" s="300"/>
      <c r="AC373" s="1230"/>
      <c r="AD373" s="1230"/>
      <c r="AE373" s="1230"/>
      <c r="AF373" s="1230"/>
      <c r="AG373" s="1230"/>
      <c r="AH373" s="1230"/>
    </row>
    <row r="374" spans="1:34">
      <c r="B374" s="300"/>
      <c r="C374" s="300"/>
      <c r="D374" s="300"/>
      <c r="E374" s="300"/>
      <c r="F374" s="300"/>
      <c r="G374" s="300"/>
      <c r="H374" s="300"/>
      <c r="I374" s="1271"/>
      <c r="J374" s="1271"/>
      <c r="K374" s="300"/>
      <c r="M374" s="300"/>
      <c r="N374" s="300"/>
      <c r="R374" s="300"/>
      <c r="S374" s="300"/>
      <c r="T374" s="300"/>
      <c r="U374" s="300"/>
      <c r="V374" s="300"/>
      <c r="W374" s="300"/>
      <c r="X374" s="300"/>
      <c r="Y374" s="300"/>
      <c r="Z374" s="300"/>
      <c r="AA374" s="300"/>
      <c r="AB374" s="300"/>
      <c r="AC374" s="1230"/>
      <c r="AD374" s="1230"/>
      <c r="AE374" s="1230"/>
      <c r="AF374" s="1230"/>
      <c r="AG374" s="1230"/>
      <c r="AH374" s="1230"/>
    </row>
    <row r="375" spans="1:34">
      <c r="B375" s="300"/>
      <c r="C375" s="300"/>
      <c r="D375" s="300"/>
      <c r="E375" s="300"/>
      <c r="F375" s="300"/>
      <c r="G375" s="300"/>
      <c r="H375" s="300"/>
      <c r="I375" s="1271"/>
      <c r="J375" s="1271"/>
      <c r="K375" s="300"/>
      <c r="M375" s="300"/>
      <c r="N375" s="300"/>
      <c r="R375" s="300"/>
      <c r="S375" s="300"/>
      <c r="T375" s="300"/>
      <c r="U375" s="300"/>
      <c r="V375" s="300"/>
      <c r="W375" s="300"/>
      <c r="X375" s="300"/>
      <c r="Y375" s="300"/>
      <c r="Z375" s="300"/>
      <c r="AA375" s="300"/>
      <c r="AB375" s="300"/>
      <c r="AC375" s="1230"/>
      <c r="AD375" s="1230"/>
      <c r="AE375" s="1230"/>
      <c r="AF375" s="1230"/>
      <c r="AG375" s="1230"/>
      <c r="AH375" s="1230"/>
    </row>
    <row r="376" spans="1:34">
      <c r="B376" s="300"/>
      <c r="C376" s="300"/>
      <c r="D376" s="300"/>
      <c r="E376" s="300"/>
      <c r="F376" s="300"/>
      <c r="G376" s="300"/>
      <c r="H376" s="300"/>
      <c r="I376" s="1271"/>
      <c r="J376" s="1271"/>
      <c r="K376" s="300"/>
      <c r="M376" s="300"/>
      <c r="N376" s="300"/>
      <c r="R376" s="300"/>
      <c r="S376" s="300"/>
      <c r="T376" s="300"/>
      <c r="U376" s="300"/>
      <c r="V376" s="300"/>
      <c r="W376" s="300"/>
      <c r="X376" s="300"/>
      <c r="Y376" s="300"/>
      <c r="Z376" s="300"/>
      <c r="AA376" s="300"/>
      <c r="AB376" s="300"/>
      <c r="AC376" s="1230"/>
      <c r="AD376" s="1230"/>
      <c r="AE376" s="1230"/>
      <c r="AF376" s="1230"/>
      <c r="AG376" s="1230"/>
      <c r="AH376" s="1230"/>
    </row>
    <row r="377" spans="1:34">
      <c r="B377" s="300"/>
      <c r="C377" s="300"/>
      <c r="D377" s="300"/>
      <c r="E377" s="300"/>
      <c r="F377" s="300"/>
      <c r="G377" s="300"/>
      <c r="H377" s="300"/>
      <c r="I377" s="300"/>
      <c r="J377" s="300"/>
      <c r="K377" s="300"/>
      <c r="M377" s="300"/>
      <c r="N377" s="300"/>
      <c r="R377" s="300"/>
      <c r="S377" s="300"/>
      <c r="T377" s="300"/>
      <c r="U377" s="300"/>
      <c r="V377" s="300"/>
      <c r="W377" s="300"/>
      <c r="X377" s="300"/>
      <c r="Y377" s="300"/>
      <c r="Z377" s="300"/>
      <c r="AA377" s="300"/>
      <c r="AB377" s="300"/>
      <c r="AC377" s="1230"/>
      <c r="AD377" s="1230"/>
      <c r="AE377" s="1230"/>
      <c r="AF377" s="1230"/>
      <c r="AG377" s="1230"/>
      <c r="AH377" s="1230"/>
    </row>
    <row r="378" spans="1:34">
      <c r="B378" s="300"/>
      <c r="C378" s="300"/>
      <c r="D378" s="300"/>
      <c r="E378" s="300"/>
      <c r="F378" s="300"/>
      <c r="G378" s="300"/>
      <c r="H378" s="300"/>
      <c r="I378" s="300"/>
      <c r="J378" s="300"/>
      <c r="K378" s="300"/>
      <c r="M378" s="300"/>
      <c r="N378" s="300"/>
      <c r="R378" s="300"/>
      <c r="S378" s="300"/>
      <c r="T378" s="300"/>
      <c r="U378" s="300"/>
      <c r="V378" s="300"/>
      <c r="W378" s="300"/>
      <c r="X378" s="300"/>
      <c r="Y378" s="300"/>
      <c r="Z378" s="300"/>
      <c r="AA378" s="300"/>
      <c r="AB378" s="300"/>
      <c r="AC378" s="1230"/>
      <c r="AD378" s="1230"/>
      <c r="AE378" s="1230"/>
      <c r="AF378" s="1230"/>
      <c r="AG378" s="1230"/>
      <c r="AH378" s="1230"/>
    </row>
    <row r="379" spans="1:34">
      <c r="B379" s="300"/>
      <c r="C379" s="300"/>
      <c r="D379" s="300"/>
      <c r="E379" s="300"/>
      <c r="F379" s="300"/>
      <c r="G379" s="300"/>
      <c r="H379" s="300"/>
      <c r="I379" s="300"/>
      <c r="J379" s="300"/>
      <c r="K379" s="300"/>
      <c r="M379" s="300"/>
      <c r="N379" s="300"/>
      <c r="R379" s="300"/>
      <c r="S379" s="300"/>
      <c r="T379" s="300"/>
      <c r="U379" s="300"/>
      <c r="V379" s="300"/>
      <c r="W379" s="300"/>
      <c r="X379" s="300"/>
      <c r="Y379" s="300"/>
      <c r="Z379" s="300"/>
      <c r="AA379" s="300"/>
      <c r="AB379" s="300"/>
      <c r="AC379" s="1230"/>
      <c r="AD379" s="1230"/>
      <c r="AE379" s="1230"/>
      <c r="AF379" s="1230"/>
      <c r="AG379" s="1230"/>
      <c r="AH379" s="1230"/>
    </row>
    <row r="380" spans="1:34">
      <c r="B380" s="300"/>
      <c r="C380" s="300"/>
      <c r="D380" s="300"/>
      <c r="E380" s="300"/>
      <c r="F380" s="300"/>
      <c r="G380" s="300"/>
      <c r="H380" s="300"/>
      <c r="I380" s="300"/>
      <c r="J380" s="300"/>
      <c r="K380" s="300"/>
      <c r="M380" s="300"/>
      <c r="N380" s="300"/>
      <c r="R380" s="300"/>
      <c r="S380" s="300"/>
      <c r="T380" s="300"/>
      <c r="U380" s="300"/>
      <c r="V380" s="300"/>
      <c r="W380" s="300"/>
      <c r="X380" s="300"/>
      <c r="Y380" s="300"/>
      <c r="Z380" s="300"/>
      <c r="AA380" s="300"/>
      <c r="AB380" s="300"/>
      <c r="AC380" s="1230"/>
      <c r="AD380" s="1230"/>
      <c r="AE380" s="1230"/>
      <c r="AF380" s="1230"/>
      <c r="AG380" s="1230"/>
      <c r="AH380" s="1230"/>
    </row>
    <row r="381" spans="1:34">
      <c r="A381" s="300"/>
      <c r="B381" s="300"/>
      <c r="C381" s="300"/>
      <c r="D381" s="300"/>
      <c r="E381" s="300"/>
      <c r="F381" s="300"/>
      <c r="G381" s="300"/>
      <c r="H381" s="300"/>
      <c r="I381" s="300"/>
      <c r="J381" s="300"/>
      <c r="K381" s="300"/>
      <c r="M381" s="300"/>
      <c r="N381" s="300"/>
      <c r="R381" s="300"/>
      <c r="S381" s="300"/>
      <c r="T381" s="300"/>
      <c r="U381" s="300"/>
      <c r="V381" s="300"/>
      <c r="W381" s="300"/>
      <c r="X381" s="300"/>
      <c r="Y381" s="300"/>
      <c r="Z381" s="300"/>
      <c r="AA381" s="300"/>
      <c r="AB381" s="1230"/>
      <c r="AC381" s="1230"/>
      <c r="AD381" s="1230"/>
      <c r="AE381" s="1230"/>
      <c r="AF381" s="1230"/>
      <c r="AG381" s="1230"/>
    </row>
    <row r="382" spans="1:34">
      <c r="A382" s="300"/>
      <c r="B382" s="300"/>
      <c r="C382" s="300"/>
      <c r="D382" s="300"/>
      <c r="E382" s="300"/>
      <c r="F382" s="300"/>
      <c r="G382" s="300"/>
      <c r="H382" s="300"/>
      <c r="I382" s="300"/>
      <c r="J382" s="300"/>
      <c r="K382" s="300"/>
      <c r="M382" s="300"/>
      <c r="N382" s="300"/>
      <c r="R382" s="300"/>
      <c r="S382" s="300"/>
      <c r="T382" s="300"/>
      <c r="U382" s="300"/>
      <c r="V382" s="300"/>
      <c r="W382" s="300"/>
      <c r="X382" s="300"/>
      <c r="Y382" s="300"/>
      <c r="Z382" s="300"/>
      <c r="AA382" s="300"/>
      <c r="AB382" s="1230"/>
      <c r="AC382" s="1230"/>
      <c r="AD382" s="1230"/>
      <c r="AE382" s="1230"/>
      <c r="AF382" s="1230"/>
      <c r="AG382" s="1230"/>
    </row>
    <row r="383" spans="1:34">
      <c r="A383" s="300"/>
      <c r="B383" s="300"/>
      <c r="C383" s="300"/>
      <c r="D383" s="300"/>
      <c r="E383" s="300"/>
      <c r="F383" s="300"/>
      <c r="G383" s="300"/>
      <c r="H383" s="300"/>
      <c r="I383" s="300"/>
      <c r="J383" s="300"/>
      <c r="K383" s="300"/>
      <c r="M383" s="300"/>
      <c r="N383" s="300"/>
      <c r="R383" s="300"/>
      <c r="S383" s="300"/>
      <c r="T383" s="300"/>
      <c r="U383" s="300"/>
      <c r="V383" s="300"/>
      <c r="W383" s="300"/>
      <c r="X383" s="300"/>
      <c r="Y383" s="300"/>
      <c r="Z383" s="300"/>
      <c r="AA383" s="300"/>
      <c r="AB383" s="1230"/>
      <c r="AC383" s="1230"/>
      <c r="AD383" s="1230"/>
      <c r="AE383" s="1230"/>
      <c r="AF383" s="1230"/>
      <c r="AG383" s="1230"/>
    </row>
    <row r="384" spans="1:34">
      <c r="A384" s="300"/>
      <c r="B384" s="300"/>
      <c r="C384" s="300"/>
      <c r="D384" s="300"/>
      <c r="E384" s="300"/>
      <c r="F384" s="300"/>
      <c r="G384" s="300"/>
      <c r="H384" s="300"/>
      <c r="I384" s="300"/>
      <c r="J384" s="300"/>
      <c r="K384" s="300"/>
      <c r="M384" s="300"/>
      <c r="N384" s="300"/>
      <c r="R384" s="300"/>
      <c r="S384" s="300"/>
      <c r="T384" s="300"/>
      <c r="U384" s="300"/>
      <c r="V384" s="300"/>
      <c r="W384" s="300"/>
      <c r="X384" s="300"/>
      <c r="Y384" s="300"/>
      <c r="Z384" s="300"/>
      <c r="AA384" s="300"/>
      <c r="AB384" s="1230"/>
      <c r="AC384" s="1230"/>
      <c r="AD384" s="1230"/>
      <c r="AE384" s="1230"/>
      <c r="AF384" s="1230"/>
      <c r="AG384" s="1230"/>
    </row>
    <row r="385" spans="1:33">
      <c r="A385" s="300"/>
      <c r="B385" s="300"/>
      <c r="C385" s="300"/>
      <c r="D385" s="300"/>
      <c r="E385" s="300"/>
      <c r="F385" s="300"/>
      <c r="G385" s="300"/>
      <c r="H385" s="300"/>
      <c r="I385" s="300"/>
      <c r="J385" s="300"/>
      <c r="K385" s="300"/>
      <c r="M385" s="300"/>
      <c r="N385" s="300"/>
      <c r="R385" s="300"/>
      <c r="S385" s="300"/>
      <c r="T385" s="300"/>
      <c r="U385" s="300"/>
      <c r="V385" s="300"/>
      <c r="W385" s="300"/>
      <c r="X385" s="300"/>
      <c r="Y385" s="300"/>
      <c r="Z385" s="300"/>
      <c r="AA385" s="300"/>
      <c r="AB385" s="1230"/>
      <c r="AC385" s="1230"/>
      <c r="AD385" s="1230"/>
      <c r="AE385" s="1230"/>
      <c r="AF385" s="1230"/>
      <c r="AG385" s="1230"/>
    </row>
    <row r="386" spans="1:33">
      <c r="A386" s="300"/>
      <c r="B386" s="300"/>
      <c r="C386" s="300"/>
      <c r="D386" s="300"/>
      <c r="E386" s="300"/>
      <c r="F386" s="300"/>
      <c r="G386" s="300"/>
      <c r="H386" s="300"/>
      <c r="I386" s="300"/>
      <c r="J386" s="300"/>
      <c r="K386" s="300"/>
      <c r="M386" s="300"/>
      <c r="N386" s="300"/>
      <c r="R386" s="300"/>
      <c r="S386" s="300"/>
      <c r="T386" s="300"/>
      <c r="U386" s="300"/>
      <c r="V386" s="300"/>
      <c r="W386" s="300"/>
      <c r="X386" s="300"/>
      <c r="Y386" s="300"/>
      <c r="Z386" s="300"/>
      <c r="AA386" s="300"/>
      <c r="AB386" s="1230"/>
      <c r="AC386" s="1230"/>
      <c r="AD386" s="1230"/>
      <c r="AE386" s="1230"/>
      <c r="AF386" s="1230"/>
      <c r="AG386" s="1230"/>
    </row>
    <row r="387" spans="1:33">
      <c r="A387" s="300"/>
      <c r="B387" s="300"/>
      <c r="C387" s="300"/>
      <c r="D387" s="300"/>
      <c r="E387" s="300"/>
      <c r="F387" s="300"/>
      <c r="G387" s="300"/>
      <c r="H387" s="300"/>
      <c r="I387" s="300"/>
      <c r="J387" s="300"/>
      <c r="K387" s="300"/>
      <c r="M387" s="300"/>
      <c r="N387" s="300"/>
      <c r="R387" s="300"/>
      <c r="S387" s="300"/>
      <c r="T387" s="300"/>
      <c r="U387" s="300"/>
      <c r="V387" s="300"/>
      <c r="W387" s="300"/>
      <c r="X387" s="300"/>
      <c r="Y387" s="300"/>
      <c r="Z387" s="300"/>
      <c r="AA387" s="300"/>
      <c r="AB387" s="1230"/>
      <c r="AC387" s="1230"/>
      <c r="AD387" s="1230"/>
      <c r="AE387" s="1230"/>
      <c r="AF387" s="1230"/>
      <c r="AG387" s="1230"/>
    </row>
    <row r="388" spans="1:33">
      <c r="A388" s="300"/>
      <c r="B388" s="300"/>
      <c r="C388" s="300"/>
      <c r="D388" s="300"/>
      <c r="E388" s="300"/>
      <c r="F388" s="300"/>
      <c r="G388" s="300"/>
      <c r="H388" s="300"/>
      <c r="I388" s="300"/>
      <c r="J388" s="300"/>
      <c r="K388" s="300"/>
      <c r="M388" s="300"/>
      <c r="N388" s="300"/>
      <c r="R388" s="300"/>
      <c r="S388" s="300"/>
      <c r="T388" s="300"/>
      <c r="U388" s="300"/>
      <c r="V388" s="300"/>
      <c r="W388" s="300"/>
      <c r="X388" s="300"/>
      <c r="Y388" s="300"/>
      <c r="Z388" s="300"/>
      <c r="AA388" s="300"/>
      <c r="AB388" s="1230"/>
      <c r="AC388" s="1230"/>
      <c r="AD388" s="1230"/>
      <c r="AE388" s="1230"/>
      <c r="AF388" s="1230"/>
      <c r="AG388" s="1230"/>
    </row>
    <row r="389" spans="1:33">
      <c r="A389" s="300"/>
      <c r="B389" s="300"/>
      <c r="C389" s="300"/>
      <c r="D389" s="300"/>
      <c r="E389" s="300"/>
      <c r="F389" s="300"/>
      <c r="G389" s="300"/>
      <c r="H389" s="300"/>
      <c r="I389" s="300"/>
      <c r="J389" s="300"/>
      <c r="K389" s="300"/>
      <c r="M389" s="300"/>
      <c r="N389" s="300"/>
      <c r="R389" s="300"/>
      <c r="S389" s="300"/>
      <c r="T389" s="300"/>
      <c r="U389" s="300"/>
      <c r="V389" s="300"/>
      <c r="W389" s="300"/>
      <c r="X389" s="300"/>
      <c r="Y389" s="300"/>
      <c r="Z389" s="300"/>
      <c r="AA389" s="300"/>
      <c r="AB389" s="1230"/>
      <c r="AC389" s="1230"/>
      <c r="AD389" s="1230"/>
      <c r="AE389" s="1230"/>
      <c r="AF389" s="1230"/>
      <c r="AG389" s="1230"/>
    </row>
    <row r="390" spans="1:33">
      <c r="A390" s="300"/>
      <c r="B390" s="300"/>
      <c r="C390" s="300"/>
      <c r="D390" s="300"/>
      <c r="E390" s="300"/>
      <c r="F390" s="300"/>
      <c r="G390" s="300"/>
      <c r="H390" s="300"/>
      <c r="I390" s="300"/>
      <c r="J390" s="300"/>
      <c r="K390" s="300"/>
      <c r="M390" s="300"/>
      <c r="N390" s="300"/>
      <c r="R390" s="300"/>
      <c r="S390" s="300"/>
      <c r="T390" s="300"/>
      <c r="U390" s="300"/>
      <c r="V390" s="300"/>
      <c r="W390" s="300"/>
      <c r="X390" s="300"/>
      <c r="Y390" s="300"/>
      <c r="Z390" s="300"/>
      <c r="AA390" s="300"/>
      <c r="AB390" s="1230"/>
      <c r="AC390" s="1230"/>
      <c r="AD390" s="1230"/>
      <c r="AE390" s="1230"/>
      <c r="AF390" s="1230"/>
      <c r="AG390" s="1230"/>
    </row>
    <row r="391" spans="1:33">
      <c r="A391" s="300"/>
      <c r="B391" s="300"/>
      <c r="C391" s="300"/>
      <c r="D391" s="300"/>
      <c r="E391" s="300"/>
      <c r="F391" s="300"/>
      <c r="G391" s="300"/>
      <c r="H391" s="300"/>
      <c r="I391" s="300"/>
      <c r="J391" s="300"/>
      <c r="K391" s="300"/>
      <c r="M391" s="300"/>
      <c r="N391" s="300"/>
      <c r="R391" s="300"/>
      <c r="S391" s="300"/>
      <c r="T391" s="300"/>
      <c r="U391" s="300"/>
      <c r="V391" s="300"/>
      <c r="W391" s="300"/>
      <c r="X391" s="300"/>
      <c r="Y391" s="300"/>
      <c r="Z391" s="300"/>
      <c r="AA391" s="300"/>
      <c r="AB391" s="1230"/>
      <c r="AC391" s="1230"/>
      <c r="AD391" s="1230"/>
      <c r="AE391" s="1230"/>
      <c r="AF391" s="1230"/>
      <c r="AG391" s="1230"/>
    </row>
    <row r="392" spans="1:33">
      <c r="A392" s="300"/>
      <c r="B392" s="300"/>
      <c r="C392" s="300"/>
      <c r="D392" s="300"/>
      <c r="E392" s="300"/>
      <c r="F392" s="300"/>
      <c r="G392" s="300"/>
      <c r="H392" s="300"/>
      <c r="I392" s="300"/>
      <c r="J392" s="300"/>
      <c r="K392" s="300"/>
      <c r="M392" s="300"/>
      <c r="N392" s="300"/>
      <c r="R392" s="300"/>
      <c r="S392" s="300"/>
      <c r="T392" s="300"/>
      <c r="U392" s="300"/>
      <c r="V392" s="300"/>
      <c r="W392" s="300"/>
      <c r="X392" s="300"/>
      <c r="Y392" s="300"/>
      <c r="Z392" s="300"/>
      <c r="AA392" s="300"/>
      <c r="AB392" s="1230"/>
      <c r="AC392" s="1230"/>
      <c r="AD392" s="1230"/>
      <c r="AE392" s="1230"/>
      <c r="AF392" s="1230"/>
      <c r="AG392" s="1230"/>
    </row>
    <row r="393" spans="1:33">
      <c r="A393" s="300"/>
      <c r="B393" s="300"/>
      <c r="C393" s="300"/>
      <c r="D393" s="300"/>
      <c r="E393" s="300"/>
      <c r="F393" s="300"/>
      <c r="G393" s="300"/>
      <c r="H393" s="300"/>
      <c r="I393" s="300"/>
      <c r="J393" s="300"/>
      <c r="K393" s="300"/>
      <c r="M393" s="300"/>
      <c r="N393" s="300"/>
      <c r="R393" s="300"/>
      <c r="S393" s="300"/>
      <c r="T393" s="300"/>
      <c r="U393" s="300"/>
      <c r="V393" s="300"/>
      <c r="W393" s="300"/>
      <c r="X393" s="300"/>
      <c r="Y393" s="300"/>
      <c r="Z393" s="300"/>
      <c r="AA393" s="300"/>
      <c r="AB393" s="1230"/>
      <c r="AC393" s="1230"/>
      <c r="AD393" s="1230"/>
      <c r="AE393" s="1230"/>
      <c r="AF393" s="1230"/>
      <c r="AG393" s="1230"/>
    </row>
    <row r="394" spans="1:33">
      <c r="A394" s="300"/>
      <c r="B394" s="300"/>
      <c r="C394" s="300"/>
      <c r="D394" s="300"/>
      <c r="E394" s="300"/>
      <c r="F394" s="300"/>
      <c r="G394" s="300"/>
      <c r="H394" s="300"/>
      <c r="I394" s="300"/>
      <c r="J394" s="300"/>
      <c r="K394" s="300"/>
      <c r="M394" s="300"/>
      <c r="N394" s="300"/>
      <c r="R394" s="300"/>
      <c r="S394" s="300"/>
      <c r="T394" s="300"/>
      <c r="U394" s="300"/>
      <c r="V394" s="300"/>
      <c r="W394" s="300"/>
      <c r="X394" s="300"/>
      <c r="Y394" s="300"/>
      <c r="Z394" s="300"/>
      <c r="AA394" s="300"/>
      <c r="AB394" s="1230"/>
      <c r="AC394" s="1230"/>
      <c r="AD394" s="1230"/>
      <c r="AE394" s="1230"/>
      <c r="AF394" s="1230"/>
      <c r="AG394" s="1230"/>
    </row>
    <row r="395" spans="1:33">
      <c r="A395" s="300"/>
      <c r="B395" s="300"/>
      <c r="C395" s="300"/>
      <c r="D395" s="300"/>
      <c r="E395" s="300"/>
      <c r="F395" s="300"/>
      <c r="G395" s="300"/>
      <c r="H395" s="300"/>
      <c r="I395" s="300"/>
      <c r="J395" s="300"/>
      <c r="K395" s="300"/>
      <c r="M395" s="300"/>
      <c r="N395" s="300"/>
      <c r="R395" s="300"/>
      <c r="S395" s="300"/>
      <c r="T395" s="300"/>
      <c r="U395" s="300"/>
      <c r="V395" s="300"/>
      <c r="W395" s="300"/>
      <c r="X395" s="300"/>
      <c r="Y395" s="300"/>
      <c r="Z395" s="300"/>
      <c r="AA395" s="300"/>
      <c r="AB395" s="1230"/>
      <c r="AC395" s="1230"/>
      <c r="AD395" s="1230"/>
      <c r="AE395" s="1230"/>
      <c r="AF395" s="1230"/>
      <c r="AG395" s="1230"/>
    </row>
    <row r="396" spans="1:33">
      <c r="A396" s="300"/>
      <c r="B396" s="300"/>
      <c r="C396" s="300"/>
      <c r="D396" s="300"/>
      <c r="E396" s="300"/>
      <c r="F396" s="300"/>
      <c r="G396" s="300"/>
      <c r="H396" s="300"/>
      <c r="I396" s="300"/>
      <c r="J396" s="300"/>
      <c r="K396" s="300"/>
      <c r="M396" s="300"/>
      <c r="N396" s="300"/>
      <c r="R396" s="300"/>
      <c r="S396" s="300"/>
      <c r="T396" s="300"/>
      <c r="U396" s="300"/>
      <c r="V396" s="300"/>
      <c r="W396" s="300"/>
      <c r="X396" s="300"/>
      <c r="Y396" s="300"/>
      <c r="Z396" s="300"/>
      <c r="AA396" s="300"/>
      <c r="AB396" s="1230"/>
      <c r="AC396" s="1230"/>
      <c r="AD396" s="1230"/>
      <c r="AE396" s="1230"/>
      <c r="AF396" s="1230"/>
      <c r="AG396" s="1230"/>
    </row>
    <row r="397" spans="1:33">
      <c r="A397" s="300"/>
      <c r="B397" s="300"/>
      <c r="C397" s="300"/>
      <c r="D397" s="300"/>
      <c r="E397" s="300"/>
      <c r="F397" s="300"/>
      <c r="G397" s="300"/>
      <c r="H397" s="300"/>
      <c r="I397" s="300"/>
      <c r="J397" s="300"/>
      <c r="K397" s="300"/>
      <c r="M397" s="300"/>
      <c r="N397" s="300"/>
      <c r="R397" s="300"/>
      <c r="S397" s="300"/>
      <c r="T397" s="300"/>
      <c r="U397" s="300"/>
      <c r="V397" s="300"/>
      <c r="W397" s="300"/>
      <c r="X397" s="300"/>
      <c r="Y397" s="300"/>
      <c r="Z397" s="300"/>
      <c r="AA397" s="300"/>
      <c r="AB397" s="1230"/>
      <c r="AC397" s="1230"/>
      <c r="AD397" s="1230"/>
      <c r="AE397" s="1230"/>
      <c r="AF397" s="1230"/>
      <c r="AG397" s="1230"/>
    </row>
    <row r="398" spans="1:33">
      <c r="A398" s="300"/>
      <c r="B398" s="300"/>
      <c r="C398" s="300"/>
      <c r="D398" s="300"/>
      <c r="E398" s="300"/>
      <c r="F398" s="300"/>
      <c r="G398" s="300"/>
      <c r="H398" s="300"/>
      <c r="I398" s="300"/>
      <c r="J398" s="300"/>
      <c r="K398" s="300"/>
      <c r="M398" s="300"/>
      <c r="N398" s="300"/>
      <c r="R398" s="300"/>
      <c r="S398" s="300"/>
      <c r="T398" s="300"/>
      <c r="U398" s="300"/>
      <c r="V398" s="300"/>
      <c r="W398" s="300"/>
      <c r="X398" s="300"/>
      <c r="Y398" s="300"/>
      <c r="Z398" s="300"/>
      <c r="AA398" s="300"/>
      <c r="AB398" s="1230"/>
      <c r="AC398" s="1230"/>
      <c r="AD398" s="1230"/>
      <c r="AE398" s="1230"/>
      <c r="AF398" s="1230"/>
      <c r="AG398" s="1230"/>
    </row>
    <row r="399" spans="1:33">
      <c r="A399" s="300"/>
      <c r="B399" s="300"/>
      <c r="C399" s="300"/>
      <c r="D399" s="300"/>
      <c r="E399" s="300"/>
      <c r="F399" s="300"/>
      <c r="G399" s="300"/>
      <c r="H399" s="300"/>
      <c r="I399" s="300"/>
      <c r="J399" s="300"/>
      <c r="K399" s="300"/>
      <c r="M399" s="300"/>
      <c r="N399" s="300"/>
      <c r="R399" s="300"/>
      <c r="S399" s="300"/>
      <c r="T399" s="300"/>
      <c r="U399" s="300"/>
      <c r="V399" s="300"/>
      <c r="W399" s="300"/>
      <c r="X399" s="300"/>
      <c r="Y399" s="300"/>
      <c r="Z399" s="300"/>
      <c r="AA399" s="300"/>
      <c r="AB399" s="1230"/>
      <c r="AC399" s="1230"/>
      <c r="AD399" s="1230"/>
      <c r="AE399" s="1230"/>
      <c r="AF399" s="1230"/>
      <c r="AG399" s="1230"/>
    </row>
    <row r="400" spans="1:33">
      <c r="A400" s="300"/>
      <c r="B400" s="300"/>
      <c r="C400" s="300"/>
      <c r="D400" s="300"/>
      <c r="E400" s="300"/>
      <c r="F400" s="300"/>
      <c r="G400" s="300"/>
      <c r="H400" s="300"/>
      <c r="I400" s="300"/>
      <c r="J400" s="300"/>
      <c r="K400" s="300"/>
      <c r="M400" s="300"/>
      <c r="N400" s="300"/>
      <c r="R400" s="300"/>
      <c r="S400" s="300"/>
      <c r="T400" s="300"/>
      <c r="U400" s="300"/>
      <c r="V400" s="300"/>
      <c r="W400" s="300"/>
      <c r="X400" s="300"/>
      <c r="Y400" s="300"/>
      <c r="Z400" s="300"/>
      <c r="AA400" s="300"/>
      <c r="AB400" s="1230"/>
      <c r="AC400" s="1230"/>
      <c r="AD400" s="1230"/>
      <c r="AE400" s="1230"/>
      <c r="AF400" s="1230"/>
      <c r="AG400" s="1230"/>
    </row>
    <row r="401" spans="1:33">
      <c r="A401" s="300"/>
      <c r="B401" s="300"/>
      <c r="C401" s="300"/>
      <c r="D401" s="300"/>
      <c r="E401" s="300"/>
      <c r="F401" s="300"/>
      <c r="G401" s="300"/>
      <c r="H401" s="300"/>
      <c r="I401" s="300"/>
      <c r="J401" s="300"/>
      <c r="K401" s="300"/>
      <c r="M401" s="300"/>
      <c r="N401" s="300"/>
      <c r="R401" s="300"/>
      <c r="S401" s="300"/>
      <c r="T401" s="300"/>
      <c r="U401" s="300"/>
      <c r="V401" s="300"/>
      <c r="W401" s="300"/>
      <c r="X401" s="300"/>
      <c r="Y401" s="300"/>
      <c r="Z401" s="300"/>
      <c r="AA401" s="300"/>
      <c r="AB401" s="1230"/>
      <c r="AC401" s="1230"/>
      <c r="AD401" s="1230"/>
      <c r="AE401" s="1230"/>
      <c r="AF401" s="1230"/>
      <c r="AG401" s="1230"/>
    </row>
    <row r="402" spans="1:33">
      <c r="A402" s="300"/>
      <c r="B402" s="300"/>
      <c r="C402" s="300"/>
      <c r="D402" s="300"/>
      <c r="E402" s="300"/>
      <c r="F402" s="300"/>
      <c r="G402" s="300"/>
      <c r="H402" s="300"/>
      <c r="I402" s="300"/>
      <c r="J402" s="300"/>
      <c r="K402" s="300"/>
      <c r="M402" s="300"/>
      <c r="N402" s="300"/>
      <c r="R402" s="300"/>
      <c r="S402" s="300"/>
      <c r="T402" s="300"/>
      <c r="U402" s="300"/>
      <c r="V402" s="300"/>
      <c r="W402" s="300"/>
      <c r="X402" s="300"/>
      <c r="Y402" s="300"/>
      <c r="Z402" s="300"/>
      <c r="AA402" s="300"/>
      <c r="AB402" s="1230"/>
      <c r="AC402" s="1230"/>
      <c r="AD402" s="1230"/>
      <c r="AE402" s="1230"/>
      <c r="AF402" s="1230"/>
      <c r="AG402" s="1230"/>
    </row>
    <row r="403" spans="1:33">
      <c r="A403" s="300"/>
      <c r="B403" s="300"/>
      <c r="C403" s="300"/>
      <c r="D403" s="300"/>
      <c r="E403" s="300"/>
      <c r="F403" s="300"/>
      <c r="G403" s="300"/>
      <c r="H403" s="300"/>
      <c r="I403" s="300"/>
      <c r="J403" s="300"/>
      <c r="K403" s="300"/>
      <c r="M403" s="300"/>
      <c r="N403" s="300"/>
      <c r="R403" s="300"/>
      <c r="S403" s="300"/>
      <c r="T403" s="300"/>
      <c r="U403" s="300"/>
      <c r="V403" s="300"/>
      <c r="W403" s="300"/>
      <c r="X403" s="300"/>
      <c r="Y403" s="300"/>
      <c r="Z403" s="300"/>
      <c r="AA403" s="300"/>
      <c r="AB403" s="1230"/>
      <c r="AC403" s="1230"/>
      <c r="AD403" s="1230"/>
      <c r="AE403" s="1230"/>
      <c r="AF403" s="1230"/>
      <c r="AG403" s="1230"/>
    </row>
    <row r="404" spans="1:33">
      <c r="J404" s="1230"/>
      <c r="K404" s="1230"/>
      <c r="M404" s="1230"/>
      <c r="N404" s="1230"/>
      <c r="R404" s="1230"/>
      <c r="S404" s="1230"/>
      <c r="T404" s="1230"/>
      <c r="U404" s="1230"/>
      <c r="V404" s="1230"/>
      <c r="W404" s="1230"/>
      <c r="X404" s="1230"/>
      <c r="Y404" s="1230"/>
      <c r="Z404" s="1230"/>
      <c r="AA404" s="1230"/>
      <c r="AB404" s="1230"/>
      <c r="AC404" s="1230"/>
      <c r="AD404" s="1230"/>
      <c r="AE404" s="1230"/>
      <c r="AF404" s="1230"/>
      <c r="AG404" s="1230"/>
    </row>
    <row r="405" spans="1:33">
      <c r="J405" s="1230"/>
      <c r="K405" s="1230"/>
      <c r="M405" s="1230"/>
      <c r="N405" s="1230"/>
      <c r="R405" s="1230"/>
      <c r="S405" s="1230"/>
      <c r="T405" s="1230"/>
      <c r="U405" s="1230"/>
      <c r="V405" s="1230"/>
      <c r="W405" s="1230"/>
      <c r="X405" s="1230"/>
      <c r="Y405" s="1230"/>
      <c r="Z405" s="1230"/>
      <c r="AA405" s="1230"/>
      <c r="AB405" s="1230"/>
      <c r="AC405" s="1230"/>
      <c r="AD405" s="1230"/>
      <c r="AE405" s="1230"/>
      <c r="AF405" s="1230"/>
      <c r="AG405" s="1230"/>
    </row>
    <row r="406" spans="1:33">
      <c r="J406" s="1230"/>
      <c r="K406" s="1230"/>
      <c r="M406" s="1230"/>
      <c r="N406" s="1230"/>
      <c r="R406" s="1230"/>
      <c r="S406" s="1230"/>
      <c r="T406" s="1230"/>
      <c r="U406" s="1230"/>
      <c r="V406" s="1230"/>
      <c r="W406" s="1230"/>
      <c r="X406" s="1230"/>
      <c r="Y406" s="1230"/>
      <c r="Z406" s="1230"/>
      <c r="AA406" s="1230"/>
      <c r="AB406" s="1230"/>
      <c r="AC406" s="1230"/>
      <c r="AD406" s="1230"/>
      <c r="AE406" s="1230"/>
      <c r="AF406" s="1230"/>
      <c r="AG406" s="1230"/>
    </row>
    <row r="407" spans="1:33">
      <c r="J407" s="1230"/>
      <c r="K407" s="1230"/>
      <c r="M407" s="1230"/>
      <c r="N407" s="1230"/>
      <c r="R407" s="1230"/>
      <c r="S407" s="1230"/>
      <c r="T407" s="1230"/>
      <c r="U407" s="1230"/>
      <c r="V407" s="1230"/>
      <c r="W407" s="1230"/>
      <c r="X407" s="1230"/>
      <c r="Y407" s="1230"/>
      <c r="Z407" s="1230"/>
      <c r="AA407" s="1230"/>
      <c r="AB407" s="1230"/>
      <c r="AC407" s="1230"/>
      <c r="AD407" s="1230"/>
      <c r="AE407" s="1230"/>
      <c r="AF407" s="1230"/>
      <c r="AG407" s="1230"/>
    </row>
    <row r="408" spans="1:33">
      <c r="J408" s="1230"/>
      <c r="K408" s="1230"/>
      <c r="M408" s="1230"/>
      <c r="N408" s="1230"/>
      <c r="R408" s="1230"/>
      <c r="S408" s="1230"/>
      <c r="T408" s="1230"/>
      <c r="U408" s="1230"/>
      <c r="V408" s="1230"/>
      <c r="W408" s="1230"/>
      <c r="X408" s="1230"/>
      <c r="Y408" s="1230"/>
      <c r="Z408" s="1230"/>
      <c r="AA408" s="1230"/>
      <c r="AB408" s="1230"/>
      <c r="AC408" s="1230"/>
      <c r="AD408" s="1230"/>
      <c r="AE408" s="1230"/>
      <c r="AF408" s="1230"/>
      <c r="AG408" s="1230"/>
    </row>
    <row r="409" spans="1:33">
      <c r="J409" s="1230"/>
      <c r="K409" s="1230"/>
      <c r="M409" s="1230"/>
      <c r="N409" s="1230"/>
      <c r="R409" s="1230"/>
      <c r="S409" s="1230"/>
      <c r="T409" s="1230"/>
      <c r="U409" s="1230"/>
      <c r="V409" s="1230"/>
      <c r="W409" s="1230"/>
      <c r="X409" s="1230"/>
      <c r="Y409" s="1230"/>
      <c r="Z409" s="1230"/>
      <c r="AA409" s="1230"/>
      <c r="AB409" s="1230"/>
      <c r="AC409" s="1230"/>
      <c r="AD409" s="1230"/>
      <c r="AE409" s="1230"/>
      <c r="AF409" s="1230"/>
      <c r="AG409" s="1230"/>
    </row>
    <row r="410" spans="1:33">
      <c r="J410" s="1230"/>
      <c r="K410" s="1230"/>
      <c r="M410" s="1230"/>
      <c r="N410" s="1230"/>
      <c r="R410" s="1230"/>
      <c r="S410" s="1230"/>
      <c r="T410" s="1230"/>
      <c r="U410" s="1230"/>
      <c r="V410" s="1230"/>
      <c r="W410" s="1230"/>
      <c r="X410" s="1230"/>
      <c r="Y410" s="1230"/>
      <c r="Z410" s="1230"/>
      <c r="AA410" s="1230"/>
      <c r="AB410" s="1230"/>
      <c r="AC410" s="1230"/>
      <c r="AD410" s="1230"/>
      <c r="AE410" s="1230"/>
      <c r="AF410" s="1230"/>
      <c r="AG410" s="1230"/>
    </row>
    <row r="411" spans="1:33">
      <c r="J411" s="1230"/>
      <c r="K411" s="1230"/>
      <c r="M411" s="1230"/>
      <c r="N411" s="1230"/>
      <c r="R411" s="1230"/>
      <c r="S411" s="1230"/>
      <c r="T411" s="1230"/>
      <c r="U411" s="1230"/>
      <c r="V411" s="1230"/>
      <c r="W411" s="1230"/>
      <c r="X411" s="1230"/>
      <c r="Y411" s="1230"/>
      <c r="Z411" s="1230"/>
      <c r="AA411" s="1230"/>
      <c r="AB411" s="1230"/>
      <c r="AC411" s="1230"/>
      <c r="AD411" s="1230"/>
      <c r="AE411" s="1230"/>
      <c r="AF411" s="1230"/>
      <c r="AG411" s="1230"/>
    </row>
    <row r="412" spans="1:33">
      <c r="J412" s="1230"/>
      <c r="K412" s="1230"/>
      <c r="M412" s="1230"/>
      <c r="N412" s="1230"/>
      <c r="R412" s="1230"/>
      <c r="S412" s="1230"/>
      <c r="T412" s="1230"/>
      <c r="U412" s="1230"/>
      <c r="V412" s="1230"/>
      <c r="W412" s="1230"/>
      <c r="X412" s="1230"/>
      <c r="Y412" s="1230"/>
      <c r="Z412" s="1230"/>
      <c r="AA412" s="1230"/>
      <c r="AB412" s="1230"/>
      <c r="AC412" s="1230"/>
      <c r="AD412" s="1230"/>
      <c r="AE412" s="1230"/>
      <c r="AF412" s="1230"/>
      <c r="AG412" s="1230"/>
    </row>
    <row r="413" spans="1:33">
      <c r="J413" s="1230"/>
      <c r="K413" s="1230"/>
      <c r="M413" s="1230"/>
      <c r="N413" s="1230"/>
      <c r="R413" s="1230"/>
      <c r="S413" s="1230"/>
      <c r="T413" s="1230"/>
      <c r="U413" s="1230"/>
      <c r="V413" s="1230"/>
      <c r="W413" s="1230"/>
      <c r="X413" s="1230"/>
      <c r="Y413" s="1230"/>
      <c r="Z413" s="1230"/>
      <c r="AA413" s="1230"/>
      <c r="AB413" s="1230"/>
      <c r="AC413" s="1230"/>
      <c r="AD413" s="1230"/>
      <c r="AE413" s="1230"/>
      <c r="AF413" s="1230"/>
      <c r="AG413" s="1230"/>
    </row>
    <row r="414" spans="1:33">
      <c r="J414" s="1230"/>
      <c r="K414" s="1230"/>
      <c r="M414" s="1230"/>
      <c r="N414" s="1230"/>
      <c r="R414" s="1230"/>
      <c r="S414" s="1230"/>
      <c r="T414" s="1230"/>
      <c r="U414" s="1230"/>
      <c r="V414" s="1230"/>
      <c r="W414" s="1230"/>
      <c r="X414" s="1230"/>
      <c r="Y414" s="1230"/>
      <c r="Z414" s="1230"/>
      <c r="AA414" s="1230"/>
      <c r="AB414" s="1230"/>
      <c r="AC414" s="1230"/>
      <c r="AD414" s="1230"/>
      <c r="AE414" s="1230"/>
      <c r="AF414" s="1230"/>
      <c r="AG414" s="1230"/>
    </row>
    <row r="415" spans="1:33">
      <c r="J415" s="1230"/>
      <c r="K415" s="1230"/>
      <c r="M415" s="1230"/>
      <c r="N415" s="1230"/>
      <c r="R415" s="1230"/>
      <c r="S415" s="1230"/>
      <c r="T415" s="1230"/>
      <c r="U415" s="1230"/>
      <c r="V415" s="1230"/>
      <c r="W415" s="1230"/>
      <c r="X415" s="1230"/>
      <c r="Y415" s="1230"/>
      <c r="Z415" s="1230"/>
      <c r="AA415" s="1230"/>
      <c r="AB415" s="1230"/>
      <c r="AC415" s="1230"/>
      <c r="AD415" s="1230"/>
      <c r="AE415" s="1230"/>
      <c r="AF415" s="1230"/>
      <c r="AG415" s="1230"/>
    </row>
    <row r="416" spans="1:33">
      <c r="J416" s="1230"/>
      <c r="K416" s="1230"/>
      <c r="M416" s="1230"/>
      <c r="N416" s="1230"/>
      <c r="R416" s="1230"/>
      <c r="S416" s="1230"/>
      <c r="T416" s="1230"/>
      <c r="U416" s="1230"/>
      <c r="V416" s="1230"/>
      <c r="W416" s="1230"/>
      <c r="X416" s="1230"/>
      <c r="Y416" s="1230"/>
      <c r="Z416" s="1230"/>
      <c r="AA416" s="1230"/>
      <c r="AB416" s="1230"/>
      <c r="AC416" s="1230"/>
      <c r="AD416" s="1230"/>
      <c r="AE416" s="1230"/>
      <c r="AF416" s="1230"/>
      <c r="AG416" s="1230"/>
    </row>
    <row r="417" spans="10:33">
      <c r="J417" s="1230"/>
      <c r="K417" s="1230"/>
      <c r="M417" s="1230"/>
      <c r="N417" s="1230"/>
      <c r="R417" s="1230"/>
      <c r="S417" s="1230"/>
      <c r="T417" s="1230"/>
      <c r="U417" s="1230"/>
      <c r="V417" s="1230"/>
      <c r="W417" s="1230"/>
      <c r="X417" s="1230"/>
      <c r="Y417" s="1230"/>
      <c r="Z417" s="1230"/>
      <c r="AA417" s="1230"/>
      <c r="AB417" s="1230"/>
      <c r="AC417" s="1230"/>
      <c r="AD417" s="1230"/>
      <c r="AE417" s="1230"/>
      <c r="AF417" s="1230"/>
      <c r="AG417" s="1230"/>
    </row>
    <row r="418" spans="10:33">
      <c r="J418" s="1230"/>
      <c r="K418" s="1230"/>
      <c r="M418" s="1230"/>
      <c r="N418" s="1230"/>
      <c r="R418" s="1230"/>
      <c r="S418" s="1230"/>
      <c r="T418" s="1230"/>
      <c r="U418" s="1230"/>
      <c r="V418" s="1230"/>
      <c r="W418" s="1230"/>
      <c r="X418" s="1230"/>
      <c r="Y418" s="1230"/>
      <c r="Z418" s="1230"/>
      <c r="AA418" s="1230"/>
      <c r="AB418" s="1230"/>
      <c r="AC418" s="1230"/>
      <c r="AD418" s="1230"/>
      <c r="AE418" s="1230"/>
      <c r="AF418" s="1230"/>
      <c r="AG418" s="1230"/>
    </row>
    <row r="419" spans="10:33">
      <c r="J419" s="1230"/>
      <c r="K419" s="1230"/>
      <c r="M419" s="1230"/>
      <c r="N419" s="1230"/>
      <c r="R419" s="1230"/>
      <c r="S419" s="1230"/>
      <c r="T419" s="1230"/>
      <c r="U419" s="1230"/>
      <c r="V419" s="1230"/>
      <c r="W419" s="1230"/>
      <c r="X419" s="1230"/>
      <c r="Y419" s="1230"/>
      <c r="Z419" s="1230"/>
      <c r="AA419" s="1230"/>
      <c r="AB419" s="1230"/>
      <c r="AC419" s="1230"/>
      <c r="AD419" s="1230"/>
      <c r="AE419" s="1230"/>
      <c r="AF419" s="1230"/>
      <c r="AG419" s="1230"/>
    </row>
    <row r="420" spans="10:33">
      <c r="J420" s="1230"/>
      <c r="K420" s="1230"/>
      <c r="M420" s="1230"/>
      <c r="N420" s="1230"/>
      <c r="R420" s="1230"/>
      <c r="S420" s="1230"/>
      <c r="T420" s="1230"/>
      <c r="U420" s="1230"/>
      <c r="V420" s="1230"/>
      <c r="W420" s="1230"/>
      <c r="X420" s="1230"/>
      <c r="Y420" s="1230"/>
      <c r="Z420" s="1230"/>
      <c r="AA420" s="1230"/>
      <c r="AB420" s="1230"/>
      <c r="AC420" s="1230"/>
      <c r="AD420" s="1230"/>
      <c r="AE420" s="1230"/>
      <c r="AF420" s="1230"/>
      <c r="AG420" s="1230"/>
    </row>
    <row r="421" spans="10:33">
      <c r="J421" s="1230"/>
      <c r="K421" s="1230"/>
      <c r="M421" s="1230"/>
      <c r="N421" s="1230"/>
      <c r="R421" s="1230"/>
      <c r="S421" s="1230"/>
      <c r="T421" s="1230"/>
      <c r="U421" s="1230"/>
      <c r="V421" s="1230"/>
      <c r="W421" s="1230"/>
      <c r="X421" s="1230"/>
      <c r="Y421" s="1230"/>
      <c r="Z421" s="1230"/>
      <c r="AA421" s="1230"/>
      <c r="AB421" s="1230"/>
      <c r="AC421" s="1230"/>
      <c r="AD421" s="1230"/>
      <c r="AE421" s="1230"/>
      <c r="AF421" s="1230"/>
      <c r="AG421" s="1230"/>
    </row>
    <row r="422" spans="10:33">
      <c r="J422" s="1230"/>
      <c r="K422" s="1230"/>
      <c r="M422" s="1230"/>
      <c r="N422" s="1230"/>
      <c r="R422" s="1230"/>
      <c r="S422" s="1230"/>
      <c r="T422" s="1230"/>
      <c r="U422" s="1230"/>
      <c r="V422" s="1230"/>
      <c r="W422" s="1230"/>
      <c r="X422" s="1230"/>
      <c r="Y422" s="1230"/>
      <c r="Z422" s="1230"/>
      <c r="AA422" s="1230"/>
      <c r="AB422" s="1230"/>
      <c r="AC422" s="1230"/>
      <c r="AD422" s="1230"/>
      <c r="AE422" s="1230"/>
      <c r="AF422" s="1230"/>
      <c r="AG422" s="1230"/>
    </row>
    <row r="423" spans="10:33">
      <c r="J423" s="1230"/>
      <c r="K423" s="1230"/>
      <c r="M423" s="1230"/>
      <c r="N423" s="1230"/>
      <c r="R423" s="1230"/>
      <c r="S423" s="1230"/>
      <c r="T423" s="1230"/>
      <c r="U423" s="1230"/>
      <c r="V423" s="1230"/>
      <c r="W423" s="1230"/>
      <c r="X423" s="1230"/>
      <c r="Y423" s="1230"/>
      <c r="Z423" s="1230"/>
      <c r="AA423" s="1230"/>
      <c r="AB423" s="1230"/>
      <c r="AC423" s="1230"/>
      <c r="AD423" s="1230"/>
      <c r="AE423" s="1230"/>
      <c r="AF423" s="1230"/>
      <c r="AG423" s="1230"/>
    </row>
    <row r="424" spans="10:33">
      <c r="J424" s="1230"/>
      <c r="K424" s="1230"/>
      <c r="M424" s="1230"/>
      <c r="N424" s="1230"/>
      <c r="R424" s="1230"/>
      <c r="S424" s="1230"/>
      <c r="T424" s="1230"/>
      <c r="U424" s="1230"/>
      <c r="V424" s="1230"/>
      <c r="W424" s="1230"/>
      <c r="X424" s="1230"/>
      <c r="Y424" s="1230"/>
      <c r="Z424" s="1230"/>
      <c r="AA424" s="1230"/>
      <c r="AB424" s="1230"/>
      <c r="AC424" s="1230"/>
      <c r="AD424" s="1230"/>
      <c r="AE424" s="1230"/>
      <c r="AF424" s="1230"/>
      <c r="AG424" s="1230"/>
    </row>
    <row r="425" spans="10:33">
      <c r="J425" s="1230"/>
      <c r="K425" s="1230"/>
      <c r="M425" s="1230"/>
      <c r="N425" s="1230"/>
      <c r="R425" s="1230"/>
      <c r="S425" s="1230"/>
      <c r="T425" s="1230"/>
      <c r="U425" s="1230"/>
      <c r="V425" s="1230"/>
      <c r="W425" s="1230"/>
      <c r="X425" s="1230"/>
      <c r="Y425" s="1230"/>
      <c r="Z425" s="1230"/>
      <c r="AA425" s="1230"/>
      <c r="AB425" s="1230"/>
      <c r="AC425" s="1230"/>
      <c r="AD425" s="1230"/>
      <c r="AE425" s="1230"/>
      <c r="AF425" s="1230"/>
      <c r="AG425" s="1230"/>
    </row>
    <row r="426" spans="10:33">
      <c r="J426" s="1230"/>
      <c r="K426" s="1230"/>
      <c r="M426" s="1230"/>
      <c r="N426" s="1230"/>
      <c r="R426" s="1230"/>
      <c r="S426" s="1230"/>
      <c r="T426" s="1230"/>
      <c r="U426" s="1230"/>
      <c r="V426" s="1230"/>
      <c r="W426" s="1230"/>
      <c r="X426" s="1230"/>
      <c r="Y426" s="1230"/>
      <c r="Z426" s="1230"/>
      <c r="AA426" s="1230"/>
      <c r="AB426" s="1230"/>
      <c r="AC426" s="1230"/>
      <c r="AD426" s="1230"/>
      <c r="AE426" s="1230"/>
      <c r="AF426" s="1230"/>
      <c r="AG426" s="1230"/>
    </row>
    <row r="427" spans="10:33">
      <c r="J427" s="1230"/>
      <c r="K427" s="1230"/>
      <c r="M427" s="1230"/>
      <c r="N427" s="1230"/>
      <c r="R427" s="1230"/>
      <c r="S427" s="1230"/>
      <c r="T427" s="1230"/>
      <c r="U427" s="1230"/>
      <c r="V427" s="1230"/>
      <c r="W427" s="1230"/>
      <c r="X427" s="1230"/>
      <c r="Y427" s="1230"/>
      <c r="Z427" s="1230"/>
      <c r="AA427" s="1230"/>
      <c r="AB427" s="1230"/>
      <c r="AC427" s="1230"/>
      <c r="AD427" s="1230"/>
      <c r="AE427" s="1230"/>
      <c r="AF427" s="1230"/>
      <c r="AG427" s="1230"/>
    </row>
    <row r="428" spans="10:33">
      <c r="J428" s="1230"/>
      <c r="K428" s="1230"/>
      <c r="M428" s="1230"/>
      <c r="N428" s="1230"/>
      <c r="R428" s="1230"/>
      <c r="S428" s="1230"/>
      <c r="T428" s="1230"/>
      <c r="U428" s="1230"/>
      <c r="V428" s="1230"/>
      <c r="W428" s="1230"/>
      <c r="X428" s="1230"/>
      <c r="Y428" s="1230"/>
      <c r="Z428" s="1230"/>
      <c r="AA428" s="1230"/>
      <c r="AB428" s="1230"/>
      <c r="AC428" s="1230"/>
      <c r="AD428" s="1230"/>
      <c r="AE428" s="1230"/>
      <c r="AF428" s="1230"/>
      <c r="AG428" s="1230"/>
    </row>
    <row r="429" spans="10:33">
      <c r="J429" s="1230"/>
      <c r="K429" s="1230"/>
      <c r="M429" s="1230"/>
      <c r="N429" s="1230"/>
      <c r="R429" s="1230"/>
      <c r="S429" s="1230"/>
      <c r="T429" s="1230"/>
      <c r="U429" s="1230"/>
      <c r="V429" s="1230"/>
      <c r="W429" s="1230"/>
      <c r="X429" s="1230"/>
      <c r="Y429" s="1230"/>
      <c r="Z429" s="1230"/>
      <c r="AA429" s="1230"/>
      <c r="AB429" s="1230"/>
      <c r="AC429" s="1230"/>
      <c r="AD429" s="1230"/>
      <c r="AE429" s="1230"/>
      <c r="AF429" s="1230"/>
      <c r="AG429" s="1230"/>
    </row>
    <row r="430" spans="10:33">
      <c r="J430" s="1230"/>
      <c r="K430" s="1230"/>
      <c r="M430" s="1230"/>
      <c r="N430" s="1230"/>
      <c r="R430" s="1230"/>
      <c r="S430" s="1230"/>
      <c r="T430" s="1230"/>
      <c r="U430" s="1230"/>
      <c r="V430" s="1230"/>
      <c r="W430" s="1230"/>
      <c r="X430" s="1230"/>
      <c r="Y430" s="1230"/>
      <c r="Z430" s="1230"/>
      <c r="AA430" s="1230"/>
      <c r="AB430" s="1230"/>
      <c r="AC430" s="1230"/>
      <c r="AD430" s="1230"/>
      <c r="AE430" s="1230"/>
      <c r="AF430" s="1230"/>
      <c r="AG430" s="1230"/>
    </row>
    <row r="431" spans="10:33">
      <c r="J431" s="1230"/>
      <c r="K431" s="1230"/>
      <c r="M431" s="1230"/>
      <c r="N431" s="1230"/>
      <c r="R431" s="1230"/>
      <c r="S431" s="1230"/>
      <c r="T431" s="1230"/>
      <c r="U431" s="1230"/>
      <c r="V431" s="1230"/>
      <c r="W431" s="1230"/>
      <c r="X431" s="1230"/>
      <c r="Y431" s="1230"/>
      <c r="Z431" s="1230"/>
      <c r="AA431" s="1230"/>
      <c r="AB431" s="1230"/>
      <c r="AC431" s="1230"/>
      <c r="AD431" s="1230"/>
      <c r="AE431" s="1230"/>
      <c r="AF431" s="1230"/>
      <c r="AG431" s="1230"/>
    </row>
    <row r="432" spans="10:33">
      <c r="J432" s="1230"/>
      <c r="K432" s="1230"/>
      <c r="M432" s="1230"/>
      <c r="N432" s="1230"/>
      <c r="R432" s="1230"/>
      <c r="S432" s="1230"/>
      <c r="T432" s="1230"/>
      <c r="U432" s="1230"/>
      <c r="V432" s="1230"/>
      <c r="W432" s="1230"/>
      <c r="X432" s="1230"/>
      <c r="Y432" s="1230"/>
      <c r="Z432" s="1230"/>
      <c r="AA432" s="1230"/>
      <c r="AB432" s="1230"/>
      <c r="AC432" s="1230"/>
      <c r="AD432" s="1230"/>
      <c r="AE432" s="1230"/>
      <c r="AF432" s="1230"/>
      <c r="AG432" s="1230"/>
    </row>
    <row r="433" spans="10:33">
      <c r="J433" s="1230"/>
      <c r="K433" s="1230"/>
      <c r="M433" s="1230"/>
      <c r="N433" s="1230"/>
      <c r="R433" s="1230"/>
      <c r="S433" s="1230"/>
      <c r="T433" s="1230"/>
      <c r="U433" s="1230"/>
      <c r="V433" s="1230"/>
      <c r="W433" s="1230"/>
      <c r="X433" s="1230"/>
      <c r="Y433" s="1230"/>
      <c r="Z433" s="1230"/>
      <c r="AA433" s="1230"/>
      <c r="AB433" s="1230"/>
      <c r="AC433" s="1230"/>
      <c r="AD433" s="1230"/>
      <c r="AE433" s="1230"/>
      <c r="AF433" s="1230"/>
      <c r="AG433" s="1230"/>
    </row>
    <row r="434" spans="10:33">
      <c r="J434" s="1230"/>
      <c r="K434" s="1230"/>
      <c r="M434" s="1230"/>
      <c r="N434" s="1230"/>
      <c r="R434" s="1230"/>
      <c r="S434" s="1230"/>
      <c r="T434" s="1230"/>
      <c r="U434" s="1230"/>
      <c r="V434" s="1230"/>
      <c r="W434" s="1230"/>
      <c r="X434" s="1230"/>
      <c r="Y434" s="1230"/>
      <c r="Z434" s="1230"/>
      <c r="AA434" s="1230"/>
      <c r="AB434" s="1230"/>
      <c r="AC434" s="1230"/>
      <c r="AD434" s="1230"/>
      <c r="AE434" s="1230"/>
      <c r="AF434" s="1230"/>
      <c r="AG434" s="1230"/>
    </row>
    <row r="435" spans="10:33">
      <c r="J435" s="1230"/>
      <c r="K435" s="1230"/>
      <c r="M435" s="1230"/>
      <c r="N435" s="1230"/>
      <c r="R435" s="1230"/>
      <c r="S435" s="1230"/>
      <c r="T435" s="1230"/>
      <c r="U435" s="1230"/>
      <c r="V435" s="1230"/>
      <c r="W435" s="1230"/>
      <c r="X435" s="1230"/>
      <c r="Y435" s="1230"/>
      <c r="Z435" s="1230"/>
      <c r="AA435" s="1230"/>
      <c r="AB435" s="1230"/>
      <c r="AC435" s="1230"/>
      <c r="AD435" s="1230"/>
      <c r="AE435" s="1230"/>
      <c r="AF435" s="1230"/>
      <c r="AG435" s="1230"/>
    </row>
    <row r="436" spans="10:33">
      <c r="J436" s="1230"/>
      <c r="K436" s="1230"/>
      <c r="M436" s="1230"/>
      <c r="N436" s="1230"/>
      <c r="R436" s="1230"/>
      <c r="S436" s="1230"/>
      <c r="T436" s="1230"/>
      <c r="U436" s="1230"/>
      <c r="V436" s="1230"/>
      <c r="W436" s="1230"/>
      <c r="X436" s="1230"/>
      <c r="Y436" s="1230"/>
      <c r="Z436" s="1230"/>
      <c r="AA436" s="1230"/>
      <c r="AB436" s="1230"/>
      <c r="AC436" s="1230"/>
      <c r="AD436" s="1230"/>
      <c r="AE436" s="1230"/>
      <c r="AF436" s="1230"/>
      <c r="AG436" s="1230"/>
    </row>
    <row r="437" spans="10:33">
      <c r="J437" s="1230"/>
      <c r="K437" s="1230"/>
      <c r="M437" s="1230"/>
      <c r="N437" s="1230"/>
      <c r="R437" s="1230"/>
      <c r="S437" s="1230"/>
      <c r="T437" s="1230"/>
      <c r="U437" s="1230"/>
      <c r="V437" s="1230"/>
      <c r="W437" s="1230"/>
      <c r="X437" s="1230"/>
      <c r="Y437" s="1230"/>
      <c r="Z437" s="1230"/>
      <c r="AA437" s="1230"/>
      <c r="AB437" s="1230"/>
      <c r="AC437" s="1230"/>
      <c r="AD437" s="1230"/>
      <c r="AE437" s="1230"/>
      <c r="AF437" s="1230"/>
      <c r="AG437" s="1230"/>
    </row>
    <row r="438" spans="10:33">
      <c r="J438" s="1230"/>
      <c r="K438" s="1230"/>
      <c r="M438" s="1230"/>
      <c r="N438" s="1230"/>
      <c r="R438" s="1230"/>
      <c r="S438" s="1230"/>
      <c r="T438" s="1230"/>
      <c r="U438" s="1230"/>
      <c r="V438" s="1230"/>
      <c r="W438" s="1230"/>
      <c r="X438" s="1230"/>
      <c r="Y438" s="1230"/>
      <c r="Z438" s="1230"/>
      <c r="AA438" s="1230"/>
      <c r="AB438" s="1230"/>
      <c r="AC438" s="1230"/>
      <c r="AD438" s="1230"/>
      <c r="AE438" s="1230"/>
      <c r="AF438" s="1230"/>
      <c r="AG438" s="1230"/>
    </row>
    <row r="439" spans="10:33">
      <c r="J439" s="1230"/>
      <c r="K439" s="1230"/>
      <c r="M439" s="1230"/>
      <c r="N439" s="1230"/>
      <c r="R439" s="1230"/>
      <c r="S439" s="1230"/>
      <c r="T439" s="1230"/>
      <c r="U439" s="1230"/>
      <c r="V439" s="1230"/>
      <c r="W439" s="1230"/>
      <c r="X439" s="1230"/>
      <c r="Y439" s="1230"/>
      <c r="Z439" s="1230"/>
      <c r="AA439" s="1230"/>
      <c r="AB439" s="1230"/>
      <c r="AC439" s="1230"/>
      <c r="AD439" s="1230"/>
      <c r="AE439" s="1230"/>
      <c r="AF439" s="1230"/>
      <c r="AG439" s="1230"/>
    </row>
    <row r="440" spans="10:33">
      <c r="J440" s="1230"/>
      <c r="K440" s="1230"/>
      <c r="M440" s="1230"/>
      <c r="N440" s="1230"/>
      <c r="R440" s="1230"/>
      <c r="S440" s="1230"/>
      <c r="T440" s="1230"/>
      <c r="U440" s="1230"/>
      <c r="V440" s="1230"/>
      <c r="W440" s="1230"/>
      <c r="X440" s="1230"/>
      <c r="Y440" s="1230"/>
      <c r="Z440" s="1230"/>
      <c r="AA440" s="1230"/>
      <c r="AB440" s="1230"/>
      <c r="AC440" s="1230"/>
      <c r="AD440" s="1230"/>
      <c r="AE440" s="1230"/>
      <c r="AF440" s="1230"/>
      <c r="AG440" s="1230"/>
    </row>
    <row r="441" spans="10:33">
      <c r="J441" s="1230"/>
      <c r="K441" s="1230"/>
      <c r="M441" s="1230"/>
      <c r="N441" s="1230"/>
      <c r="R441" s="1230"/>
      <c r="S441" s="1230"/>
      <c r="T441" s="1230"/>
      <c r="U441" s="1230"/>
      <c r="V441" s="1230"/>
      <c r="W441" s="1230"/>
      <c r="X441" s="1230"/>
      <c r="Y441" s="1230"/>
      <c r="Z441" s="1230"/>
      <c r="AA441" s="1230"/>
      <c r="AB441" s="1230"/>
      <c r="AC441" s="1230"/>
      <c r="AD441" s="1230"/>
      <c r="AE441" s="1230"/>
      <c r="AF441" s="1230"/>
      <c r="AG441" s="1230"/>
    </row>
    <row r="442" spans="10:33">
      <c r="J442" s="1230"/>
      <c r="K442" s="1230"/>
      <c r="M442" s="1230"/>
      <c r="N442" s="1230"/>
      <c r="R442" s="1230"/>
      <c r="S442" s="1230"/>
      <c r="T442" s="1230"/>
      <c r="U442" s="1230"/>
      <c r="V442" s="1230"/>
      <c r="W442" s="1230"/>
      <c r="X442" s="1230"/>
      <c r="Y442" s="1230"/>
      <c r="Z442" s="1230"/>
      <c r="AA442" s="1230"/>
      <c r="AB442" s="1230"/>
      <c r="AC442" s="1230"/>
      <c r="AD442" s="1230"/>
      <c r="AE442" s="1230"/>
      <c r="AF442" s="1230"/>
      <c r="AG442" s="1230"/>
    </row>
    <row r="443" spans="10:33">
      <c r="J443" s="1230"/>
      <c r="K443" s="1230"/>
      <c r="M443" s="1230"/>
      <c r="N443" s="1230"/>
      <c r="R443" s="1230"/>
      <c r="S443" s="1230"/>
      <c r="T443" s="1230"/>
      <c r="U443" s="1230"/>
      <c r="V443" s="1230"/>
      <c r="W443" s="1230"/>
      <c r="X443" s="1230"/>
      <c r="Y443" s="1230"/>
      <c r="Z443" s="1230"/>
      <c r="AA443" s="1230"/>
      <c r="AB443" s="1230"/>
      <c r="AC443" s="1230"/>
      <c r="AD443" s="1230"/>
      <c r="AE443" s="1230"/>
      <c r="AF443" s="1230"/>
      <c r="AG443" s="1230"/>
    </row>
    <row r="444" spans="10:33">
      <c r="J444" s="1230"/>
      <c r="K444" s="1230"/>
      <c r="M444" s="1230"/>
      <c r="N444" s="1230"/>
      <c r="R444" s="1230"/>
      <c r="S444" s="1230"/>
      <c r="T444" s="1230"/>
      <c r="U444" s="1230"/>
      <c r="V444" s="1230"/>
      <c r="W444" s="1230"/>
      <c r="X444" s="1230"/>
      <c r="Y444" s="1230"/>
      <c r="Z444" s="1230"/>
      <c r="AA444" s="1230"/>
      <c r="AB444" s="1230"/>
      <c r="AC444" s="1230"/>
      <c r="AD444" s="1230"/>
      <c r="AE444" s="1230"/>
      <c r="AF444" s="1230"/>
      <c r="AG444" s="1230"/>
    </row>
    <row r="445" spans="10:33">
      <c r="J445" s="1230"/>
      <c r="K445" s="1230"/>
      <c r="M445" s="1230"/>
      <c r="N445" s="1230"/>
      <c r="R445" s="1230"/>
      <c r="S445" s="1230"/>
      <c r="T445" s="1230"/>
      <c r="U445" s="1230"/>
      <c r="V445" s="1230"/>
      <c r="W445" s="1230"/>
      <c r="X445" s="1230"/>
      <c r="Y445" s="1230"/>
      <c r="Z445" s="1230"/>
      <c r="AA445" s="1230"/>
      <c r="AB445" s="1230"/>
      <c r="AC445" s="1230"/>
      <c r="AD445" s="1230"/>
      <c r="AE445" s="1230"/>
      <c r="AF445" s="1230"/>
      <c r="AG445" s="1230"/>
    </row>
    <row r="446" spans="10:33">
      <c r="J446" s="1230"/>
      <c r="K446" s="1230"/>
      <c r="M446" s="1230"/>
      <c r="N446" s="1230"/>
      <c r="R446" s="1230"/>
      <c r="S446" s="1230"/>
      <c r="T446" s="1230"/>
      <c r="U446" s="1230"/>
      <c r="V446" s="1230"/>
      <c r="W446" s="1230"/>
      <c r="X446" s="1230"/>
      <c r="Y446" s="1230"/>
      <c r="Z446" s="1230"/>
      <c r="AA446" s="1230"/>
      <c r="AB446" s="1230"/>
      <c r="AC446" s="1230"/>
      <c r="AD446" s="1230"/>
      <c r="AE446" s="1230"/>
      <c r="AF446" s="1230"/>
      <c r="AG446" s="1230"/>
    </row>
    <row r="447" spans="10:33">
      <c r="J447" s="1230"/>
      <c r="K447" s="1230"/>
      <c r="M447" s="1230"/>
      <c r="N447" s="1230"/>
      <c r="R447" s="1230"/>
      <c r="S447" s="1230"/>
      <c r="T447" s="1230"/>
      <c r="U447" s="1230"/>
      <c r="V447" s="1230"/>
      <c r="W447" s="1230"/>
      <c r="X447" s="1230"/>
      <c r="Y447" s="1230"/>
      <c r="Z447" s="1230"/>
      <c r="AA447" s="1230"/>
      <c r="AB447" s="1230"/>
      <c r="AC447" s="1230"/>
      <c r="AD447" s="1230"/>
      <c r="AE447" s="1230"/>
      <c r="AF447" s="1230"/>
      <c r="AG447" s="1230"/>
    </row>
    <row r="448" spans="10:33">
      <c r="J448" s="1230"/>
      <c r="K448" s="1230"/>
      <c r="M448" s="1230"/>
      <c r="N448" s="1230"/>
      <c r="R448" s="1230"/>
      <c r="S448" s="1230"/>
      <c r="T448" s="1230"/>
      <c r="U448" s="1230"/>
      <c r="V448" s="1230"/>
      <c r="W448" s="1230"/>
      <c r="X448" s="1230"/>
      <c r="Y448" s="1230"/>
      <c r="Z448" s="1230"/>
      <c r="AA448" s="1230"/>
      <c r="AB448" s="1230"/>
      <c r="AC448" s="1230"/>
      <c r="AD448" s="1230"/>
      <c r="AE448" s="1230"/>
      <c r="AF448" s="1230"/>
      <c r="AG448" s="1230"/>
    </row>
    <row r="449" spans="10:33">
      <c r="J449" s="1230"/>
      <c r="K449" s="1230"/>
      <c r="M449" s="1230"/>
      <c r="N449" s="1230"/>
      <c r="R449" s="1230"/>
      <c r="S449" s="1230"/>
      <c r="T449" s="1230"/>
      <c r="U449" s="1230"/>
      <c r="V449" s="1230"/>
      <c r="W449" s="1230"/>
      <c r="X449" s="1230"/>
      <c r="Y449" s="1230"/>
      <c r="Z449" s="1230"/>
      <c r="AA449" s="1230"/>
      <c r="AB449" s="1230"/>
      <c r="AC449" s="1230"/>
      <c r="AD449" s="1230"/>
      <c r="AE449" s="1230"/>
      <c r="AF449" s="1230"/>
      <c r="AG449" s="1230"/>
    </row>
    <row r="450" spans="10:33">
      <c r="J450" s="1230"/>
      <c r="K450" s="1230"/>
      <c r="M450" s="1230"/>
      <c r="N450" s="1230"/>
      <c r="R450" s="1230"/>
      <c r="S450" s="1230"/>
      <c r="T450" s="1230"/>
      <c r="U450" s="1230"/>
      <c r="V450" s="1230"/>
      <c r="W450" s="1230"/>
      <c r="X450" s="1230"/>
      <c r="Y450" s="1230"/>
      <c r="Z450" s="1230"/>
      <c r="AA450" s="1230"/>
      <c r="AB450" s="1230"/>
      <c r="AC450" s="1230"/>
      <c r="AD450" s="1230"/>
      <c r="AE450" s="1230"/>
      <c r="AF450" s="1230"/>
      <c r="AG450" s="1230"/>
    </row>
    <row r="451" spans="10:33">
      <c r="J451" s="1230"/>
      <c r="K451" s="1230"/>
      <c r="M451" s="1230"/>
      <c r="N451" s="1230"/>
      <c r="R451" s="1230"/>
      <c r="S451" s="1230"/>
      <c r="T451" s="1230"/>
      <c r="U451" s="1230"/>
      <c r="V451" s="1230"/>
      <c r="W451" s="1230"/>
      <c r="X451" s="1230"/>
      <c r="Y451" s="1230"/>
      <c r="Z451" s="1230"/>
      <c r="AA451" s="1230"/>
      <c r="AB451" s="1230"/>
      <c r="AC451" s="1230"/>
      <c r="AD451" s="1230"/>
      <c r="AE451" s="1230"/>
      <c r="AF451" s="1230"/>
      <c r="AG451" s="1230"/>
    </row>
    <row r="452" spans="10:33">
      <c r="J452" s="1230"/>
      <c r="K452" s="1230"/>
      <c r="M452" s="1230"/>
      <c r="N452" s="1230"/>
      <c r="R452" s="1230"/>
      <c r="S452" s="1230"/>
      <c r="T452" s="1230"/>
      <c r="U452" s="1230"/>
      <c r="V452" s="1230"/>
      <c r="W452" s="1230"/>
      <c r="X452" s="1230"/>
      <c r="Y452" s="1230"/>
      <c r="Z452" s="1230"/>
      <c r="AA452" s="1230"/>
      <c r="AB452" s="1230"/>
      <c r="AC452" s="1230"/>
      <c r="AD452" s="1230"/>
      <c r="AE452" s="1230"/>
      <c r="AF452" s="1230"/>
      <c r="AG452" s="1230"/>
    </row>
    <row r="453" spans="10:33">
      <c r="J453" s="1230"/>
      <c r="K453" s="1230"/>
      <c r="M453" s="1230"/>
      <c r="N453" s="1230"/>
      <c r="R453" s="1230"/>
      <c r="S453" s="1230"/>
      <c r="T453" s="1230"/>
      <c r="U453" s="1230"/>
      <c r="V453" s="1230"/>
      <c r="W453" s="1230"/>
      <c r="X453" s="1230"/>
      <c r="Y453" s="1230"/>
      <c r="Z453" s="1230"/>
      <c r="AA453" s="1230"/>
      <c r="AB453" s="1230"/>
      <c r="AC453" s="1230"/>
      <c r="AD453" s="1230"/>
      <c r="AE453" s="1230"/>
      <c r="AF453" s="1230"/>
      <c r="AG453" s="1230"/>
    </row>
    <row r="454" spans="10:33">
      <c r="J454" s="1230"/>
      <c r="K454" s="1230"/>
      <c r="M454" s="1230"/>
      <c r="N454" s="1230"/>
      <c r="R454" s="1230"/>
      <c r="S454" s="1230"/>
      <c r="T454" s="1230"/>
      <c r="U454" s="1230"/>
      <c r="V454" s="1230"/>
      <c r="W454" s="1230"/>
      <c r="X454" s="1230"/>
      <c r="Y454" s="1230"/>
      <c r="Z454" s="1230"/>
      <c r="AA454" s="1230"/>
      <c r="AB454" s="1230"/>
      <c r="AC454" s="1230"/>
      <c r="AD454" s="1230"/>
      <c r="AE454" s="1230"/>
      <c r="AF454" s="1230"/>
      <c r="AG454" s="1230"/>
    </row>
    <row r="455" spans="10:33">
      <c r="J455" s="1230"/>
      <c r="K455" s="1230"/>
      <c r="M455" s="1230"/>
      <c r="N455" s="1230"/>
      <c r="R455" s="1230"/>
      <c r="S455" s="1230"/>
      <c r="T455" s="1230"/>
      <c r="U455" s="1230"/>
      <c r="V455" s="1230"/>
      <c r="W455" s="1230"/>
      <c r="X455" s="1230"/>
      <c r="Y455" s="1230"/>
      <c r="Z455" s="1230"/>
      <c r="AA455" s="1230"/>
      <c r="AB455" s="1230"/>
      <c r="AC455" s="1230"/>
      <c r="AD455" s="1230"/>
      <c r="AE455" s="1230"/>
      <c r="AF455" s="1230"/>
      <c r="AG455" s="1230"/>
    </row>
    <row r="456" spans="10:33">
      <c r="J456" s="1230"/>
      <c r="K456" s="1230"/>
      <c r="M456" s="1230"/>
      <c r="N456" s="1230"/>
      <c r="R456" s="1230"/>
      <c r="S456" s="1230"/>
      <c r="T456" s="1230"/>
      <c r="U456" s="1230"/>
      <c r="V456" s="1230"/>
      <c r="W456" s="1230"/>
      <c r="X456" s="1230"/>
      <c r="Y456" s="1230"/>
      <c r="Z456" s="1230"/>
      <c r="AA456" s="1230"/>
      <c r="AB456" s="1230"/>
      <c r="AC456" s="1230"/>
      <c r="AD456" s="1230"/>
      <c r="AE456" s="1230"/>
      <c r="AF456" s="1230"/>
      <c r="AG456" s="1230"/>
    </row>
    <row r="457" spans="10:33">
      <c r="J457" s="1230"/>
      <c r="K457" s="1230"/>
      <c r="M457" s="1230"/>
      <c r="N457" s="1230"/>
      <c r="R457" s="1230"/>
      <c r="S457" s="1230"/>
      <c r="T457" s="1230"/>
      <c r="U457" s="1230"/>
      <c r="V457" s="1230"/>
      <c r="W457" s="1230"/>
      <c r="X457" s="1230"/>
      <c r="Y457" s="1230"/>
      <c r="Z457" s="1230"/>
      <c r="AA457" s="1230"/>
      <c r="AB457" s="1230"/>
      <c r="AC457" s="1230"/>
      <c r="AD457" s="1230"/>
      <c r="AE457" s="1230"/>
      <c r="AF457" s="1230"/>
      <c r="AG457" s="1230"/>
    </row>
    <row r="458" spans="10:33">
      <c r="J458" s="1230"/>
      <c r="K458" s="1230"/>
      <c r="M458" s="1230"/>
      <c r="N458" s="1230"/>
      <c r="R458" s="1230"/>
      <c r="S458" s="1230"/>
      <c r="T458" s="1230"/>
      <c r="U458" s="1230"/>
      <c r="V458" s="1230"/>
      <c r="W458" s="1230"/>
      <c r="X458" s="1230"/>
      <c r="Y458" s="1230"/>
      <c r="Z458" s="1230"/>
      <c r="AA458" s="1230"/>
      <c r="AB458" s="1230"/>
      <c r="AC458" s="1230"/>
      <c r="AD458" s="1230"/>
      <c r="AE458" s="1230"/>
      <c r="AF458" s="1230"/>
      <c r="AG458" s="1230"/>
    </row>
    <row r="459" spans="10:33">
      <c r="J459" s="1230"/>
      <c r="K459" s="1230"/>
      <c r="M459" s="1230"/>
      <c r="N459" s="1230"/>
      <c r="R459" s="1230"/>
      <c r="S459" s="1230"/>
      <c r="T459" s="1230"/>
      <c r="U459" s="1230"/>
      <c r="V459" s="1230"/>
      <c r="W459" s="1230"/>
      <c r="X459" s="1230"/>
      <c r="Y459" s="1230"/>
      <c r="Z459" s="1230"/>
      <c r="AA459" s="1230"/>
      <c r="AB459" s="1230"/>
      <c r="AC459" s="1230"/>
      <c r="AD459" s="1230"/>
      <c r="AE459" s="1230"/>
      <c r="AF459" s="1230"/>
      <c r="AG459" s="1230"/>
    </row>
    <row r="460" spans="10:33">
      <c r="J460" s="1230"/>
      <c r="K460" s="1230"/>
      <c r="M460" s="1230"/>
      <c r="N460" s="1230"/>
      <c r="R460" s="1230"/>
      <c r="S460" s="1230"/>
      <c r="T460" s="1230"/>
      <c r="U460" s="1230"/>
      <c r="V460" s="1230"/>
      <c r="W460" s="1230"/>
      <c r="X460" s="1230"/>
      <c r="Y460" s="1230"/>
      <c r="Z460" s="1230"/>
      <c r="AA460" s="1230"/>
      <c r="AB460" s="1230"/>
      <c r="AC460" s="1230"/>
      <c r="AD460" s="1230"/>
      <c r="AE460" s="1230"/>
      <c r="AF460" s="1230"/>
      <c r="AG460" s="1230"/>
    </row>
    <row r="461" spans="10:33">
      <c r="J461" s="1230"/>
      <c r="K461" s="1230"/>
      <c r="M461" s="1230"/>
      <c r="N461" s="1230"/>
      <c r="R461" s="1230"/>
      <c r="S461" s="1230"/>
      <c r="T461" s="1230"/>
      <c r="U461" s="1230"/>
      <c r="V461" s="1230"/>
      <c r="W461" s="1230"/>
      <c r="X461" s="1230"/>
      <c r="Y461" s="1230"/>
      <c r="Z461" s="1230"/>
      <c r="AA461" s="1230"/>
      <c r="AB461" s="1230"/>
      <c r="AC461" s="1230"/>
      <c r="AD461" s="1230"/>
      <c r="AE461" s="1230"/>
      <c r="AF461" s="1230"/>
      <c r="AG461" s="1230"/>
    </row>
    <row r="462" spans="10:33">
      <c r="J462" s="1230"/>
      <c r="K462" s="1230"/>
      <c r="M462" s="1230"/>
      <c r="N462" s="1230"/>
      <c r="R462" s="1230"/>
      <c r="S462" s="1230"/>
      <c r="T462" s="1230"/>
      <c r="U462" s="1230"/>
      <c r="V462" s="1230"/>
      <c r="W462" s="1230"/>
      <c r="X462" s="1230"/>
      <c r="Y462" s="1230"/>
      <c r="Z462" s="1230"/>
      <c r="AA462" s="1230"/>
      <c r="AB462" s="1230"/>
      <c r="AC462" s="1230"/>
      <c r="AD462" s="1230"/>
      <c r="AE462" s="1230"/>
      <c r="AF462" s="1230"/>
      <c r="AG462" s="1230"/>
    </row>
    <row r="463" spans="10:33">
      <c r="J463" s="1230"/>
      <c r="K463" s="1230"/>
      <c r="M463" s="1230"/>
      <c r="N463" s="1230"/>
      <c r="R463" s="1230"/>
      <c r="S463" s="1230"/>
      <c r="T463" s="1230"/>
      <c r="U463" s="1230"/>
      <c r="V463" s="1230"/>
      <c r="W463" s="1230"/>
      <c r="X463" s="1230"/>
      <c r="Y463" s="1230"/>
      <c r="Z463" s="1230"/>
      <c r="AA463" s="1230"/>
      <c r="AB463" s="1230"/>
      <c r="AC463" s="1230"/>
      <c r="AD463" s="1230"/>
      <c r="AE463" s="1230"/>
      <c r="AF463" s="1230"/>
      <c r="AG463" s="1230"/>
    </row>
    <row r="464" spans="10:33">
      <c r="J464" s="1230"/>
      <c r="K464" s="1230"/>
      <c r="M464" s="1230"/>
      <c r="N464" s="1230"/>
      <c r="R464" s="1230"/>
      <c r="S464" s="1230"/>
      <c r="T464" s="1230"/>
      <c r="U464" s="1230"/>
      <c r="V464" s="1230"/>
      <c r="W464" s="1230"/>
      <c r="X464" s="1230"/>
      <c r="Y464" s="1230"/>
      <c r="Z464" s="1230"/>
      <c r="AA464" s="1230"/>
      <c r="AB464" s="1230"/>
      <c r="AC464" s="1230"/>
      <c r="AD464" s="1230"/>
      <c r="AE464" s="1230"/>
      <c r="AF464" s="1230"/>
      <c r="AG464" s="1230"/>
    </row>
    <row r="465" spans="10:33">
      <c r="J465" s="1230"/>
      <c r="K465" s="1230"/>
      <c r="M465" s="1230"/>
      <c r="N465" s="1230"/>
      <c r="R465" s="1230"/>
      <c r="S465" s="1230"/>
      <c r="T465" s="1230"/>
      <c r="U465" s="1230"/>
      <c r="V465" s="1230"/>
      <c r="W465" s="1230"/>
      <c r="X465" s="1230"/>
      <c r="Y465" s="1230"/>
      <c r="Z465" s="1230"/>
      <c r="AA465" s="1230"/>
      <c r="AB465" s="1230"/>
      <c r="AC465" s="1230"/>
      <c r="AD465" s="1230"/>
      <c r="AE465" s="1230"/>
      <c r="AF465" s="1230"/>
      <c r="AG465" s="1230"/>
    </row>
    <row r="466" spans="10:33">
      <c r="J466" s="1230"/>
      <c r="K466" s="1230"/>
      <c r="M466" s="1230"/>
      <c r="N466" s="1230"/>
      <c r="R466" s="1230"/>
      <c r="S466" s="1230"/>
      <c r="T466" s="1230"/>
      <c r="U466" s="1230"/>
      <c r="V466" s="1230"/>
      <c r="W466" s="1230"/>
      <c r="X466" s="1230"/>
      <c r="Y466" s="1230"/>
      <c r="Z466" s="1230"/>
      <c r="AA466" s="1230"/>
      <c r="AB466" s="1230"/>
      <c r="AC466" s="1230"/>
      <c r="AD466" s="1230"/>
      <c r="AE466" s="1230"/>
      <c r="AF466" s="1230"/>
      <c r="AG466" s="1230"/>
    </row>
    <row r="467" spans="10:33">
      <c r="J467" s="1230"/>
      <c r="K467" s="1230"/>
      <c r="M467" s="1230"/>
      <c r="N467" s="1230"/>
      <c r="R467" s="1230"/>
      <c r="S467" s="1230"/>
      <c r="T467" s="1230"/>
      <c r="U467" s="1230"/>
      <c r="V467" s="1230"/>
      <c r="W467" s="1230"/>
      <c r="X467" s="1230"/>
      <c r="Y467" s="1230"/>
      <c r="Z467" s="1230"/>
      <c r="AA467" s="1230"/>
      <c r="AB467" s="1230"/>
      <c r="AC467" s="1230"/>
      <c r="AD467" s="1230"/>
      <c r="AE467" s="1230"/>
      <c r="AF467" s="1230"/>
      <c r="AG467" s="1230"/>
    </row>
    <row r="468" spans="10:33">
      <c r="J468" s="1230"/>
      <c r="K468" s="1230"/>
      <c r="M468" s="1230"/>
      <c r="N468" s="1230"/>
      <c r="R468" s="1230"/>
      <c r="S468" s="1230"/>
      <c r="T468" s="1230"/>
      <c r="U468" s="1230"/>
      <c r="V468" s="1230"/>
      <c r="W468" s="1230"/>
      <c r="X468" s="1230"/>
      <c r="Y468" s="1230"/>
      <c r="Z468" s="1230"/>
      <c r="AA468" s="1230"/>
      <c r="AB468" s="1230"/>
      <c r="AC468" s="1230"/>
      <c r="AD468" s="1230"/>
      <c r="AE468" s="1230"/>
      <c r="AF468" s="1230"/>
      <c r="AG468" s="1230"/>
    </row>
    <row r="469" spans="10:33">
      <c r="J469" s="1230"/>
      <c r="K469" s="1230"/>
      <c r="M469" s="1230"/>
      <c r="N469" s="1230"/>
      <c r="R469" s="1230"/>
      <c r="S469" s="1230"/>
      <c r="T469" s="1230"/>
      <c r="U469" s="1230"/>
      <c r="V469" s="1230"/>
      <c r="W469" s="1230"/>
      <c r="X469" s="1230"/>
      <c r="Y469" s="1230"/>
      <c r="Z469" s="1230"/>
      <c r="AA469" s="1230"/>
      <c r="AB469" s="1230"/>
      <c r="AC469" s="1230"/>
      <c r="AD469" s="1230"/>
      <c r="AE469" s="1230"/>
      <c r="AF469" s="1230"/>
      <c r="AG469" s="1230"/>
    </row>
    <row r="470" spans="10:33">
      <c r="J470" s="1230"/>
      <c r="K470" s="1230"/>
      <c r="M470" s="1230"/>
      <c r="N470" s="1230"/>
      <c r="R470" s="1230"/>
      <c r="S470" s="1230"/>
      <c r="T470" s="1230"/>
      <c r="U470" s="1230"/>
      <c r="V470" s="1230"/>
      <c r="W470" s="1230"/>
      <c r="X470" s="1230"/>
      <c r="Y470" s="1230"/>
      <c r="Z470" s="1230"/>
      <c r="AA470" s="1230"/>
      <c r="AB470" s="1230"/>
      <c r="AC470" s="1230"/>
      <c r="AD470" s="1230"/>
      <c r="AE470" s="1230"/>
      <c r="AF470" s="1230"/>
      <c r="AG470" s="1230"/>
    </row>
    <row r="471" spans="10:33">
      <c r="J471" s="1230"/>
      <c r="K471" s="1230"/>
      <c r="M471" s="1230"/>
      <c r="N471" s="1230"/>
      <c r="R471" s="1230"/>
      <c r="S471" s="1230"/>
      <c r="T471" s="1230"/>
      <c r="U471" s="1230"/>
      <c r="V471" s="1230"/>
      <c r="W471" s="1230"/>
      <c r="X471" s="1230"/>
      <c r="Y471" s="1230"/>
      <c r="Z471" s="1230"/>
      <c r="AA471" s="1230"/>
      <c r="AB471" s="1230"/>
      <c r="AC471" s="1230"/>
      <c r="AD471" s="1230"/>
      <c r="AE471" s="1230"/>
      <c r="AF471" s="1230"/>
      <c r="AG471" s="1230"/>
    </row>
    <row r="472" spans="10:33">
      <c r="J472" s="1230"/>
      <c r="K472" s="1230"/>
      <c r="M472" s="1230"/>
      <c r="N472" s="1230"/>
      <c r="R472" s="1230"/>
      <c r="S472" s="1230"/>
      <c r="T472" s="1230"/>
      <c r="U472" s="1230"/>
      <c r="V472" s="1230"/>
      <c r="W472" s="1230"/>
      <c r="X472" s="1230"/>
      <c r="Y472" s="1230"/>
      <c r="Z472" s="1230"/>
      <c r="AA472" s="1230"/>
      <c r="AB472" s="1230"/>
      <c r="AC472" s="1230"/>
      <c r="AD472" s="1230"/>
      <c r="AE472" s="1230"/>
      <c r="AF472" s="1230"/>
      <c r="AG472" s="1230"/>
    </row>
    <row r="473" spans="10:33">
      <c r="J473" s="1230"/>
      <c r="K473" s="1230"/>
      <c r="M473" s="1230"/>
      <c r="N473" s="1230"/>
      <c r="R473" s="1230"/>
      <c r="S473" s="1230"/>
      <c r="T473" s="1230"/>
      <c r="U473" s="1230"/>
      <c r="V473" s="1230"/>
      <c r="W473" s="1230"/>
      <c r="X473" s="1230"/>
      <c r="Y473" s="1230"/>
      <c r="Z473" s="1230"/>
      <c r="AA473" s="1230"/>
      <c r="AB473" s="1230"/>
      <c r="AC473" s="1230"/>
      <c r="AD473" s="1230"/>
      <c r="AE473" s="1230"/>
      <c r="AF473" s="1230"/>
      <c r="AG473" s="1230"/>
    </row>
    <row r="474" spans="10:33">
      <c r="J474" s="1230"/>
      <c r="K474" s="1230"/>
      <c r="M474" s="1230"/>
      <c r="N474" s="1230"/>
      <c r="R474" s="1230"/>
      <c r="S474" s="1230"/>
      <c r="T474" s="1230"/>
      <c r="U474" s="1230"/>
      <c r="V474" s="1230"/>
      <c r="W474" s="1230"/>
      <c r="X474" s="1230"/>
      <c r="Y474" s="1230"/>
      <c r="Z474" s="1230"/>
      <c r="AA474" s="1230"/>
      <c r="AB474" s="1230"/>
      <c r="AC474" s="1230"/>
      <c r="AD474" s="1230"/>
      <c r="AE474" s="1230"/>
      <c r="AF474" s="1230"/>
      <c r="AG474" s="1230"/>
    </row>
    <row r="475" spans="10:33">
      <c r="J475" s="1230"/>
      <c r="K475" s="1230"/>
      <c r="M475" s="1230"/>
      <c r="N475" s="1230"/>
      <c r="R475" s="1230"/>
      <c r="S475" s="1230"/>
      <c r="T475" s="1230"/>
      <c r="U475" s="1230"/>
      <c r="V475" s="1230"/>
      <c r="W475" s="1230"/>
      <c r="X475" s="1230"/>
      <c r="Y475" s="1230"/>
      <c r="Z475" s="1230"/>
      <c r="AA475" s="1230"/>
      <c r="AB475" s="1230"/>
      <c r="AC475" s="1230"/>
      <c r="AD475" s="1230"/>
      <c r="AE475" s="1230"/>
      <c r="AF475" s="1230"/>
      <c r="AG475" s="1230"/>
    </row>
    <row r="476" spans="10:33">
      <c r="J476" s="1230"/>
      <c r="K476" s="1230"/>
      <c r="M476" s="1230"/>
      <c r="N476" s="1230"/>
      <c r="R476" s="1230"/>
      <c r="S476" s="1230"/>
      <c r="T476" s="1230"/>
      <c r="U476" s="1230"/>
      <c r="V476" s="1230"/>
      <c r="W476" s="1230"/>
      <c r="X476" s="1230"/>
      <c r="Y476" s="1230"/>
      <c r="Z476" s="1230"/>
      <c r="AA476" s="1230"/>
      <c r="AB476" s="1230"/>
      <c r="AC476" s="1230"/>
      <c r="AD476" s="1230"/>
      <c r="AE476" s="1230"/>
      <c r="AF476" s="1230"/>
      <c r="AG476" s="1230"/>
    </row>
    <row r="477" spans="10:33">
      <c r="J477" s="1230"/>
      <c r="K477" s="1230"/>
      <c r="M477" s="1230"/>
      <c r="N477" s="1230"/>
      <c r="R477" s="1230"/>
      <c r="S477" s="1230"/>
      <c r="T477" s="1230"/>
      <c r="U477" s="1230"/>
      <c r="V477" s="1230"/>
      <c r="W477" s="1230"/>
      <c r="X477" s="1230"/>
      <c r="Y477" s="1230"/>
      <c r="Z477" s="1230"/>
      <c r="AA477" s="1230"/>
      <c r="AB477" s="1230"/>
      <c r="AC477" s="1230"/>
      <c r="AD477" s="1230"/>
      <c r="AE477" s="1230"/>
      <c r="AF477" s="1230"/>
      <c r="AG477" s="1230"/>
    </row>
    <row r="478" spans="10:33">
      <c r="J478" s="1230"/>
      <c r="K478" s="1230"/>
      <c r="M478" s="1230"/>
      <c r="N478" s="1230"/>
      <c r="R478" s="1230"/>
      <c r="S478" s="1230"/>
      <c r="T478" s="1230"/>
      <c r="U478" s="1230"/>
      <c r="V478" s="1230"/>
      <c r="W478" s="1230"/>
      <c r="X478" s="1230"/>
      <c r="Y478" s="1230"/>
      <c r="Z478" s="1230"/>
      <c r="AA478" s="1230"/>
      <c r="AB478" s="1230"/>
      <c r="AC478" s="1230"/>
      <c r="AD478" s="1230"/>
      <c r="AE478" s="1230"/>
      <c r="AF478" s="1230"/>
      <c r="AG478" s="1230"/>
    </row>
    <row r="479" spans="10:33">
      <c r="J479" s="1230"/>
      <c r="K479" s="1230"/>
      <c r="M479" s="1230"/>
      <c r="N479" s="1230"/>
      <c r="R479" s="1230"/>
      <c r="S479" s="1230"/>
      <c r="T479" s="1230"/>
      <c r="U479" s="1230"/>
      <c r="V479" s="1230"/>
      <c r="W479" s="1230"/>
      <c r="X479" s="1230"/>
      <c r="Y479" s="1230"/>
      <c r="Z479" s="1230"/>
      <c r="AA479" s="1230"/>
      <c r="AB479" s="1230"/>
      <c r="AC479" s="1230"/>
      <c r="AD479" s="1230"/>
      <c r="AE479" s="1230"/>
      <c r="AF479" s="1230"/>
      <c r="AG479" s="1230"/>
    </row>
    <row r="480" spans="10:33">
      <c r="J480" s="1230"/>
      <c r="K480" s="1230"/>
      <c r="M480" s="1230"/>
      <c r="N480" s="1230"/>
      <c r="R480" s="1230"/>
      <c r="S480" s="1230"/>
      <c r="T480" s="1230"/>
      <c r="U480" s="1230"/>
      <c r="V480" s="1230"/>
      <c r="W480" s="1230"/>
      <c r="X480" s="1230"/>
      <c r="Y480" s="1230"/>
      <c r="Z480" s="1230"/>
      <c r="AA480" s="1230"/>
      <c r="AB480" s="1230"/>
      <c r="AC480" s="1230"/>
      <c r="AD480" s="1230"/>
      <c r="AE480" s="1230"/>
      <c r="AF480" s="1230"/>
      <c r="AG480" s="1230"/>
    </row>
  </sheetData>
  <sheetProtection algorithmName="SHA-512" hashValue="2juRMPU7CLINq1d9wU3otuI3IQJCVKXWjdob3gmpdRTg88WANpjwp6yreDkvNcdDAvaT4cAxxCW8zA5OEtHX4Q==" saltValue="Nc49HgpPnkYO3ycspjod2g==" spinCount="100000" sheet="1" objects="1" scenarios="1"/>
  <mergeCells count="32">
    <mergeCell ref="I360:J360"/>
    <mergeCell ref="I364:J364"/>
    <mergeCell ref="I365:J365"/>
    <mergeCell ref="I363:J363"/>
    <mergeCell ref="I362:J362"/>
    <mergeCell ref="I361:J361"/>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E58:F58"/>
    <mergeCell ref="B10:C10"/>
    <mergeCell ref="B11:C11"/>
    <mergeCell ref="B12:C12"/>
    <mergeCell ref="B14:C14"/>
    <mergeCell ref="B15:C15"/>
    <mergeCell ref="E57:F57"/>
    <mergeCell ref="C23:D23"/>
    <mergeCell ref="C22:D22"/>
    <mergeCell ref="C21:D21"/>
    <mergeCell ref="C20:D20"/>
    <mergeCell ref="C17:D18"/>
    <mergeCell ref="C19:F19"/>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2" activePane="bottomLeft" state="frozen"/>
      <selection activeCell="D50" sqref="D50"/>
      <selection pane="bottomLeft" activeCell="A2" sqref="A2"/>
    </sheetView>
  </sheetViews>
  <sheetFormatPr defaultColWidth="9.140625" defaultRowHeight="12.95" customHeight="1"/>
  <cols>
    <col min="1" max="1" width="14.5703125" style="497" customWidth="1"/>
    <col min="2" max="2" width="16.42578125" style="497" bestFit="1" customWidth="1"/>
    <col min="3" max="3" width="12.42578125" style="497" customWidth="1"/>
    <col min="4" max="9" width="10.5703125" style="497" customWidth="1"/>
    <col min="10" max="10" width="10.5703125" style="775" customWidth="1"/>
    <col min="11" max="11" width="12.85546875" style="775" bestFit="1" customWidth="1"/>
    <col min="12" max="12" width="9.5703125" style="775" customWidth="1"/>
    <col min="13" max="13" width="10.140625" style="775" bestFit="1" customWidth="1"/>
    <col min="14" max="14" width="8" style="775" bestFit="1" customWidth="1"/>
    <col min="15" max="15" width="8.42578125" style="775" bestFit="1" customWidth="1"/>
    <col min="16" max="16" width="8.5703125" style="775" customWidth="1"/>
    <col min="17" max="17" width="13.5703125" style="775" bestFit="1" customWidth="1"/>
    <col min="18" max="25" width="10" style="775" bestFit="1" customWidth="1"/>
    <col min="26" max="66" width="9.140625" style="775"/>
    <col min="67" max="16384" width="9.140625" style="497"/>
  </cols>
  <sheetData>
    <row r="1" spans="1:25" s="292" customFormat="1" ht="32.1" customHeight="1">
      <c r="K1" s="770" t="str">
        <f>"Current Cycle "&amp;CurrentCycle</f>
        <v>Current Cycle 8</v>
      </c>
      <c r="L1" s="771" t="str">
        <f>"Calculating "&amp;CycleInCalculation</f>
        <v>Calculating 8</v>
      </c>
      <c r="M1" s="440"/>
      <c r="N1" s="440"/>
      <c r="O1" s="440"/>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95" customHeight="1">
      <c r="Q3" s="293"/>
      <c r="R3" s="293"/>
      <c r="S3" s="293"/>
      <c r="T3" s="293"/>
      <c r="U3" s="293"/>
      <c r="V3" s="293"/>
      <c r="W3" s="293"/>
      <c r="X3" s="293"/>
      <c r="Y3" s="293"/>
    </row>
    <row r="4" spans="1:25" s="292" customFormat="1" ht="12.95" customHeight="1">
      <c r="Q4" s="293"/>
      <c r="R4" s="293"/>
      <c r="S4" s="293"/>
      <c r="T4" s="293"/>
      <c r="U4" s="293"/>
      <c r="V4" s="293"/>
      <c r="W4" s="293"/>
      <c r="X4" s="293"/>
      <c r="Y4" s="293"/>
    </row>
    <row r="5" spans="1:25" ht="15.75">
      <c r="A5" s="772">
        <v>1</v>
      </c>
      <c r="B5" s="773" t="s">
        <v>143</v>
      </c>
      <c r="C5" s="773"/>
      <c r="D5" s="772"/>
      <c r="E5" s="300"/>
      <c r="G5" s="362"/>
      <c r="H5" s="362"/>
      <c r="I5" s="300"/>
      <c r="J5" s="300"/>
      <c r="K5" s="301"/>
      <c r="L5" s="301"/>
      <c r="M5" s="774"/>
      <c r="N5" s="774"/>
      <c r="O5" s="301"/>
      <c r="P5" s="391"/>
      <c r="Q5" s="303"/>
      <c r="R5" s="303"/>
      <c r="S5" s="303"/>
      <c r="T5" s="303"/>
      <c r="U5" s="303"/>
      <c r="V5" s="303"/>
      <c r="W5" s="301"/>
      <c r="X5" s="301"/>
    </row>
    <row r="6" spans="1:25" s="775" customFormat="1" ht="12.95" customHeight="1" thickBot="1">
      <c r="A6" s="666"/>
      <c r="B6" s="776"/>
      <c r="C6" s="777"/>
      <c r="D6" s="777"/>
      <c r="E6" s="776"/>
      <c r="F6" s="776"/>
      <c r="G6" s="778"/>
      <c r="H6" s="778"/>
      <c r="I6" s="778"/>
      <c r="J6" s="778"/>
      <c r="K6" s="778"/>
      <c r="L6" s="301"/>
      <c r="M6" s="774"/>
      <c r="N6" s="774"/>
      <c r="O6" s="301"/>
      <c r="P6" s="391"/>
      <c r="Q6" s="303"/>
      <c r="R6" s="303"/>
      <c r="S6" s="303"/>
      <c r="T6" s="303"/>
      <c r="U6" s="303"/>
      <c r="V6" s="303"/>
      <c r="W6" s="301"/>
      <c r="X6" s="301"/>
    </row>
    <row r="7" spans="1:25" s="775" customFormat="1" ht="12.95" customHeight="1" thickBot="1">
      <c r="A7" s="779" t="s">
        <v>465</v>
      </c>
      <c r="B7" s="1499"/>
      <c r="C7" s="1500"/>
      <c r="D7" s="1500"/>
      <c r="E7" s="1500"/>
      <c r="F7" s="1501"/>
      <c r="G7" s="780" t="s">
        <v>95</v>
      </c>
      <c r="H7" s="780" t="s">
        <v>35</v>
      </c>
      <c r="I7" s="780" t="s">
        <v>34</v>
      </c>
      <c r="J7" s="780" t="s">
        <v>33</v>
      </c>
      <c r="K7" s="781" t="s">
        <v>94</v>
      </c>
      <c r="L7" s="301"/>
      <c r="M7" s="774"/>
      <c r="N7" s="774"/>
      <c r="O7" s="301"/>
      <c r="P7" s="391"/>
      <c r="Q7" s="303"/>
      <c r="R7" s="303"/>
      <c r="S7" s="303"/>
      <c r="T7" s="303"/>
      <c r="U7" s="303"/>
      <c r="V7" s="303"/>
      <c r="W7" s="301"/>
      <c r="X7" s="301"/>
    </row>
    <row r="8" spans="1:25" s="775" customFormat="1" ht="12.95" customHeight="1">
      <c r="A8" s="666"/>
      <c r="B8" s="1502" t="s">
        <v>99</v>
      </c>
      <c r="C8" s="1503"/>
      <c r="D8" s="1503"/>
      <c r="E8" s="1504"/>
      <c r="F8" s="782" t="s">
        <v>49</v>
      </c>
      <c r="G8" s="783"/>
      <c r="H8" s="784">
        <f>'Project-Start'!H8</f>
        <v>0.55551168750000013</v>
      </c>
      <c r="I8" s="784">
        <f>'Project-Start'!I8</f>
        <v>0.59135115120967763</v>
      </c>
      <c r="J8" s="784">
        <f>'Project-Start'!J8</f>
        <v>0.64511034677419365</v>
      </c>
      <c r="K8" s="785">
        <f>'Project-Start'!K8</f>
        <v>0.59732439516129043</v>
      </c>
      <c r="L8" s="301"/>
      <c r="M8" s="774"/>
      <c r="N8" s="774"/>
      <c r="O8" s="301"/>
      <c r="P8" s="391"/>
      <c r="Q8" s="303"/>
      <c r="R8" s="303"/>
      <c r="S8" s="303"/>
      <c r="T8" s="303"/>
      <c r="U8" s="303"/>
      <c r="V8" s="303"/>
      <c r="W8" s="301"/>
      <c r="X8" s="301"/>
    </row>
    <row r="9" spans="1:25" s="775" customFormat="1" ht="12.95" customHeight="1">
      <c r="A9" s="666"/>
      <c r="B9" s="1505" t="s">
        <v>98</v>
      </c>
      <c r="C9" s="1506"/>
      <c r="D9" s="1506"/>
      <c r="E9" s="1507"/>
      <c r="F9" s="786" t="s">
        <v>96</v>
      </c>
      <c r="G9" s="787"/>
      <c r="H9" s="787">
        <f>'Project-Start'!H9</f>
        <v>1</v>
      </c>
      <c r="I9" s="787">
        <f>'Project-Start'!I9</f>
        <v>1</v>
      </c>
      <c r="J9" s="787">
        <f>'Project-Start'!J9</f>
        <v>1</v>
      </c>
      <c r="K9" s="1029">
        <f>AVERAGE(H9:J9)</f>
        <v>1</v>
      </c>
      <c r="L9" s="301"/>
      <c r="M9" s="774"/>
      <c r="N9" s="774"/>
      <c r="O9" s="301"/>
      <c r="P9" s="391"/>
      <c r="Q9" s="303"/>
      <c r="R9" s="303"/>
      <c r="S9" s="303"/>
      <c r="T9" s="303"/>
      <c r="U9" s="303"/>
      <c r="V9" s="303"/>
      <c r="W9" s="301"/>
      <c r="X9" s="301"/>
    </row>
    <row r="10" spans="1:25" s="775" customFormat="1" ht="12.95" customHeight="1" thickBot="1">
      <c r="A10" s="666"/>
      <c r="B10" s="1508" t="s">
        <v>97</v>
      </c>
      <c r="C10" s="1509"/>
      <c r="D10" s="1509"/>
      <c r="E10" s="1510"/>
      <c r="F10" s="788" t="s">
        <v>96</v>
      </c>
      <c r="G10" s="789"/>
      <c r="H10" s="789">
        <f>'Project-Start'!H10</f>
        <v>1</v>
      </c>
      <c r="I10" s="789">
        <f>'Project-Start'!I10</f>
        <v>1</v>
      </c>
      <c r="J10" s="789">
        <f>'Project-Start'!J10</f>
        <v>1</v>
      </c>
      <c r="K10" s="1030">
        <f>AVERAGE(H10:J10)</f>
        <v>1</v>
      </c>
      <c r="L10" s="301"/>
      <c r="M10" s="774"/>
      <c r="N10" s="774"/>
      <c r="O10" s="301"/>
      <c r="P10" s="391"/>
      <c r="Q10" s="303"/>
      <c r="R10" s="303"/>
      <c r="S10" s="303"/>
      <c r="T10" s="303"/>
      <c r="U10" s="303"/>
      <c r="V10" s="303"/>
      <c r="W10" s="301"/>
      <c r="X10" s="301"/>
    </row>
    <row r="11" spans="1:25" s="775" customFormat="1" ht="12.95" customHeight="1" thickBot="1">
      <c r="A11" s="666"/>
      <c r="B11" s="790"/>
      <c r="C11" s="790"/>
      <c r="D11" s="666"/>
      <c r="E11" s="301"/>
      <c r="G11" s="774"/>
      <c r="H11" s="774"/>
      <c r="I11" s="301"/>
      <c r="J11" s="301"/>
      <c r="K11" s="301"/>
      <c r="L11" s="301"/>
      <c r="M11" s="774"/>
      <c r="N11" s="774"/>
      <c r="O11" s="301"/>
      <c r="P11" s="391"/>
      <c r="Q11" s="303"/>
      <c r="R11" s="303"/>
      <c r="S11" s="303"/>
      <c r="T11" s="303"/>
      <c r="U11" s="303"/>
      <c r="V11" s="303"/>
      <c r="W11" s="301"/>
      <c r="X11" s="301"/>
    </row>
    <row r="12" spans="1:25" s="775" customFormat="1" ht="12.95" customHeight="1" thickBot="1">
      <c r="A12" s="791" t="s">
        <v>466</v>
      </c>
      <c r="B12" s="1511"/>
      <c r="C12" s="1512"/>
      <c r="D12" s="1512"/>
      <c r="E12" s="1512"/>
      <c r="F12" s="1512"/>
      <c r="G12" s="792" t="s">
        <v>95</v>
      </c>
      <c r="H12" s="792" t="s">
        <v>35</v>
      </c>
      <c r="I12" s="792" t="s">
        <v>34</v>
      </c>
      <c r="J12" s="792" t="s">
        <v>33</v>
      </c>
      <c r="K12" s="793" t="s">
        <v>94</v>
      </c>
      <c r="L12" s="301"/>
      <c r="M12" s="774"/>
      <c r="N12" s="774"/>
      <c r="O12" s="301"/>
      <c r="P12" s="391"/>
      <c r="Q12" s="303"/>
      <c r="R12" s="303"/>
      <c r="S12" s="303"/>
      <c r="T12" s="303"/>
      <c r="U12" s="303"/>
      <c r="V12" s="303"/>
      <c r="W12" s="301"/>
      <c r="X12" s="301"/>
    </row>
    <row r="13" spans="1:25" s="775" customFormat="1" ht="12.95" customHeight="1">
      <c r="B13" s="1513" t="s">
        <v>99</v>
      </c>
      <c r="C13" s="1514"/>
      <c r="D13" s="1514"/>
      <c r="E13" s="1514"/>
      <c r="F13" s="794" t="s">
        <v>49</v>
      </c>
      <c r="G13" s="795"/>
      <c r="H13" s="796">
        <f>'36-Mo-Fin-Pr'!P38/H52</f>
        <v>0.51908325514470832</v>
      </c>
      <c r="I13" s="796">
        <f>'36-Mo-Fin-Pr'!P39/I52</f>
        <v>0.54947916666666663</v>
      </c>
      <c r="J13" s="796">
        <f>'36-Mo-Fin-Pr'!P40/J52</f>
        <v>0.61979166666666663</v>
      </c>
      <c r="K13" s="797">
        <f>'36-Mo-Fin-Pr'!P41/SUM(H52:J52)</f>
        <v>0.56278469615934723</v>
      </c>
      <c r="L13" s="301"/>
      <c r="M13" s="774"/>
      <c r="N13" s="774"/>
      <c r="O13" s="301"/>
      <c r="P13" s="391"/>
      <c r="Q13" s="303"/>
      <c r="R13" s="303"/>
      <c r="S13" s="303"/>
      <c r="T13" s="303"/>
      <c r="U13" s="303"/>
      <c r="V13" s="303"/>
      <c r="W13" s="301"/>
      <c r="X13" s="301"/>
    </row>
    <row r="14" spans="1:25" s="775" customFormat="1" ht="12.95" customHeight="1">
      <c r="A14" s="666"/>
      <c r="B14" s="1517" t="s">
        <v>634</v>
      </c>
      <c r="C14" s="1518"/>
      <c r="D14" s="1518"/>
      <c r="E14" s="1518"/>
      <c r="F14" s="798" t="s">
        <v>96</v>
      </c>
      <c r="G14" s="799"/>
      <c r="H14" s="799">
        <v>1</v>
      </c>
      <c r="I14" s="799">
        <v>1</v>
      </c>
      <c r="J14" s="799">
        <v>1</v>
      </c>
      <c r="K14" s="1031">
        <f>AVERAGE(H14:J14)</f>
        <v>1</v>
      </c>
      <c r="L14" s="301"/>
      <c r="M14" s="774"/>
      <c r="N14" s="774"/>
      <c r="O14" s="301"/>
      <c r="P14" s="391"/>
      <c r="Q14" s="303"/>
      <c r="R14" s="303"/>
      <c r="S14" s="303"/>
      <c r="T14" s="303"/>
      <c r="U14" s="303"/>
      <c r="V14" s="303"/>
      <c r="W14" s="301"/>
      <c r="X14" s="301"/>
    </row>
    <row r="15" spans="1:25" s="775" customFormat="1" ht="12.95" customHeight="1" thickBot="1">
      <c r="A15" s="666"/>
      <c r="B15" s="1519" t="s">
        <v>635</v>
      </c>
      <c r="C15" s="1520"/>
      <c r="D15" s="1520"/>
      <c r="E15" s="1520"/>
      <c r="F15" s="800" t="s">
        <v>96</v>
      </c>
      <c r="G15" s="801"/>
      <c r="H15" s="801">
        <v>1</v>
      </c>
      <c r="I15" s="801">
        <v>1</v>
      </c>
      <c r="J15" s="801">
        <v>1</v>
      </c>
      <c r="K15" s="1032">
        <f>AVERAGE(H15:J15)</f>
        <v>1</v>
      </c>
      <c r="L15" s="301"/>
      <c r="M15" s="774"/>
      <c r="N15" s="774"/>
      <c r="O15" s="301"/>
      <c r="P15" s="391"/>
      <c r="Q15" s="303"/>
      <c r="R15" s="303"/>
      <c r="S15" s="303"/>
      <c r="T15" s="303"/>
      <c r="U15" s="303"/>
      <c r="V15" s="303"/>
      <c r="W15" s="301"/>
      <c r="X15" s="301"/>
    </row>
    <row r="16" spans="1:25" s="775" customFormat="1" ht="12.95" customHeight="1">
      <c r="A16" s="666"/>
      <c r="B16" s="304"/>
      <c r="C16" s="304"/>
      <c r="D16" s="304"/>
      <c r="E16" s="305"/>
      <c r="F16" s="305"/>
      <c r="G16" s="391"/>
      <c r="H16" s="391"/>
      <c r="I16" s="391"/>
      <c r="J16" s="391"/>
      <c r="K16" s="304"/>
      <c r="L16" s="301"/>
      <c r="M16" s="774"/>
      <c r="N16" s="774"/>
      <c r="O16" s="301"/>
      <c r="P16" s="391"/>
      <c r="Q16" s="303"/>
      <c r="R16" s="303"/>
      <c r="S16" s="303"/>
      <c r="T16" s="303"/>
      <c r="U16" s="303"/>
      <c r="V16" s="303"/>
      <c r="W16" s="301"/>
      <c r="X16" s="301"/>
    </row>
    <row r="17" spans="1:24" s="775" customFormat="1" ht="12.95" customHeight="1">
      <c r="A17" s="666"/>
      <c r="B17" s="304"/>
      <c r="C17" s="304"/>
      <c r="D17" s="304"/>
      <c r="E17" s="305"/>
      <c r="F17" s="305"/>
      <c r="G17" s="391"/>
      <c r="H17" s="391"/>
      <c r="I17" s="391"/>
      <c r="J17" s="391"/>
      <c r="K17" s="304"/>
      <c r="L17" s="301"/>
      <c r="M17" s="774"/>
      <c r="N17" s="774"/>
      <c r="O17" s="301"/>
      <c r="P17" s="391"/>
      <c r="Q17" s="303"/>
      <c r="R17" s="303"/>
      <c r="S17" s="303"/>
      <c r="T17" s="303"/>
      <c r="U17" s="303"/>
      <c r="V17" s="303"/>
      <c r="W17" s="301"/>
      <c r="X17" s="301"/>
    </row>
    <row r="18" spans="1:24" s="775" customFormat="1" ht="12.95" customHeight="1">
      <c r="A18" s="666"/>
      <c r="B18" s="304"/>
      <c r="C18" s="304"/>
      <c r="D18" s="304"/>
      <c r="E18" s="305"/>
      <c r="F18" s="305"/>
      <c r="G18" s="391"/>
      <c r="H18" s="391"/>
      <c r="I18" s="391"/>
      <c r="J18" s="391"/>
      <c r="K18" s="304"/>
      <c r="L18" s="301"/>
      <c r="M18" s="774"/>
      <c r="N18" s="774"/>
      <c r="O18" s="301"/>
      <c r="P18" s="391"/>
      <c r="Q18" s="303"/>
      <c r="R18" s="303"/>
      <c r="S18" s="303"/>
      <c r="T18" s="303"/>
      <c r="U18" s="303"/>
      <c r="V18" s="303"/>
      <c r="W18" s="301"/>
      <c r="X18" s="301"/>
    </row>
    <row r="19" spans="1:24" s="775" customFormat="1" ht="12.95" customHeight="1">
      <c r="A19" s="666"/>
      <c r="B19" s="304"/>
      <c r="C19" s="304"/>
      <c r="D19" s="304"/>
      <c r="E19" s="305"/>
      <c r="F19" s="305"/>
      <c r="G19" s="391"/>
      <c r="H19" s="391"/>
      <c r="I19" s="391"/>
      <c r="J19" s="391"/>
      <c r="K19" s="304"/>
      <c r="L19" s="301"/>
      <c r="M19" s="774"/>
      <c r="N19" s="774"/>
      <c r="O19" s="301"/>
      <c r="P19" s="391"/>
      <c r="Q19" s="303"/>
      <c r="R19" s="303"/>
      <c r="S19" s="303"/>
      <c r="T19" s="303"/>
      <c r="U19" s="303"/>
      <c r="V19" s="303"/>
      <c r="W19" s="301"/>
      <c r="X19" s="301"/>
    </row>
    <row r="20" spans="1:24" s="775" customFormat="1" ht="12.95" customHeight="1">
      <c r="A20" s="666"/>
      <c r="B20" s="304"/>
      <c r="C20" s="304"/>
      <c r="D20" s="304"/>
      <c r="E20" s="305"/>
      <c r="F20" s="305"/>
      <c r="G20" s="391"/>
      <c r="H20" s="391"/>
      <c r="I20" s="391"/>
      <c r="J20" s="391"/>
      <c r="K20" s="304"/>
      <c r="L20" s="301"/>
      <c r="M20" s="774"/>
      <c r="N20" s="774"/>
      <c r="O20" s="301"/>
      <c r="P20" s="391"/>
      <c r="Q20" s="303"/>
      <c r="R20" s="303"/>
      <c r="S20" s="303"/>
      <c r="T20" s="303"/>
      <c r="U20" s="303"/>
      <c r="V20" s="303"/>
      <c r="W20" s="301"/>
      <c r="X20" s="301"/>
    </row>
    <row r="21" spans="1:24" s="775" customFormat="1" ht="12.95" customHeight="1">
      <c r="A21" s="666"/>
      <c r="B21" s="304"/>
      <c r="C21" s="304"/>
      <c r="D21" s="304"/>
      <c r="E21" s="305"/>
      <c r="F21" s="305"/>
      <c r="G21" s="391"/>
      <c r="H21" s="391"/>
      <c r="I21" s="391"/>
      <c r="J21" s="391"/>
      <c r="K21" s="304"/>
      <c r="L21" s="301"/>
      <c r="M21" s="774"/>
      <c r="N21" s="774"/>
      <c r="O21" s="301"/>
      <c r="P21" s="391"/>
      <c r="Q21" s="303"/>
      <c r="R21" s="303"/>
      <c r="S21" s="303"/>
      <c r="T21" s="303"/>
      <c r="U21" s="303"/>
      <c r="V21" s="303"/>
      <c r="W21" s="301"/>
      <c r="X21" s="301"/>
    </row>
    <row r="22" spans="1:24" s="775" customFormat="1" ht="12.95" customHeight="1">
      <c r="A22" s="666"/>
      <c r="B22" s="304"/>
      <c r="C22" s="304"/>
      <c r="D22" s="304"/>
      <c r="E22" s="305"/>
      <c r="F22" s="305"/>
      <c r="G22" s="391"/>
      <c r="H22" s="391"/>
      <c r="I22" s="391"/>
      <c r="J22" s="391"/>
      <c r="K22" s="304"/>
      <c r="L22" s="301"/>
      <c r="M22" s="774"/>
      <c r="N22" s="774"/>
      <c r="O22" s="301"/>
      <c r="P22" s="391"/>
      <c r="Q22" s="303"/>
      <c r="R22" s="303"/>
      <c r="S22" s="303"/>
      <c r="T22" s="303"/>
      <c r="U22" s="303"/>
      <c r="V22" s="303"/>
      <c r="W22" s="301"/>
      <c r="X22" s="301"/>
    </row>
    <row r="23" spans="1:24" s="775" customFormat="1" ht="12.95" customHeight="1">
      <c r="A23" s="666"/>
      <c r="B23" s="304"/>
      <c r="C23" s="304"/>
      <c r="D23" s="304"/>
      <c r="E23" s="305"/>
      <c r="F23" s="305"/>
      <c r="G23" s="391"/>
      <c r="H23" s="391"/>
      <c r="I23" s="391"/>
      <c r="J23" s="391"/>
      <c r="K23" s="304"/>
      <c r="L23" s="301"/>
      <c r="M23" s="774"/>
      <c r="N23" s="774"/>
      <c r="O23" s="301"/>
      <c r="P23" s="391"/>
      <c r="Q23" s="303"/>
      <c r="R23" s="303"/>
      <c r="S23" s="303"/>
      <c r="T23" s="303"/>
      <c r="U23" s="303"/>
      <c r="V23" s="303"/>
      <c r="W23" s="301"/>
      <c r="X23" s="301"/>
    </row>
    <row r="24" spans="1:24" s="775" customFormat="1" ht="12.95" customHeight="1">
      <c r="A24" s="666"/>
      <c r="B24" s="304"/>
      <c r="C24" s="304"/>
      <c r="D24" s="304"/>
      <c r="E24" s="305"/>
      <c r="F24" s="305"/>
      <c r="G24" s="391"/>
      <c r="H24" s="391"/>
      <c r="I24" s="391"/>
      <c r="J24" s="391"/>
      <c r="K24" s="304"/>
      <c r="L24" s="301"/>
      <c r="M24" s="774"/>
      <c r="N24" s="774"/>
      <c r="O24" s="301"/>
      <c r="P24" s="391"/>
      <c r="Q24" s="303"/>
      <c r="R24" s="303"/>
      <c r="S24" s="303"/>
      <c r="T24" s="303"/>
      <c r="U24" s="303"/>
      <c r="V24" s="303"/>
      <c r="W24" s="301"/>
      <c r="X24" s="301"/>
    </row>
    <row r="25" spans="1:24" s="775" customFormat="1" ht="12.95" customHeight="1">
      <c r="A25" s="666"/>
      <c r="B25" s="304"/>
      <c r="C25" s="304"/>
      <c r="D25" s="304"/>
      <c r="E25" s="305"/>
      <c r="F25" s="305"/>
      <c r="G25" s="391"/>
      <c r="H25" s="391"/>
      <c r="I25" s="391"/>
      <c r="J25" s="391"/>
      <c r="K25" s="304"/>
      <c r="L25" s="301"/>
      <c r="M25" s="774"/>
      <c r="N25" s="774"/>
      <c r="O25" s="301"/>
      <c r="P25" s="391"/>
      <c r="Q25" s="303"/>
      <c r="R25" s="303"/>
      <c r="S25" s="303"/>
      <c r="T25" s="303"/>
      <c r="U25" s="303"/>
      <c r="V25" s="303"/>
      <c r="W25" s="301"/>
      <c r="X25" s="301"/>
    </row>
    <row r="26" spans="1:24" s="775" customFormat="1" ht="12.95" customHeight="1">
      <c r="A26" s="666"/>
      <c r="B26" s="304"/>
      <c r="C26" s="304"/>
      <c r="D26" s="304"/>
      <c r="E26" s="305"/>
      <c r="F26" s="305"/>
      <c r="G26" s="391"/>
      <c r="H26" s="391"/>
      <c r="I26" s="391"/>
      <c r="J26" s="391"/>
      <c r="K26" s="304"/>
      <c r="L26" s="301"/>
      <c r="M26" s="774"/>
      <c r="N26" s="774"/>
      <c r="O26" s="301"/>
      <c r="P26" s="391"/>
      <c r="Q26" s="303"/>
      <c r="R26" s="303"/>
      <c r="S26" s="303"/>
      <c r="T26" s="303"/>
      <c r="U26" s="303"/>
      <c r="V26" s="303"/>
      <c r="W26" s="301"/>
      <c r="X26" s="301"/>
    </row>
    <row r="27" spans="1:24" s="775" customFormat="1" ht="12.95" customHeight="1">
      <c r="A27" s="666"/>
      <c r="B27" s="304"/>
      <c r="C27" s="304"/>
      <c r="D27" s="304"/>
      <c r="E27" s="305"/>
      <c r="F27" s="305"/>
      <c r="G27" s="391"/>
      <c r="H27" s="391"/>
      <c r="I27" s="391"/>
      <c r="J27" s="391"/>
      <c r="K27" s="304"/>
      <c r="L27" s="301"/>
      <c r="M27" s="774"/>
      <c r="N27" s="774"/>
      <c r="O27" s="301"/>
      <c r="P27" s="391"/>
      <c r="Q27" s="303"/>
      <c r="R27" s="303"/>
      <c r="S27" s="303"/>
      <c r="T27" s="303"/>
      <c r="U27" s="303"/>
      <c r="V27" s="303"/>
      <c r="W27" s="301"/>
      <c r="X27" s="301"/>
    </row>
    <row r="28" spans="1:24" s="775" customFormat="1" ht="12.95" customHeight="1">
      <c r="A28" s="666"/>
      <c r="B28" s="304"/>
      <c r="C28" s="304"/>
      <c r="D28" s="304"/>
      <c r="E28" s="305"/>
      <c r="F28" s="305"/>
      <c r="G28" s="391"/>
      <c r="H28" s="391"/>
      <c r="I28" s="391"/>
      <c r="J28" s="391"/>
      <c r="K28" s="304"/>
      <c r="L28" s="301"/>
      <c r="M28" s="774"/>
      <c r="N28" s="774"/>
      <c r="O28" s="301"/>
      <c r="P28" s="391"/>
      <c r="Q28" s="303"/>
      <c r="R28" s="303"/>
      <c r="S28" s="303"/>
      <c r="T28" s="303"/>
      <c r="U28" s="303"/>
      <c r="V28" s="303"/>
      <c r="W28" s="301"/>
      <c r="X28" s="301"/>
    </row>
    <row r="29" spans="1:24" s="775" customFormat="1" ht="12.95" customHeight="1">
      <c r="A29" s="666"/>
      <c r="B29" s="304"/>
      <c r="C29" s="304"/>
      <c r="D29" s="304"/>
      <c r="E29" s="305"/>
      <c r="F29" s="305"/>
      <c r="G29" s="391"/>
      <c r="H29" s="391"/>
      <c r="I29" s="391"/>
      <c r="J29" s="391"/>
      <c r="K29" s="304"/>
      <c r="L29" s="301"/>
      <c r="M29" s="774"/>
      <c r="N29" s="774"/>
      <c r="O29" s="301"/>
      <c r="P29" s="391"/>
      <c r="Q29" s="303"/>
      <c r="R29" s="303"/>
      <c r="S29" s="303"/>
      <c r="T29" s="303"/>
      <c r="U29" s="303"/>
      <c r="V29" s="303"/>
      <c r="W29" s="301"/>
      <c r="X29" s="301"/>
    </row>
    <row r="30" spans="1:24" s="775" customFormat="1" ht="12.95" customHeight="1">
      <c r="A30" s="666"/>
      <c r="B30" s="304"/>
      <c r="C30" s="304"/>
      <c r="D30" s="304"/>
      <c r="E30" s="305"/>
      <c r="F30" s="305"/>
      <c r="G30" s="391"/>
      <c r="H30" s="391"/>
      <c r="I30" s="391"/>
      <c r="J30" s="391"/>
      <c r="K30" s="304"/>
      <c r="L30" s="301"/>
      <c r="M30" s="774"/>
      <c r="N30" s="774"/>
      <c r="O30" s="301"/>
      <c r="P30" s="391"/>
      <c r="Q30" s="303"/>
      <c r="R30" s="303"/>
      <c r="S30" s="303"/>
      <c r="T30" s="303"/>
      <c r="U30" s="303"/>
      <c r="V30" s="303"/>
      <c r="W30" s="301"/>
      <c r="X30" s="301"/>
    </row>
    <row r="31" spans="1:24" s="775" customFormat="1" ht="12.95" customHeight="1">
      <c r="A31" s="666"/>
      <c r="B31" s="304"/>
      <c r="C31" s="304"/>
      <c r="D31" s="304"/>
      <c r="E31" s="305"/>
      <c r="F31" s="305"/>
      <c r="G31" s="391"/>
      <c r="H31" s="391"/>
      <c r="I31" s="391"/>
      <c r="J31" s="391"/>
      <c r="K31" s="304"/>
      <c r="L31" s="301"/>
      <c r="M31" s="774"/>
      <c r="N31" s="774"/>
      <c r="O31" s="301"/>
      <c r="P31" s="391"/>
      <c r="Q31" s="303"/>
      <c r="R31" s="303"/>
      <c r="S31" s="303"/>
      <c r="T31" s="303"/>
      <c r="U31" s="303"/>
      <c r="V31" s="303"/>
      <c r="W31" s="301"/>
      <c r="X31" s="301"/>
    </row>
    <row r="32" spans="1:24" s="775" customFormat="1" ht="12.95" customHeight="1">
      <c r="A32" s="666"/>
      <c r="B32" s="304"/>
      <c r="C32" s="304"/>
      <c r="D32" s="304"/>
      <c r="E32" s="305"/>
      <c r="F32" s="305"/>
      <c r="G32" s="391"/>
      <c r="H32" s="391"/>
      <c r="I32" s="391"/>
      <c r="J32" s="391"/>
      <c r="K32" s="304"/>
      <c r="L32" s="301"/>
      <c r="M32" s="774"/>
      <c r="N32" s="774"/>
      <c r="O32" s="301"/>
      <c r="P32" s="391"/>
      <c r="Q32" s="303"/>
      <c r="R32" s="303"/>
      <c r="S32" s="303"/>
      <c r="T32" s="303"/>
      <c r="U32" s="303"/>
      <c r="V32" s="303"/>
      <c r="W32" s="301"/>
      <c r="X32" s="301"/>
    </row>
    <row r="33" spans="1:67" s="775" customFormat="1" ht="12.95" customHeight="1">
      <c r="A33" s="666"/>
      <c r="B33" s="304"/>
      <c r="C33" s="304"/>
      <c r="D33" s="304"/>
      <c r="E33" s="305"/>
      <c r="F33" s="305"/>
      <c r="G33" s="391"/>
      <c r="H33" s="391"/>
      <c r="I33" s="391"/>
      <c r="J33" s="391"/>
      <c r="K33" s="304"/>
      <c r="L33" s="301"/>
      <c r="M33" s="774"/>
      <c r="N33" s="774"/>
      <c r="O33" s="301"/>
      <c r="P33" s="391"/>
      <c r="Q33" s="303"/>
      <c r="R33" s="303"/>
      <c r="S33" s="303"/>
      <c r="T33" s="303"/>
      <c r="U33" s="303"/>
      <c r="V33" s="303"/>
      <c r="W33" s="301"/>
      <c r="X33" s="301"/>
    </row>
    <row r="34" spans="1:67" s="775" customFormat="1" ht="12.95" customHeight="1">
      <c r="A34" s="666"/>
      <c r="B34" s="304"/>
      <c r="C34" s="304"/>
      <c r="D34" s="304"/>
      <c r="E34" s="305"/>
      <c r="F34" s="305"/>
      <c r="G34" s="391"/>
      <c r="H34" s="391"/>
      <c r="I34" s="391"/>
      <c r="J34" s="391"/>
      <c r="K34" s="304"/>
      <c r="L34" s="301"/>
      <c r="M34" s="774"/>
      <c r="N34" s="774"/>
      <c r="O34" s="301"/>
      <c r="P34" s="391"/>
      <c r="Q34" s="303"/>
      <c r="R34" s="303"/>
      <c r="S34" s="303"/>
      <c r="T34" s="303"/>
      <c r="U34" s="303"/>
      <c r="V34" s="303"/>
      <c r="W34" s="301"/>
      <c r="X34" s="301"/>
    </row>
    <row r="35" spans="1:67" s="775" customFormat="1" ht="12.95" customHeight="1">
      <c r="A35" s="666"/>
      <c r="B35" s="304"/>
      <c r="C35" s="304"/>
      <c r="D35" s="304"/>
      <c r="E35" s="305"/>
      <c r="F35" s="305"/>
      <c r="G35" s="391"/>
      <c r="H35" s="391"/>
      <c r="I35" s="391"/>
      <c r="J35" s="391"/>
      <c r="K35" s="304"/>
      <c r="L35" s="301"/>
      <c r="M35" s="774"/>
      <c r="N35" s="774"/>
      <c r="O35" s="301"/>
      <c r="P35" s="391"/>
      <c r="Q35" s="303"/>
      <c r="R35" s="303"/>
      <c r="S35" s="303"/>
      <c r="T35" s="303"/>
      <c r="U35" s="303"/>
      <c r="V35" s="303"/>
      <c r="W35" s="301"/>
      <c r="X35" s="301"/>
    </row>
    <row r="36" spans="1:67" s="485" customFormat="1" ht="15.75">
      <c r="A36" s="772">
        <v>2</v>
      </c>
      <c r="B36" s="802" t="s">
        <v>14</v>
      </c>
      <c r="C36" s="772"/>
      <c r="D36" s="772"/>
      <c r="E36" s="300"/>
      <c r="F36" s="300"/>
      <c r="G36" s="362"/>
      <c r="H36" s="362"/>
      <c r="I36" s="300"/>
      <c r="J36" s="300"/>
      <c r="K36" s="301"/>
      <c r="L36" s="301"/>
      <c r="M36" s="774"/>
      <c r="N36" s="774"/>
      <c r="O36" s="774"/>
      <c r="P36" s="301"/>
      <c r="Q36" s="301"/>
      <c r="R36" s="301"/>
      <c r="S36" s="301"/>
      <c r="T36" s="303"/>
      <c r="U36" s="303"/>
      <c r="V36" s="303"/>
      <c r="W36" s="402"/>
      <c r="X36" s="402"/>
      <c r="Y36" s="402"/>
      <c r="Z36" s="382"/>
      <c r="AA36" s="382"/>
      <c r="AB36" s="382"/>
      <c r="AC36" s="382"/>
      <c r="AD36" s="382"/>
      <c r="AE36" s="382"/>
      <c r="AF36" s="382"/>
      <c r="AG36" s="382"/>
      <c r="AH36" s="382"/>
      <c r="AI36" s="382"/>
      <c r="AJ36" s="382"/>
      <c r="AK36" s="382"/>
      <c r="AL36" s="382"/>
      <c r="AM36" s="382"/>
      <c r="AN36" s="382"/>
      <c r="AO36" s="382"/>
      <c r="AP36" s="382"/>
      <c r="AQ36" s="382"/>
      <c r="AR36" s="382"/>
      <c r="AS36" s="382"/>
      <c r="AT36" s="382"/>
      <c r="AU36" s="382"/>
      <c r="AV36" s="382"/>
      <c r="AW36" s="382"/>
      <c r="AX36" s="382"/>
      <c r="AY36" s="382"/>
      <c r="AZ36" s="382"/>
      <c r="BA36" s="382"/>
      <c r="BB36" s="382"/>
      <c r="BC36" s="382"/>
      <c r="BD36" s="382"/>
      <c r="BE36" s="382"/>
      <c r="BF36" s="382"/>
      <c r="BG36" s="382"/>
      <c r="BH36" s="382"/>
      <c r="BI36" s="382"/>
      <c r="BJ36" s="382"/>
      <c r="BK36" s="382"/>
      <c r="BL36" s="382"/>
      <c r="BM36" s="382"/>
      <c r="BN36" s="382"/>
      <c r="BO36" s="382"/>
    </row>
    <row r="37" spans="1:67" s="382" customFormat="1" ht="12.95" customHeight="1" thickBot="1">
      <c r="L37" s="303"/>
      <c r="M37" s="303"/>
      <c r="N37" s="298"/>
      <c r="O37" s="298"/>
      <c r="P37" s="298"/>
      <c r="Q37" s="303"/>
      <c r="R37" s="303"/>
      <c r="S37" s="303"/>
      <c r="T37" s="303"/>
      <c r="U37" s="303"/>
      <c r="V37" s="303"/>
      <c r="W37" s="402"/>
      <c r="X37" s="402"/>
      <c r="Y37" s="402"/>
    </row>
    <row r="38" spans="1:67" s="382" customFormat="1" ht="12.95" customHeight="1" thickBot="1">
      <c r="A38" s="779" t="s">
        <v>465</v>
      </c>
      <c r="B38" s="1521"/>
      <c r="C38" s="1522"/>
      <c r="D38" s="1522"/>
      <c r="E38" s="1522"/>
      <c r="F38" s="1523"/>
      <c r="G38" s="803" t="s">
        <v>95</v>
      </c>
      <c r="H38" s="803" t="s">
        <v>35</v>
      </c>
      <c r="I38" s="803" t="s">
        <v>34</v>
      </c>
      <c r="J38" s="803" t="s">
        <v>33</v>
      </c>
      <c r="K38" s="804" t="s">
        <v>94</v>
      </c>
      <c r="L38" s="303"/>
      <c r="M38" s="303"/>
      <c r="N38" s="306"/>
      <c r="O38" s="306"/>
      <c r="P38" s="306"/>
      <c r="Q38" s="303"/>
      <c r="R38" s="303"/>
      <c r="S38" s="303"/>
      <c r="T38" s="303"/>
      <c r="U38" s="303"/>
      <c r="V38" s="303"/>
      <c r="W38" s="402"/>
      <c r="X38" s="402"/>
      <c r="Y38" s="402"/>
    </row>
    <row r="39" spans="1:67" s="382" customFormat="1" ht="12.95" customHeight="1">
      <c r="A39" s="805" t="s">
        <v>508</v>
      </c>
      <c r="B39" s="1524" t="s">
        <v>91</v>
      </c>
      <c r="C39" s="1525"/>
      <c r="D39" s="1525"/>
      <c r="E39" s="1525"/>
      <c r="F39" s="806" t="s">
        <v>85</v>
      </c>
      <c r="G39" s="807">
        <f>'Project-Start'!G15</f>
        <v>15000000</v>
      </c>
      <c r="H39" s="808">
        <f>'Project-Start'!H15</f>
        <v>1.03</v>
      </c>
      <c r="I39" s="808">
        <f>'Project-Start'!I15</f>
        <v>1.06</v>
      </c>
      <c r="J39" s="808">
        <f>'Project-Start'!J15</f>
        <v>1.1000000000000001</v>
      </c>
      <c r="K39" s="809"/>
      <c r="L39" s="303"/>
      <c r="M39" s="303"/>
      <c r="N39" s="391"/>
      <c r="O39" s="391"/>
      <c r="P39" s="391"/>
      <c r="Q39" s="303"/>
      <c r="R39" s="303"/>
      <c r="S39" s="303"/>
      <c r="T39" s="303"/>
      <c r="U39" s="303"/>
      <c r="V39" s="303"/>
      <c r="W39" s="402"/>
      <c r="X39" s="402"/>
      <c r="Y39" s="402"/>
    </row>
    <row r="40" spans="1:67" s="382" customFormat="1" ht="12.95" customHeight="1">
      <c r="A40" s="805" t="s">
        <v>509</v>
      </c>
      <c r="B40" s="1515" t="s">
        <v>636</v>
      </c>
      <c r="C40" s="1516"/>
      <c r="D40" s="1516"/>
      <c r="E40" s="1516"/>
      <c r="F40" s="810" t="s">
        <v>89</v>
      </c>
      <c r="G40" s="811">
        <f>'Project-Start'!G16</f>
        <v>73920</v>
      </c>
      <c r="H40" s="812"/>
      <c r="I40" s="812"/>
      <c r="J40" s="812"/>
      <c r="K40" s="813"/>
      <c r="L40" s="303"/>
      <c r="M40" s="391"/>
      <c r="N40" s="391"/>
      <c r="O40" s="391"/>
      <c r="P40" s="391"/>
      <c r="Q40" s="391"/>
      <c r="R40" s="303"/>
      <c r="S40" s="303"/>
      <c r="T40" s="303"/>
      <c r="U40" s="303"/>
      <c r="V40" s="303"/>
      <c r="W40" s="402"/>
      <c r="X40" s="402"/>
      <c r="Y40" s="402"/>
    </row>
    <row r="41" spans="1:67" s="775" customFormat="1" ht="12.95" customHeight="1">
      <c r="A41" s="805" t="s">
        <v>510</v>
      </c>
      <c r="B41" s="1515" t="s">
        <v>88</v>
      </c>
      <c r="C41" s="1516"/>
      <c r="D41" s="1516"/>
      <c r="E41" s="1516"/>
      <c r="F41" s="814" t="s">
        <v>85</v>
      </c>
      <c r="G41" s="815">
        <f>'Project-Start'!G17</f>
        <v>1.5</v>
      </c>
      <c r="H41" s="812"/>
      <c r="I41" s="812"/>
      <c r="J41" s="812"/>
      <c r="K41" s="813"/>
      <c r="L41" s="301"/>
      <c r="M41" s="774"/>
      <c r="N41" s="774"/>
      <c r="O41" s="301"/>
      <c r="P41" s="391"/>
      <c r="Q41" s="303"/>
      <c r="R41" s="303"/>
      <c r="S41" s="303"/>
      <c r="T41" s="303"/>
      <c r="U41" s="303"/>
      <c r="V41" s="303"/>
      <c r="W41" s="301"/>
      <c r="X41" s="301"/>
    </row>
    <row r="42" spans="1:67" s="775" customFormat="1" ht="12.95" customHeight="1">
      <c r="A42" s="805" t="s">
        <v>511</v>
      </c>
      <c r="B42" s="1515" t="s">
        <v>93</v>
      </c>
      <c r="C42" s="1516"/>
      <c r="D42" s="1516"/>
      <c r="E42" s="1516"/>
      <c r="F42" s="814" t="s">
        <v>49</v>
      </c>
      <c r="G42" s="816">
        <f>'Project-Start'!G18</f>
        <v>0</v>
      </c>
      <c r="H42" s="816">
        <f>'Project-Start'!H18</f>
        <v>1.1000000000000001</v>
      </c>
      <c r="I42" s="816">
        <f>'Project-Start'!I18</f>
        <v>1.18</v>
      </c>
      <c r="J42" s="816">
        <f>'Project-Start'!J18</f>
        <v>1.25</v>
      </c>
      <c r="K42" s="817"/>
      <c r="L42" s="301"/>
      <c r="M42" s="774"/>
      <c r="N42" s="774"/>
      <c r="O42" s="301"/>
      <c r="P42" s="391"/>
      <c r="Q42" s="303"/>
      <c r="R42" s="303"/>
      <c r="S42" s="303"/>
      <c r="T42" s="303"/>
      <c r="U42" s="303"/>
      <c r="V42" s="303"/>
      <c r="W42" s="301"/>
      <c r="X42" s="301"/>
    </row>
    <row r="43" spans="1:67" s="775" customFormat="1" ht="12.95" customHeight="1">
      <c r="A43" s="805"/>
      <c r="B43" s="1515"/>
      <c r="C43" s="1516"/>
      <c r="D43" s="1516"/>
      <c r="E43" s="1516"/>
      <c r="F43" s="814" t="s">
        <v>85</v>
      </c>
      <c r="G43" s="811">
        <f>G41*G40</f>
        <v>110880</v>
      </c>
      <c r="H43" s="818">
        <f>G43*H42</f>
        <v>121968.00000000001</v>
      </c>
      <c r="I43" s="818">
        <f>G43*I42</f>
        <v>130838.39999999999</v>
      </c>
      <c r="J43" s="818">
        <f>G43*J42</f>
        <v>138600</v>
      </c>
      <c r="K43" s="817">
        <f>SUM(H43:J43)</f>
        <v>391406.4</v>
      </c>
      <c r="L43" s="301"/>
      <c r="M43" s="774"/>
      <c r="N43" s="774"/>
      <c r="O43" s="301"/>
      <c r="P43" s="391"/>
      <c r="Q43" s="303"/>
      <c r="R43" s="303"/>
      <c r="S43" s="303"/>
      <c r="T43" s="303"/>
      <c r="U43" s="303"/>
      <c r="V43" s="303"/>
      <c r="W43" s="301"/>
      <c r="X43" s="301"/>
    </row>
    <row r="44" spans="1:67" s="775" customFormat="1" ht="12.95" customHeight="1">
      <c r="A44" s="805" t="s">
        <v>512</v>
      </c>
      <c r="B44" s="1515" t="s">
        <v>13</v>
      </c>
      <c r="C44" s="1516"/>
      <c r="D44" s="1516"/>
      <c r="E44" s="1516"/>
      <c r="F44" s="814" t="s">
        <v>49</v>
      </c>
      <c r="G44" s="819"/>
      <c r="H44" s="820"/>
      <c r="I44" s="820"/>
      <c r="J44" s="820"/>
      <c r="K44" s="821">
        <f>'Project-Start'!K20</f>
        <v>2.1800000000000002</v>
      </c>
      <c r="L44" s="301"/>
      <c r="M44" s="774"/>
      <c r="N44" s="774"/>
      <c r="O44" s="301"/>
      <c r="P44" s="391"/>
      <c r="Q44" s="303"/>
      <c r="R44" s="303"/>
      <c r="S44" s="303"/>
      <c r="T44" s="303"/>
      <c r="U44" s="303"/>
      <c r="V44" s="303"/>
      <c r="W44" s="301"/>
      <c r="X44" s="301"/>
    </row>
    <row r="45" spans="1:67" s="775" customFormat="1" ht="12.95" customHeight="1">
      <c r="A45" s="805" t="s">
        <v>513</v>
      </c>
      <c r="B45" s="1515" t="s">
        <v>92</v>
      </c>
      <c r="C45" s="1516"/>
      <c r="D45" s="1516"/>
      <c r="E45" s="1516"/>
      <c r="F45" s="814" t="s">
        <v>49</v>
      </c>
      <c r="G45" s="822"/>
      <c r="H45" s="552">
        <f>'Project-Start'!H21</f>
        <v>0.31</v>
      </c>
      <c r="I45" s="552">
        <f>'Project-Start'!I21</f>
        <v>0.33</v>
      </c>
      <c r="J45" s="552">
        <f>'Project-Start'!J21</f>
        <v>0.36</v>
      </c>
      <c r="K45" s="823">
        <f>H45+I45+J45</f>
        <v>1</v>
      </c>
      <c r="L45" s="301"/>
      <c r="M45" s="774"/>
      <c r="N45" s="774"/>
      <c r="O45" s="301"/>
      <c r="P45" s="391"/>
      <c r="Q45" s="303"/>
      <c r="R45" s="303"/>
      <c r="S45" s="303"/>
      <c r="T45" s="303"/>
      <c r="U45" s="303"/>
      <c r="V45" s="303"/>
      <c r="W45" s="301"/>
      <c r="X45" s="301"/>
    </row>
    <row r="46" spans="1:67" s="775" customFormat="1" ht="12.95" customHeight="1">
      <c r="A46" s="805"/>
      <c r="B46" s="1515" t="s">
        <v>405</v>
      </c>
      <c r="C46" s="1516"/>
      <c r="D46" s="1516"/>
      <c r="E46" s="1516"/>
      <c r="F46" s="814" t="s">
        <v>85</v>
      </c>
      <c r="G46" s="822"/>
      <c r="H46" s="553">
        <f>H45*K46</f>
        <v>264512.44512000005</v>
      </c>
      <c r="I46" s="553">
        <f>I45*K46</f>
        <v>281577.76416000008</v>
      </c>
      <c r="J46" s="553">
        <f>J45*K46</f>
        <v>307175.74272000004</v>
      </c>
      <c r="K46" s="824">
        <f>K43*K44</f>
        <v>853265.95200000016</v>
      </c>
      <c r="L46" s="301"/>
      <c r="M46" s="774"/>
      <c r="N46" s="774"/>
      <c r="O46" s="301"/>
      <c r="P46" s="391"/>
      <c r="Q46" s="303"/>
      <c r="R46" s="303"/>
      <c r="S46" s="303"/>
      <c r="T46" s="303"/>
      <c r="U46" s="303"/>
      <c r="V46" s="303"/>
      <c r="W46" s="301"/>
      <c r="X46" s="301"/>
    </row>
    <row r="47" spans="1:67" s="775" customFormat="1" ht="12.95" customHeight="1">
      <c r="A47" s="805" t="s">
        <v>514</v>
      </c>
      <c r="B47" s="1493" t="s">
        <v>87</v>
      </c>
      <c r="C47" s="1494"/>
      <c r="D47" s="1494"/>
      <c r="E47" s="1495"/>
      <c r="F47" s="814" t="s">
        <v>49</v>
      </c>
      <c r="G47" s="812"/>
      <c r="H47" s="825">
        <f>'Project-Start'!H23</f>
        <v>0.38</v>
      </c>
      <c r="I47" s="825">
        <f>'Project-Start'!I23</f>
        <v>0.38</v>
      </c>
      <c r="J47" s="825">
        <f>'Project-Start'!J23</f>
        <v>0.36</v>
      </c>
      <c r="K47" s="826">
        <f>K48/K46</f>
        <v>0.37280000000000002</v>
      </c>
      <c r="L47" s="301"/>
      <c r="M47" s="774"/>
      <c r="N47" s="774"/>
      <c r="O47" s="301"/>
      <c r="P47" s="391"/>
      <c r="Q47" s="303"/>
      <c r="R47" s="303"/>
      <c r="S47" s="303"/>
      <c r="T47" s="303"/>
      <c r="U47" s="303"/>
      <c r="V47" s="303"/>
      <c r="W47" s="301"/>
      <c r="X47" s="301"/>
    </row>
    <row r="48" spans="1:67" s="775" customFormat="1" ht="12.95" customHeight="1">
      <c r="A48" s="805"/>
      <c r="B48" s="1496"/>
      <c r="C48" s="1497"/>
      <c r="D48" s="1497"/>
      <c r="E48" s="1498"/>
      <c r="F48" s="814" t="s">
        <v>85</v>
      </c>
      <c r="G48" s="812"/>
      <c r="H48" s="1008">
        <f>H46*H47</f>
        <v>100514.72914560002</v>
      </c>
      <c r="I48" s="1008">
        <f>I46*I47</f>
        <v>106999.55038080004</v>
      </c>
      <c r="J48" s="1008">
        <f>J46*J47</f>
        <v>110583.26737920001</v>
      </c>
      <c r="K48" s="824">
        <f>SUM(H48:J48)</f>
        <v>318097.54690560006</v>
      </c>
      <c r="L48" s="301"/>
      <c r="M48" s="774"/>
      <c r="N48" s="774"/>
      <c r="O48" s="301"/>
      <c r="P48" s="391"/>
      <c r="Q48" s="303"/>
      <c r="R48" s="303"/>
      <c r="S48" s="303"/>
      <c r="T48" s="303"/>
      <c r="U48" s="303"/>
      <c r="V48" s="303"/>
      <c r="W48" s="301"/>
      <c r="X48" s="301"/>
    </row>
    <row r="49" spans="1:24" s="775" customFormat="1" ht="12.95" customHeight="1">
      <c r="A49" s="805"/>
      <c r="B49" s="1515" t="s">
        <v>406</v>
      </c>
      <c r="C49" s="1516"/>
      <c r="D49" s="1516"/>
      <c r="E49" s="1516"/>
      <c r="F49" s="814" t="s">
        <v>49</v>
      </c>
      <c r="G49" s="812"/>
      <c r="H49" s="816">
        <f>H48/H43</f>
        <v>0.82410738181818188</v>
      </c>
      <c r="I49" s="816">
        <f>I48/I43</f>
        <v>0.81779928813559355</v>
      </c>
      <c r="J49" s="816">
        <f>J48/J43</f>
        <v>0.79785907200000006</v>
      </c>
      <c r="K49" s="813"/>
      <c r="L49" s="301"/>
      <c r="M49" s="774"/>
      <c r="N49" s="774"/>
      <c r="O49" s="301"/>
      <c r="P49" s="391"/>
      <c r="Q49" s="303"/>
      <c r="R49" s="303"/>
      <c r="S49" s="303"/>
      <c r="T49" s="303"/>
      <c r="U49" s="303"/>
      <c r="V49" s="303"/>
      <c r="W49" s="301"/>
      <c r="X49" s="301"/>
    </row>
    <row r="50" spans="1:24" s="775" customFormat="1" ht="12.95" customHeight="1">
      <c r="A50" s="805"/>
      <c r="B50" s="1493" t="s">
        <v>407</v>
      </c>
      <c r="C50" s="1494"/>
      <c r="D50" s="1494"/>
      <c r="E50" s="1495"/>
      <c r="F50" s="814" t="s">
        <v>49</v>
      </c>
      <c r="G50" s="812"/>
      <c r="H50" s="827">
        <f>1-H47</f>
        <v>0.62</v>
      </c>
      <c r="I50" s="827">
        <f>1-I47</f>
        <v>0.62</v>
      </c>
      <c r="J50" s="827">
        <f>1-J47</f>
        <v>0.64</v>
      </c>
      <c r="K50" s="826">
        <f>K51/K46</f>
        <v>0.62719999999999998</v>
      </c>
      <c r="L50" s="301"/>
      <c r="M50" s="774"/>
      <c r="N50" s="774"/>
      <c r="O50" s="301"/>
      <c r="P50" s="391"/>
      <c r="Q50" s="303"/>
      <c r="R50" s="303"/>
      <c r="S50" s="303"/>
      <c r="T50" s="303"/>
      <c r="U50" s="303"/>
      <c r="V50" s="303"/>
      <c r="W50" s="301"/>
      <c r="X50" s="301"/>
    </row>
    <row r="51" spans="1:24" s="775" customFormat="1" ht="12.95" customHeight="1">
      <c r="A51" s="805"/>
      <c r="B51" s="1496"/>
      <c r="C51" s="1497"/>
      <c r="D51" s="1497"/>
      <c r="E51" s="1498"/>
      <c r="F51" s="814" t="s">
        <v>85</v>
      </c>
      <c r="G51" s="812"/>
      <c r="H51" s="1008">
        <f>H50*H46</f>
        <v>163997.71597440002</v>
      </c>
      <c r="I51" s="1008">
        <f>I50*I46</f>
        <v>174578.21377920004</v>
      </c>
      <c r="J51" s="1008">
        <f>J50*J46</f>
        <v>196592.47534080004</v>
      </c>
      <c r="K51" s="824">
        <f>SUM(H51:J51)</f>
        <v>535168.40509440005</v>
      </c>
      <c r="L51" s="301"/>
      <c r="M51" s="774"/>
      <c r="N51" s="774"/>
      <c r="O51" s="301"/>
      <c r="P51" s="391"/>
      <c r="Q51" s="303"/>
      <c r="R51" s="303"/>
      <c r="S51" s="303"/>
      <c r="T51" s="303"/>
      <c r="U51" s="303"/>
      <c r="V51" s="303"/>
      <c r="W51" s="301"/>
      <c r="X51" s="301"/>
    </row>
    <row r="52" spans="1:24" s="775" customFormat="1" ht="12.95" customHeight="1" thickBot="1">
      <c r="A52" s="805" t="s">
        <v>515</v>
      </c>
      <c r="B52" s="1485" t="s">
        <v>86</v>
      </c>
      <c r="C52" s="1486"/>
      <c r="D52" s="1486"/>
      <c r="E52" s="1486"/>
      <c r="F52" s="828" t="s">
        <v>85</v>
      </c>
      <c r="G52" s="829">
        <f>'Project-Start'!G28</f>
        <v>476160</v>
      </c>
      <c r="H52" s="829">
        <f>'Project-Start'!H28</f>
        <v>476160</v>
      </c>
      <c r="I52" s="829">
        <f>'Project-Start'!I28</f>
        <v>476160</v>
      </c>
      <c r="J52" s="829">
        <f>'Project-Start'!J28</f>
        <v>476160</v>
      </c>
      <c r="K52" s="830"/>
      <c r="L52" s="301"/>
      <c r="M52" s="774"/>
      <c r="N52" s="774"/>
      <c r="O52" s="301"/>
      <c r="P52" s="391"/>
      <c r="Q52" s="303"/>
      <c r="R52" s="303"/>
      <c r="S52" s="303"/>
      <c r="T52" s="303"/>
      <c r="U52" s="303"/>
      <c r="V52" s="303"/>
      <c r="W52" s="301"/>
      <c r="X52" s="301"/>
    </row>
    <row r="53" spans="1:24" s="775" customFormat="1" ht="12.95" customHeight="1" thickBot="1">
      <c r="A53" s="666"/>
      <c r="B53" s="790"/>
      <c r="C53" s="790"/>
      <c r="D53" s="666"/>
      <c r="E53" s="301"/>
      <c r="G53" s="774"/>
      <c r="H53" s="774"/>
      <c r="I53" s="301"/>
      <c r="J53" s="301"/>
      <c r="K53" s="301"/>
      <c r="L53" s="301"/>
      <c r="M53" s="774"/>
      <c r="N53" s="774"/>
      <c r="O53" s="301"/>
      <c r="P53" s="391"/>
      <c r="Q53" s="303"/>
      <c r="R53" s="303"/>
      <c r="S53" s="303"/>
      <c r="T53" s="303"/>
      <c r="U53" s="303"/>
      <c r="V53" s="303"/>
      <c r="W53" s="301"/>
      <c r="X53" s="301"/>
    </row>
    <row r="54" spans="1:24" s="775" customFormat="1" ht="12.95" customHeight="1" thickBot="1">
      <c r="A54" s="831" t="s">
        <v>466</v>
      </c>
      <c r="B54" s="1487"/>
      <c r="C54" s="1488"/>
      <c r="D54" s="1488"/>
      <c r="E54" s="1488"/>
      <c r="F54" s="1488"/>
      <c r="G54" s="792" t="s">
        <v>95</v>
      </c>
      <c r="H54" s="792" t="s">
        <v>35</v>
      </c>
      <c r="I54" s="792" t="s">
        <v>34</v>
      </c>
      <c r="J54" s="792" t="s">
        <v>33</v>
      </c>
      <c r="K54" s="793" t="s">
        <v>94</v>
      </c>
      <c r="L54" s="301"/>
      <c r="M54" s="774"/>
      <c r="N54" s="774"/>
      <c r="O54" s="301"/>
      <c r="P54" s="391"/>
      <c r="Q54" s="303"/>
      <c r="R54" s="303"/>
      <c r="S54" s="303"/>
      <c r="T54" s="303"/>
      <c r="U54" s="303"/>
      <c r="V54" s="303"/>
      <c r="W54" s="301"/>
      <c r="X54" s="301"/>
    </row>
    <row r="55" spans="1:24" s="775" customFormat="1" ht="12.95" customHeight="1">
      <c r="A55" s="653" t="s">
        <v>508</v>
      </c>
      <c r="B55" s="1489" t="s">
        <v>91</v>
      </c>
      <c r="C55" s="1490"/>
      <c r="D55" s="1490"/>
      <c r="E55" s="1490"/>
      <c r="F55" s="832" t="s">
        <v>85</v>
      </c>
      <c r="G55" s="833">
        <f>G39</f>
        <v>15000000</v>
      </c>
      <c r="H55" s="834">
        <f>H39</f>
        <v>1.03</v>
      </c>
      <c r="I55" s="834">
        <f>I39</f>
        <v>1.06</v>
      </c>
      <c r="J55" s="834">
        <f>J39</f>
        <v>1.1000000000000001</v>
      </c>
      <c r="K55" s="835"/>
      <c r="L55" s="301"/>
      <c r="M55" s="774"/>
      <c r="N55" s="774"/>
      <c r="O55" s="301"/>
      <c r="P55" s="391"/>
      <c r="Q55" s="303"/>
      <c r="R55" s="303"/>
      <c r="S55" s="303"/>
      <c r="T55" s="303"/>
      <c r="U55" s="303"/>
      <c r="V55" s="303"/>
      <c r="W55" s="301"/>
      <c r="X55" s="301"/>
    </row>
    <row r="56" spans="1:24" s="775" customFormat="1" ht="12.95" customHeight="1">
      <c r="A56" s="653" t="s">
        <v>509</v>
      </c>
      <c r="B56" s="1491" t="s">
        <v>90</v>
      </c>
      <c r="C56" s="1492"/>
      <c r="D56" s="1492"/>
      <c r="E56" s="1492"/>
      <c r="F56" s="836" t="s">
        <v>89</v>
      </c>
      <c r="G56" s="833">
        <f t="shared" ref="G56:J58" si="0">G40</f>
        <v>73920</v>
      </c>
      <c r="H56" s="837"/>
      <c r="I56" s="837"/>
      <c r="J56" s="837"/>
      <c r="K56" s="838"/>
      <c r="L56" s="301"/>
      <c r="M56" s="774"/>
      <c r="N56" s="774"/>
      <c r="O56" s="301"/>
      <c r="P56" s="391"/>
      <c r="Q56" s="303"/>
      <c r="R56" s="303"/>
      <c r="S56" s="303"/>
      <c r="T56" s="303"/>
      <c r="U56" s="303"/>
      <c r="V56" s="303"/>
      <c r="W56" s="301"/>
      <c r="X56" s="301"/>
    </row>
    <row r="57" spans="1:24" s="775" customFormat="1" ht="12.95" customHeight="1">
      <c r="A57" s="653" t="s">
        <v>510</v>
      </c>
      <c r="B57" s="1491" t="s">
        <v>88</v>
      </c>
      <c r="C57" s="1492"/>
      <c r="D57" s="1492"/>
      <c r="E57" s="1492"/>
      <c r="F57" s="839" t="s">
        <v>85</v>
      </c>
      <c r="G57" s="833">
        <f t="shared" si="0"/>
        <v>1.5</v>
      </c>
      <c r="H57" s="837"/>
      <c r="I57" s="837"/>
      <c r="J57" s="837"/>
      <c r="K57" s="838"/>
      <c r="L57" s="301"/>
      <c r="M57" s="774"/>
      <c r="N57" s="774"/>
      <c r="O57" s="301"/>
      <c r="P57" s="391"/>
      <c r="Q57" s="303"/>
      <c r="R57" s="303"/>
      <c r="S57" s="303"/>
      <c r="T57" s="303"/>
      <c r="U57" s="303"/>
      <c r="V57" s="303"/>
      <c r="W57" s="301"/>
      <c r="X57" s="301"/>
    </row>
    <row r="58" spans="1:24" s="775" customFormat="1" ht="12.95" customHeight="1">
      <c r="A58" s="653" t="s">
        <v>511</v>
      </c>
      <c r="B58" s="1491" t="s">
        <v>93</v>
      </c>
      <c r="C58" s="1492"/>
      <c r="D58" s="1492"/>
      <c r="E58" s="1492"/>
      <c r="F58" s="839" t="s">
        <v>49</v>
      </c>
      <c r="G58" s="834">
        <f t="shared" si="0"/>
        <v>0</v>
      </c>
      <c r="H58" s="834">
        <f t="shared" si="0"/>
        <v>1.1000000000000001</v>
      </c>
      <c r="I58" s="834">
        <f t="shared" si="0"/>
        <v>1.18</v>
      </c>
      <c r="J58" s="834">
        <f t="shared" si="0"/>
        <v>1.25</v>
      </c>
      <c r="K58" s="840"/>
      <c r="L58" s="301"/>
      <c r="M58" s="774"/>
      <c r="N58" s="774"/>
      <c r="O58" s="301"/>
      <c r="P58" s="391"/>
      <c r="Q58" s="303"/>
      <c r="R58" s="303"/>
      <c r="S58" s="303"/>
      <c r="T58" s="303"/>
      <c r="U58" s="303"/>
      <c r="V58" s="303"/>
      <c r="W58" s="301"/>
      <c r="X58" s="301"/>
    </row>
    <row r="59" spans="1:24" s="775" customFormat="1" ht="12.95" customHeight="1">
      <c r="A59" s="653"/>
      <c r="B59" s="1491"/>
      <c r="C59" s="1492"/>
      <c r="D59" s="1492"/>
      <c r="E59" s="1492"/>
      <c r="F59" s="839" t="s">
        <v>85</v>
      </c>
      <c r="G59" s="841">
        <f>G57*G56</f>
        <v>110880</v>
      </c>
      <c r="H59" s="842">
        <f>G59*H58</f>
        <v>121968.00000000001</v>
      </c>
      <c r="I59" s="842">
        <f>G59*I58</f>
        <v>130838.39999999999</v>
      </c>
      <c r="J59" s="842">
        <f>G59*J58</f>
        <v>138600</v>
      </c>
      <c r="K59" s="840">
        <f>SUM(H59:J59)</f>
        <v>391406.4</v>
      </c>
      <c r="L59" s="301"/>
      <c r="M59" s="774"/>
      <c r="N59" s="774"/>
      <c r="O59" s="301"/>
      <c r="P59" s="391"/>
      <c r="Q59" s="303"/>
      <c r="R59" s="303"/>
      <c r="S59" s="303"/>
      <c r="T59" s="303"/>
      <c r="U59" s="303"/>
      <c r="V59" s="303"/>
      <c r="W59" s="301"/>
      <c r="X59" s="301"/>
    </row>
    <row r="60" spans="1:24" s="775" customFormat="1" ht="12.95" customHeight="1">
      <c r="A60" s="653" t="s">
        <v>512</v>
      </c>
      <c r="B60" s="1491" t="s">
        <v>13</v>
      </c>
      <c r="C60" s="1492"/>
      <c r="D60" s="1492"/>
      <c r="E60" s="1492"/>
      <c r="F60" s="839" t="s">
        <v>49</v>
      </c>
      <c r="G60" s="843"/>
      <c r="H60" s="844"/>
      <c r="I60" s="844"/>
      <c r="J60" s="844"/>
      <c r="K60" s="845">
        <f>K44</f>
        <v>2.1800000000000002</v>
      </c>
      <c r="L60" s="301"/>
      <c r="M60" s="774"/>
      <c r="N60" s="774"/>
      <c r="O60" s="301"/>
      <c r="P60" s="391"/>
      <c r="Q60" s="303"/>
      <c r="R60" s="303"/>
      <c r="S60" s="303"/>
      <c r="T60" s="303"/>
      <c r="U60" s="303"/>
      <c r="V60" s="303"/>
      <c r="W60" s="301"/>
      <c r="X60" s="301"/>
    </row>
    <row r="61" spans="1:24" s="775" customFormat="1" ht="12.95" customHeight="1">
      <c r="A61" s="653" t="s">
        <v>513</v>
      </c>
      <c r="B61" s="1491" t="s">
        <v>92</v>
      </c>
      <c r="C61" s="1492"/>
      <c r="D61" s="1492"/>
      <c r="E61" s="1492"/>
      <c r="F61" s="839" t="s">
        <v>49</v>
      </c>
      <c r="G61" s="846"/>
      <c r="H61" s="554"/>
      <c r="I61" s="554"/>
      <c r="J61" s="554"/>
      <c r="K61" s="847">
        <f>H61+I61+J61</f>
        <v>0</v>
      </c>
      <c r="L61" s="301"/>
      <c r="M61" s="774"/>
      <c r="N61" s="774"/>
      <c r="O61" s="301"/>
      <c r="P61" s="391"/>
      <c r="Q61" s="303"/>
      <c r="R61" s="303"/>
      <c r="S61" s="303"/>
      <c r="T61" s="303"/>
      <c r="U61" s="303"/>
      <c r="V61" s="303"/>
      <c r="W61" s="301"/>
      <c r="X61" s="301"/>
    </row>
    <row r="62" spans="1:24" s="775" customFormat="1" ht="12.95" customHeight="1">
      <c r="A62" s="653"/>
      <c r="B62" s="1491" t="s">
        <v>405</v>
      </c>
      <c r="C62" s="1492"/>
      <c r="D62" s="1492"/>
      <c r="E62" s="1492"/>
      <c r="F62" s="839" t="s">
        <v>85</v>
      </c>
      <c r="G62" s="846"/>
      <c r="H62" s="842">
        <f>'36-Mo-Fin-Pr'!P38</f>
        <v>247166.68276970432</v>
      </c>
      <c r="I62" s="842">
        <f>'36-Mo-Fin-Pr'!P39</f>
        <v>261640</v>
      </c>
      <c r="J62" s="842">
        <f>'36-Mo-Fin-Pr'!P40</f>
        <v>295120</v>
      </c>
      <c r="K62" s="848">
        <f>SUM(H62:J62)</f>
        <v>803926.68276970438</v>
      </c>
      <c r="L62" s="301"/>
      <c r="M62" s="774"/>
      <c r="N62" s="774"/>
      <c r="O62" s="301"/>
      <c r="P62" s="391"/>
      <c r="Q62" s="303"/>
      <c r="R62" s="303"/>
      <c r="S62" s="303"/>
      <c r="T62" s="303"/>
      <c r="U62" s="303"/>
      <c r="V62" s="303"/>
      <c r="W62" s="301"/>
      <c r="X62" s="301"/>
    </row>
    <row r="63" spans="1:24" s="775" customFormat="1" ht="12.95" customHeight="1">
      <c r="A63" s="653" t="s">
        <v>514</v>
      </c>
      <c r="B63" s="1479" t="s">
        <v>87</v>
      </c>
      <c r="C63" s="1480"/>
      <c r="D63" s="1480"/>
      <c r="E63" s="1481"/>
      <c r="F63" s="839" t="s">
        <v>49</v>
      </c>
      <c r="G63" s="837"/>
      <c r="H63" s="849">
        <f>H64/H62</f>
        <v>0.37566953270557213</v>
      </c>
      <c r="I63" s="850">
        <f>I64/I62</f>
        <v>0.37364381883662157</v>
      </c>
      <c r="J63" s="849">
        <f>J64/J62</f>
        <v>0.35666822564995426</v>
      </c>
      <c r="K63" s="851">
        <f>K64/K62</f>
        <v>0.36803491421799989</v>
      </c>
      <c r="L63" s="301"/>
      <c r="M63" s="774"/>
      <c r="N63" s="774"/>
      <c r="O63" s="301"/>
      <c r="P63" s="391"/>
      <c r="Q63" s="303"/>
      <c r="R63" s="303"/>
      <c r="S63" s="303"/>
      <c r="T63" s="303"/>
      <c r="U63" s="303"/>
      <c r="V63" s="303"/>
      <c r="W63" s="301"/>
      <c r="X63" s="301"/>
    </row>
    <row r="64" spans="1:24" s="775" customFormat="1" ht="12.95" customHeight="1">
      <c r="A64" s="653"/>
      <c r="B64" s="1482"/>
      <c r="C64" s="1483"/>
      <c r="D64" s="1483"/>
      <c r="E64" s="1484"/>
      <c r="F64" s="839" t="s">
        <v>85</v>
      </c>
      <c r="G64" s="837"/>
      <c r="H64" s="841">
        <f>FindValue4Performanse("FY-1","[retail]")</f>
        <v>92852.992216481201</v>
      </c>
      <c r="I64" s="841">
        <f>FindValue4Performanse("FY-2","[retail]")</f>
        <v>97760.168760413668</v>
      </c>
      <c r="J64" s="841">
        <f>FindValue4Performanse("FY-3","[retail]")</f>
        <v>105259.92675381451</v>
      </c>
      <c r="K64" s="848">
        <f>SUM(H64:J64)</f>
        <v>295873.08773070935</v>
      </c>
      <c r="L64" s="301"/>
      <c r="M64" s="774"/>
      <c r="N64" s="774"/>
      <c r="O64" s="301"/>
      <c r="P64" s="391"/>
      <c r="Q64" s="303"/>
      <c r="R64" s="303"/>
      <c r="S64" s="303"/>
      <c r="T64" s="303"/>
      <c r="U64" s="303"/>
      <c r="V64" s="303"/>
      <c r="W64" s="301"/>
      <c r="X64" s="301"/>
    </row>
    <row r="65" spans="1:24" s="775" customFormat="1" ht="12.95" customHeight="1">
      <c r="A65" s="653"/>
      <c r="B65" s="1491" t="s">
        <v>406</v>
      </c>
      <c r="C65" s="1492"/>
      <c r="D65" s="1492"/>
      <c r="E65" s="1492"/>
      <c r="F65" s="839" t="s">
        <v>49</v>
      </c>
      <c r="G65" s="837"/>
      <c r="H65" s="849">
        <f>H64/H59</f>
        <v>0.76128978270104608</v>
      </c>
      <c r="I65" s="849">
        <f>I64/I59</f>
        <v>0.74718254549439367</v>
      </c>
      <c r="J65" s="849">
        <f>J64/J59</f>
        <v>0.75945113097990269</v>
      </c>
      <c r="K65" s="838"/>
      <c r="L65" s="301"/>
      <c r="M65" s="774"/>
      <c r="N65" s="774"/>
      <c r="O65" s="301"/>
      <c r="P65" s="391"/>
      <c r="Q65" s="303"/>
      <c r="R65" s="303"/>
      <c r="S65" s="303"/>
      <c r="T65" s="303"/>
      <c r="U65" s="303"/>
      <c r="V65" s="303"/>
      <c r="W65" s="301"/>
      <c r="X65" s="301"/>
    </row>
    <row r="66" spans="1:24" s="775" customFormat="1" ht="12.95" customHeight="1">
      <c r="A66" s="653"/>
      <c r="B66" s="1479" t="s">
        <v>407</v>
      </c>
      <c r="C66" s="1480"/>
      <c r="D66" s="1480"/>
      <c r="E66" s="1481"/>
      <c r="F66" s="839" t="s">
        <v>49</v>
      </c>
      <c r="G66" s="837"/>
      <c r="H66" s="849">
        <f>1-H63</f>
        <v>0.62433046729442787</v>
      </c>
      <c r="I66" s="849">
        <f>1-I63</f>
        <v>0.62635618116337843</v>
      </c>
      <c r="J66" s="849">
        <f>1-J63</f>
        <v>0.64333177435004574</v>
      </c>
      <c r="K66" s="851">
        <f>K67/K62</f>
        <v>0.63196508578199995</v>
      </c>
      <c r="L66" s="301"/>
      <c r="M66" s="774"/>
      <c r="N66" s="774"/>
      <c r="O66" s="301"/>
      <c r="P66" s="391"/>
      <c r="Q66" s="303"/>
      <c r="R66" s="303"/>
      <c r="S66" s="303"/>
      <c r="T66" s="303"/>
      <c r="U66" s="303"/>
      <c r="V66" s="303"/>
      <c r="W66" s="301"/>
      <c r="X66" s="301"/>
    </row>
    <row r="67" spans="1:24" s="775" customFormat="1" ht="12.95" customHeight="1">
      <c r="A67" s="653"/>
      <c r="B67" s="1482"/>
      <c r="C67" s="1483"/>
      <c r="D67" s="1483"/>
      <c r="E67" s="1484"/>
      <c r="F67" s="839" t="s">
        <v>85</v>
      </c>
      <c r="G67" s="837"/>
      <c r="H67" s="841">
        <f>FindValue4Performanse("FY-1","[wholesale]")</f>
        <v>154313.69055322307</v>
      </c>
      <c r="I67" s="841">
        <f>FindValue4Performanse("FY-2","[wholesale]")</f>
        <v>163879.83123958632</v>
      </c>
      <c r="J67" s="841">
        <f>FindValue4Performanse("FY-3","[wholesale]")</f>
        <v>189860.07324618555</v>
      </c>
      <c r="K67" s="848">
        <f>SUM(H67:J67)</f>
        <v>508053.59503899491</v>
      </c>
      <c r="L67" s="301"/>
      <c r="M67" s="774"/>
      <c r="N67" s="774"/>
      <c r="O67" s="301"/>
      <c r="P67" s="391"/>
      <c r="Q67" s="303"/>
      <c r="R67" s="303"/>
      <c r="S67" s="303"/>
      <c r="T67" s="303"/>
      <c r="U67" s="303"/>
      <c r="V67" s="303"/>
      <c r="W67" s="301"/>
      <c r="X67" s="301"/>
    </row>
    <row r="68" spans="1:24" s="775" customFormat="1" ht="12.95" customHeight="1" thickBot="1">
      <c r="A68" s="653" t="s">
        <v>515</v>
      </c>
      <c r="B68" s="1536" t="s">
        <v>86</v>
      </c>
      <c r="C68" s="1537"/>
      <c r="D68" s="1537"/>
      <c r="E68" s="1537"/>
      <c r="F68" s="852" t="s">
        <v>85</v>
      </c>
      <c r="G68" s="853">
        <f>'Project-Start'!G28</f>
        <v>476160</v>
      </c>
      <c r="H68" s="853">
        <f>'Project-Start'!H28</f>
        <v>476160</v>
      </c>
      <c r="I68" s="853">
        <f>'Project-Start'!I28</f>
        <v>476160</v>
      </c>
      <c r="J68" s="853">
        <f>'Project-Start'!J28</f>
        <v>476160</v>
      </c>
      <c r="K68" s="854"/>
      <c r="L68" s="301"/>
      <c r="M68" s="774"/>
      <c r="N68" s="774"/>
      <c r="O68" s="301"/>
      <c r="P68" s="391"/>
      <c r="Q68" s="303"/>
      <c r="R68" s="303"/>
      <c r="S68" s="303"/>
      <c r="T68" s="303"/>
      <c r="U68" s="303"/>
      <c r="V68" s="303"/>
      <c r="W68" s="301"/>
      <c r="X68" s="301"/>
    </row>
    <row r="69" spans="1:24" s="775" customFormat="1" ht="12.95" customHeight="1" thickBot="1">
      <c r="A69" s="666"/>
      <c r="B69" s="790"/>
      <c r="C69" s="790"/>
      <c r="D69" s="666"/>
      <c r="E69" s="301"/>
      <c r="G69" s="774"/>
      <c r="H69" s="774"/>
      <c r="I69" s="301"/>
      <c r="J69" s="301"/>
      <c r="K69" s="301"/>
      <c r="L69" s="301"/>
      <c r="M69" s="774"/>
      <c r="N69" s="774"/>
      <c r="O69" s="301"/>
      <c r="P69" s="391"/>
      <c r="Q69" s="303"/>
      <c r="R69" s="303"/>
      <c r="S69" s="303"/>
      <c r="T69" s="303"/>
      <c r="U69" s="303"/>
      <c r="V69" s="303"/>
      <c r="W69" s="301"/>
      <c r="X69" s="301"/>
    </row>
    <row r="70" spans="1:24" s="775" customFormat="1" ht="12.95" customHeight="1">
      <c r="A70" s="666"/>
      <c r="B70" s="1538" t="s">
        <v>476</v>
      </c>
      <c r="C70" s="1539"/>
      <c r="D70" s="1539"/>
      <c r="E70" s="1540"/>
      <c r="G70" s="1538" t="s">
        <v>477</v>
      </c>
      <c r="H70" s="1539"/>
      <c r="I70" s="1539"/>
      <c r="J70" s="1539"/>
      <c r="K70" s="1540"/>
      <c r="L70" s="301"/>
      <c r="M70" s="1471" t="s">
        <v>478</v>
      </c>
      <c r="N70" s="1472"/>
      <c r="O70" s="1472"/>
      <c r="P70" s="1472"/>
      <c r="Q70" s="1541"/>
      <c r="R70" s="303"/>
      <c r="S70" s="303"/>
      <c r="T70" s="303"/>
      <c r="U70" s="303"/>
      <c r="V70" s="303"/>
      <c r="W70" s="301"/>
      <c r="X70" s="301"/>
    </row>
    <row r="71" spans="1:24" s="775" customFormat="1" ht="12.95" customHeight="1" thickBot="1">
      <c r="A71" s="666"/>
      <c r="B71" s="855"/>
      <c r="C71" s="856" t="s">
        <v>35</v>
      </c>
      <c r="D71" s="856" t="s">
        <v>34</v>
      </c>
      <c r="E71" s="857" t="s">
        <v>33</v>
      </c>
      <c r="F71" s="858"/>
      <c r="G71" s="1526"/>
      <c r="H71" s="1527"/>
      <c r="I71" s="856" t="s">
        <v>35</v>
      </c>
      <c r="J71" s="856" t="s">
        <v>34</v>
      </c>
      <c r="K71" s="857" t="s">
        <v>33</v>
      </c>
      <c r="L71" s="301"/>
      <c r="M71" s="1528"/>
      <c r="N71" s="1529"/>
      <c r="O71" s="859" t="s">
        <v>35</v>
      </c>
      <c r="P71" s="859" t="s">
        <v>34</v>
      </c>
      <c r="Q71" s="860" t="s">
        <v>33</v>
      </c>
      <c r="R71" s="303"/>
      <c r="S71" s="303"/>
      <c r="T71" s="303"/>
      <c r="U71" s="303"/>
      <c r="V71" s="303"/>
      <c r="W71" s="301"/>
      <c r="X71" s="301"/>
    </row>
    <row r="72" spans="1:24" s="775" customFormat="1" ht="12.95" customHeight="1" thickTop="1">
      <c r="A72" s="666"/>
      <c r="B72" s="861" t="s">
        <v>479</v>
      </c>
      <c r="C72" s="862">
        <f>H48</f>
        <v>100514.72914560002</v>
      </c>
      <c r="D72" s="862">
        <f>I48</f>
        <v>106999.55038080004</v>
      </c>
      <c r="E72" s="863">
        <f>J48</f>
        <v>110583.26737920001</v>
      </c>
      <c r="F72" s="858"/>
      <c r="G72" s="1534" t="s">
        <v>479</v>
      </c>
      <c r="H72" s="1535"/>
      <c r="I72" s="864">
        <f>H51</f>
        <v>163997.71597440002</v>
      </c>
      <c r="J72" s="864">
        <f>I51</f>
        <v>174578.21377920004</v>
      </c>
      <c r="K72" s="865">
        <f>J51</f>
        <v>196592.47534080004</v>
      </c>
      <c r="L72" s="301"/>
      <c r="M72" s="1554" t="s">
        <v>480</v>
      </c>
      <c r="N72" s="1555"/>
      <c r="O72" s="866">
        <f>H46</f>
        <v>264512.44512000005</v>
      </c>
      <c r="P72" s="866">
        <f>I46</f>
        <v>281577.76416000008</v>
      </c>
      <c r="Q72" s="867">
        <f>J46</f>
        <v>307175.74272000004</v>
      </c>
      <c r="R72" s="303"/>
      <c r="S72" s="303"/>
      <c r="T72" s="303"/>
      <c r="U72" s="303"/>
      <c r="V72" s="303"/>
      <c r="W72" s="301"/>
      <c r="X72" s="301"/>
    </row>
    <row r="73" spans="1:24" s="775" customFormat="1" ht="12.95" customHeight="1">
      <c r="A73" s="666"/>
      <c r="B73" s="868" t="s">
        <v>481</v>
      </c>
      <c r="C73" s="869">
        <f>H64</f>
        <v>92852.992216481201</v>
      </c>
      <c r="D73" s="869">
        <f>I64</f>
        <v>97760.168760413668</v>
      </c>
      <c r="E73" s="870">
        <f>J64</f>
        <v>105259.92675381451</v>
      </c>
      <c r="G73" s="1530" t="s">
        <v>481</v>
      </c>
      <c r="H73" s="1531"/>
      <c r="I73" s="871">
        <f>H67</f>
        <v>154313.69055322307</v>
      </c>
      <c r="J73" s="871">
        <f>I67</f>
        <v>163879.83123958632</v>
      </c>
      <c r="K73" s="872">
        <f>J67</f>
        <v>189860.07324618555</v>
      </c>
      <c r="L73" s="301"/>
      <c r="M73" s="1556" t="s">
        <v>482</v>
      </c>
      <c r="N73" s="1557"/>
      <c r="O73" s="873">
        <f>H62</f>
        <v>247166.68276970432</v>
      </c>
      <c r="P73" s="873">
        <f>I62</f>
        <v>261640</v>
      </c>
      <c r="Q73" s="874">
        <f>J62</f>
        <v>295120</v>
      </c>
      <c r="R73" s="303"/>
      <c r="S73" s="303"/>
      <c r="T73" s="303"/>
      <c r="U73" s="303"/>
      <c r="V73" s="303"/>
      <c r="W73" s="301"/>
      <c r="X73" s="301"/>
    </row>
    <row r="74" spans="1:24" s="775" customFormat="1" ht="12.95" customHeight="1" thickBot="1">
      <c r="A74" s="666"/>
      <c r="B74" s="875"/>
      <c r="C74" s="876">
        <f>C73/C72</f>
        <v>0.92377498308710104</v>
      </c>
      <c r="D74" s="876">
        <f>D73/D72</f>
        <v>0.91365027621607386</v>
      </c>
      <c r="E74" s="877">
        <f>E73/E72</f>
        <v>0.95186124671889749</v>
      </c>
      <c r="G74" s="1558"/>
      <c r="H74" s="1559"/>
      <c r="I74" s="878">
        <f>I73/I72</f>
        <v>0.94095024211990475</v>
      </c>
      <c r="J74" s="878">
        <f>J73/J72</f>
        <v>0.93871868483461152</v>
      </c>
      <c r="K74" s="879">
        <f>K73/K72</f>
        <v>0.9657545280767047</v>
      </c>
      <c r="L74" s="301"/>
      <c r="M74" s="1532" t="s">
        <v>483</v>
      </c>
      <c r="N74" s="1533"/>
      <c r="O74" s="880">
        <f>O72-O73</f>
        <v>17345.762350295729</v>
      </c>
      <c r="P74" s="880">
        <f>P72-P73</f>
        <v>19937.764160000079</v>
      </c>
      <c r="Q74" s="881">
        <f>Q72-Q73</f>
        <v>12055.742720000038</v>
      </c>
      <c r="R74" s="303"/>
      <c r="S74" s="303"/>
      <c r="T74" s="303"/>
      <c r="U74" s="303"/>
      <c r="V74" s="303"/>
      <c r="W74" s="301"/>
      <c r="X74" s="301"/>
    </row>
    <row r="75" spans="1:24" s="775" customFormat="1" ht="12.95" customHeight="1">
      <c r="A75" s="666"/>
      <c r="B75" s="790"/>
      <c r="C75" s="790"/>
      <c r="D75" s="666"/>
      <c r="E75" s="301"/>
      <c r="G75" s="774"/>
      <c r="H75" s="774"/>
      <c r="I75" s="301"/>
      <c r="J75" s="301"/>
      <c r="K75" s="301"/>
      <c r="L75" s="301"/>
      <c r="M75" s="774"/>
      <c r="N75" s="774"/>
      <c r="O75" s="301"/>
      <c r="P75" s="391"/>
      <c r="Q75" s="303"/>
      <c r="R75" s="303"/>
      <c r="S75" s="303"/>
      <c r="T75" s="303"/>
      <c r="U75" s="303"/>
      <c r="V75" s="303"/>
      <c r="W75" s="301"/>
      <c r="X75" s="301"/>
    </row>
    <row r="76" spans="1:24" s="775" customFormat="1" ht="12.95" customHeight="1">
      <c r="A76" s="666"/>
      <c r="B76" s="790"/>
      <c r="C76" s="790"/>
      <c r="D76" s="666"/>
      <c r="E76" s="301"/>
      <c r="G76" s="774"/>
      <c r="H76" s="774"/>
      <c r="I76" s="301"/>
      <c r="J76" s="301"/>
      <c r="K76" s="301"/>
      <c r="L76" s="301"/>
      <c r="M76" s="774"/>
      <c r="N76" s="774"/>
      <c r="O76" s="301"/>
      <c r="P76" s="391"/>
      <c r="Q76" s="303"/>
      <c r="R76" s="303"/>
      <c r="S76" s="303"/>
      <c r="T76" s="303"/>
      <c r="U76" s="303"/>
      <c r="V76" s="303"/>
      <c r="W76" s="301"/>
      <c r="X76" s="301"/>
    </row>
    <row r="77" spans="1:24" s="775" customFormat="1" ht="12.95" customHeight="1">
      <c r="A77" s="666"/>
      <c r="B77" s="790"/>
      <c r="C77" s="790"/>
      <c r="D77" s="666"/>
      <c r="E77" s="301"/>
      <c r="G77" s="774"/>
      <c r="H77" s="774"/>
      <c r="I77" s="301"/>
      <c r="J77" s="301"/>
      <c r="K77" s="301"/>
      <c r="L77" s="301"/>
      <c r="M77" s="774"/>
      <c r="N77" s="774"/>
      <c r="O77" s="301"/>
      <c r="P77" s="391"/>
      <c r="Q77" s="303"/>
      <c r="R77" s="303"/>
      <c r="S77" s="303"/>
      <c r="T77" s="303"/>
      <c r="U77" s="303"/>
      <c r="V77" s="303"/>
      <c r="W77" s="301"/>
      <c r="X77" s="301"/>
    </row>
    <row r="78" spans="1:24" s="775" customFormat="1" ht="12.95" customHeight="1">
      <c r="A78" s="666"/>
      <c r="B78" s="790"/>
      <c r="C78" s="790"/>
      <c r="D78" s="666"/>
      <c r="E78" s="301"/>
      <c r="G78" s="774"/>
      <c r="H78" s="774"/>
      <c r="I78" s="301"/>
      <c r="J78" s="301"/>
      <c r="K78" s="301"/>
      <c r="L78" s="301"/>
      <c r="M78" s="774"/>
      <c r="N78" s="774"/>
      <c r="O78" s="301"/>
      <c r="P78" s="391"/>
      <c r="Q78" s="303"/>
      <c r="R78" s="303"/>
      <c r="S78" s="303"/>
      <c r="T78" s="303"/>
      <c r="U78" s="303"/>
      <c r="V78" s="303"/>
      <c r="W78" s="301"/>
      <c r="X78" s="301"/>
    </row>
    <row r="79" spans="1:24" s="775" customFormat="1" ht="12.95" customHeight="1">
      <c r="A79" s="666"/>
      <c r="B79" s="790"/>
      <c r="C79" s="790"/>
      <c r="D79" s="666"/>
      <c r="E79" s="301"/>
      <c r="G79" s="774"/>
      <c r="H79" s="774"/>
      <c r="I79" s="301"/>
      <c r="J79" s="301"/>
      <c r="K79" s="301"/>
      <c r="L79" s="301"/>
      <c r="M79" s="774"/>
      <c r="N79" s="774"/>
      <c r="O79" s="301"/>
      <c r="P79" s="391"/>
      <c r="Q79" s="303"/>
      <c r="R79" s="303"/>
      <c r="S79" s="303"/>
      <c r="T79" s="303"/>
      <c r="U79" s="303"/>
      <c r="V79" s="303"/>
      <c r="W79" s="301"/>
      <c r="X79" s="301"/>
    </row>
    <row r="80" spans="1:24" s="775" customFormat="1" ht="12.95" customHeight="1">
      <c r="A80" s="666"/>
      <c r="B80" s="790"/>
      <c r="C80" s="790"/>
      <c r="D80" s="666"/>
      <c r="E80" s="301"/>
      <c r="G80" s="774"/>
      <c r="H80" s="774"/>
      <c r="I80" s="301"/>
      <c r="J80" s="301"/>
      <c r="K80" s="301"/>
      <c r="L80" s="301"/>
      <c r="M80" s="774"/>
      <c r="N80" s="774"/>
      <c r="O80" s="301"/>
      <c r="P80" s="391"/>
      <c r="Q80" s="303"/>
      <c r="R80" s="303"/>
      <c r="S80" s="303"/>
      <c r="T80" s="303"/>
      <c r="U80" s="303"/>
      <c r="V80" s="303"/>
      <c r="W80" s="301"/>
      <c r="X80" s="301"/>
    </row>
    <row r="81" spans="1:24" s="775" customFormat="1" ht="12.95" customHeight="1">
      <c r="A81" s="666"/>
      <c r="B81" s="790"/>
      <c r="C81" s="790"/>
      <c r="D81" s="666"/>
      <c r="E81" s="301"/>
      <c r="G81" s="774"/>
      <c r="H81" s="774"/>
      <c r="I81" s="301"/>
      <c r="J81" s="301"/>
      <c r="K81" s="301"/>
      <c r="L81" s="301"/>
      <c r="M81" s="774"/>
      <c r="N81" s="774"/>
      <c r="O81" s="301"/>
      <c r="P81" s="391"/>
      <c r="Q81" s="303"/>
      <c r="R81" s="303"/>
      <c r="S81" s="303"/>
      <c r="T81" s="303"/>
      <c r="U81" s="303"/>
      <c r="V81" s="303"/>
      <c r="W81" s="301"/>
      <c r="X81" s="301"/>
    </row>
    <row r="82" spans="1:24" s="775" customFormat="1" ht="12.95" customHeight="1">
      <c r="A82" s="666"/>
      <c r="B82" s="790"/>
      <c r="C82" s="790"/>
      <c r="D82" s="666"/>
      <c r="E82" s="301"/>
      <c r="G82" s="774"/>
      <c r="H82" s="774"/>
      <c r="I82" s="301"/>
      <c r="J82" s="301"/>
      <c r="K82" s="301"/>
      <c r="L82" s="301"/>
      <c r="M82" s="774"/>
      <c r="N82" s="774"/>
      <c r="O82" s="301"/>
      <c r="P82" s="391"/>
      <c r="Q82" s="303"/>
      <c r="R82" s="303"/>
      <c r="S82" s="303"/>
      <c r="T82" s="303"/>
      <c r="U82" s="303"/>
      <c r="V82" s="303"/>
      <c r="W82" s="301"/>
      <c r="X82" s="301"/>
    </row>
    <row r="83" spans="1:24" s="775" customFormat="1" ht="12.95" customHeight="1">
      <c r="A83" s="666"/>
      <c r="B83" s="790"/>
      <c r="C83" s="790"/>
      <c r="D83" s="666"/>
      <c r="E83" s="301"/>
      <c r="G83" s="774"/>
      <c r="H83" s="774"/>
      <c r="I83" s="301"/>
      <c r="J83" s="301"/>
      <c r="K83" s="301"/>
      <c r="L83" s="301"/>
      <c r="M83" s="774"/>
      <c r="N83" s="774"/>
      <c r="O83" s="301"/>
      <c r="P83" s="391"/>
      <c r="Q83" s="303"/>
      <c r="R83" s="303"/>
      <c r="S83" s="303"/>
      <c r="T83" s="303"/>
      <c r="U83" s="303"/>
      <c r="V83" s="303"/>
      <c r="W83" s="301"/>
      <c r="X83" s="301"/>
    </row>
    <row r="84" spans="1:24" s="775" customFormat="1" ht="12.95" customHeight="1">
      <c r="A84" s="666"/>
      <c r="B84" s="790"/>
      <c r="C84" s="790"/>
      <c r="D84" s="666"/>
      <c r="E84" s="301"/>
      <c r="G84" s="774"/>
      <c r="H84" s="774"/>
      <c r="I84" s="301"/>
      <c r="J84" s="301"/>
      <c r="K84" s="301"/>
      <c r="L84" s="301"/>
      <c r="M84" s="774"/>
      <c r="N84" s="774"/>
      <c r="O84" s="301"/>
      <c r="P84" s="391"/>
      <c r="Q84" s="303"/>
      <c r="R84" s="303"/>
      <c r="S84" s="303"/>
      <c r="T84" s="303"/>
      <c r="U84" s="303"/>
      <c r="V84" s="303"/>
      <c r="W84" s="301"/>
      <c r="X84" s="301"/>
    </row>
    <row r="85" spans="1:24" s="775" customFormat="1" ht="12.95" customHeight="1">
      <c r="A85" s="666"/>
      <c r="B85" s="790"/>
      <c r="C85" s="790"/>
      <c r="D85" s="666"/>
      <c r="E85" s="301"/>
      <c r="G85" s="774"/>
      <c r="H85" s="774"/>
      <c r="I85" s="301"/>
      <c r="J85" s="301"/>
      <c r="K85" s="301"/>
      <c r="L85" s="301"/>
      <c r="M85" s="774"/>
      <c r="N85" s="774"/>
      <c r="O85" s="301"/>
      <c r="P85" s="391"/>
      <c r="Q85" s="303"/>
      <c r="R85" s="303"/>
      <c r="S85" s="303"/>
      <c r="T85" s="303"/>
      <c r="U85" s="303"/>
      <c r="V85" s="303"/>
      <c r="W85" s="301"/>
      <c r="X85" s="301"/>
    </row>
    <row r="86" spans="1:24" s="775" customFormat="1" ht="12.95" customHeight="1">
      <c r="A86" s="666"/>
      <c r="B86" s="790"/>
      <c r="C86" s="790"/>
      <c r="D86" s="666"/>
      <c r="E86" s="301"/>
      <c r="G86" s="774"/>
      <c r="H86" s="774"/>
      <c r="I86" s="301"/>
      <c r="J86" s="301"/>
      <c r="K86" s="301"/>
      <c r="L86" s="301"/>
      <c r="M86" s="774"/>
      <c r="N86" s="774"/>
      <c r="O86" s="301"/>
      <c r="P86" s="391"/>
      <c r="Q86" s="303"/>
      <c r="R86" s="303"/>
      <c r="S86" s="303"/>
      <c r="T86" s="303"/>
      <c r="U86" s="303"/>
      <c r="V86" s="303"/>
      <c r="W86" s="301"/>
      <c r="X86" s="301"/>
    </row>
    <row r="87" spans="1:24" s="775" customFormat="1" ht="12.95" customHeight="1">
      <c r="A87" s="666"/>
      <c r="B87" s="790"/>
      <c r="C87" s="790"/>
      <c r="D87" s="666"/>
      <c r="E87" s="301"/>
      <c r="G87" s="774"/>
      <c r="H87" s="774"/>
      <c r="I87" s="301"/>
      <c r="J87" s="301"/>
      <c r="K87" s="301"/>
      <c r="L87" s="301"/>
      <c r="M87" s="774"/>
      <c r="N87" s="774"/>
      <c r="O87" s="301"/>
      <c r="P87" s="391"/>
      <c r="Q87" s="303"/>
      <c r="R87" s="303"/>
      <c r="S87" s="303"/>
      <c r="T87" s="303"/>
      <c r="U87" s="303"/>
      <c r="V87" s="303"/>
      <c r="W87" s="301"/>
      <c r="X87" s="301"/>
    </row>
    <row r="88" spans="1:24" s="775" customFormat="1" ht="12.95" customHeight="1">
      <c r="A88" s="666"/>
      <c r="B88" s="790"/>
      <c r="C88" s="790"/>
      <c r="D88" s="666"/>
      <c r="E88" s="301"/>
      <c r="G88" s="774"/>
      <c r="H88" s="774"/>
      <c r="I88" s="301"/>
      <c r="J88" s="301"/>
      <c r="K88" s="301"/>
      <c r="L88" s="301"/>
      <c r="M88" s="774"/>
      <c r="N88" s="774"/>
      <c r="O88" s="301"/>
      <c r="P88" s="391"/>
      <c r="Q88" s="303"/>
      <c r="R88" s="303"/>
      <c r="S88" s="303"/>
      <c r="T88" s="303"/>
      <c r="U88" s="303"/>
      <c r="V88" s="303"/>
      <c r="W88" s="301"/>
      <c r="X88" s="301"/>
    </row>
    <row r="89" spans="1:24" s="775" customFormat="1" ht="12.95" customHeight="1">
      <c r="A89" s="666"/>
      <c r="B89" s="790"/>
      <c r="C89" s="790"/>
      <c r="D89" s="666"/>
      <c r="E89" s="301"/>
      <c r="G89" s="774"/>
      <c r="H89" s="774"/>
      <c r="I89" s="301"/>
      <c r="J89" s="301"/>
      <c r="K89" s="301"/>
      <c r="L89" s="301"/>
      <c r="M89" s="774"/>
      <c r="N89" s="774"/>
      <c r="O89" s="301"/>
      <c r="P89" s="391"/>
      <c r="Q89" s="303"/>
      <c r="R89" s="303"/>
      <c r="S89" s="303"/>
      <c r="T89" s="303"/>
      <c r="U89" s="303"/>
      <c r="V89" s="303"/>
      <c r="W89" s="301"/>
      <c r="X89" s="301"/>
    </row>
    <row r="90" spans="1:24" s="775" customFormat="1" ht="12.95" customHeight="1">
      <c r="A90" s="666"/>
      <c r="B90" s="790"/>
      <c r="C90" s="790"/>
      <c r="D90" s="666"/>
      <c r="E90" s="301"/>
      <c r="G90" s="774"/>
      <c r="H90" s="774"/>
      <c r="I90" s="301"/>
      <c r="J90" s="301"/>
      <c r="K90" s="301"/>
      <c r="L90" s="301"/>
      <c r="M90" s="774"/>
      <c r="N90" s="774"/>
      <c r="O90" s="301"/>
      <c r="P90" s="391"/>
      <c r="Q90" s="303"/>
      <c r="R90" s="303"/>
      <c r="S90" s="303"/>
      <c r="T90" s="303"/>
      <c r="U90" s="303"/>
      <c r="V90" s="303"/>
      <c r="W90" s="301"/>
      <c r="X90" s="301"/>
    </row>
    <row r="91" spans="1:24" s="775" customFormat="1" ht="12.95" customHeight="1">
      <c r="A91" s="666"/>
      <c r="B91" s="790"/>
      <c r="C91" s="790"/>
      <c r="D91" s="666"/>
      <c r="E91" s="301"/>
      <c r="G91" s="774"/>
      <c r="H91" s="774"/>
      <c r="I91" s="301"/>
      <c r="J91" s="301"/>
      <c r="K91" s="301"/>
      <c r="L91" s="301"/>
      <c r="M91" s="774"/>
      <c r="N91" s="774"/>
      <c r="O91" s="301"/>
      <c r="P91" s="391"/>
      <c r="Q91" s="303"/>
      <c r="R91" s="303"/>
      <c r="S91" s="303"/>
      <c r="T91" s="303"/>
      <c r="U91" s="303"/>
      <c r="V91" s="303"/>
      <c r="W91" s="301"/>
      <c r="X91" s="301"/>
    </row>
    <row r="92" spans="1:24" s="775" customFormat="1" ht="12.95" customHeight="1">
      <c r="A92" s="666"/>
      <c r="B92" s="790"/>
      <c r="C92" s="790"/>
      <c r="D92" s="666"/>
      <c r="E92" s="301"/>
      <c r="G92" s="774"/>
      <c r="H92" s="774"/>
      <c r="I92" s="301"/>
      <c r="J92" s="301"/>
      <c r="K92" s="301"/>
      <c r="L92" s="301"/>
      <c r="M92" s="774"/>
      <c r="N92" s="774"/>
      <c r="O92" s="301"/>
      <c r="P92" s="391"/>
      <c r="Q92" s="303"/>
      <c r="R92" s="303"/>
      <c r="S92" s="303"/>
      <c r="T92" s="303"/>
      <c r="U92" s="303"/>
      <c r="V92" s="303"/>
      <c r="W92" s="301"/>
      <c r="X92" s="301"/>
    </row>
    <row r="93" spans="1:24" s="775" customFormat="1" ht="12.95" customHeight="1">
      <c r="A93" s="666"/>
      <c r="B93" s="790"/>
      <c r="C93" s="790"/>
      <c r="D93" s="666"/>
      <c r="E93" s="301"/>
      <c r="G93" s="774"/>
      <c r="H93" s="774"/>
      <c r="I93" s="301"/>
      <c r="J93" s="301"/>
      <c r="K93" s="301"/>
      <c r="L93" s="301"/>
      <c r="M93" s="774"/>
      <c r="N93" s="774"/>
      <c r="O93" s="301"/>
      <c r="P93" s="391"/>
      <c r="Q93" s="303"/>
      <c r="R93" s="303"/>
      <c r="S93" s="303"/>
      <c r="T93" s="303"/>
      <c r="U93" s="303"/>
      <c r="V93" s="303"/>
      <c r="W93" s="301"/>
      <c r="X93" s="301"/>
    </row>
    <row r="94" spans="1:24" ht="15.75">
      <c r="A94" s="882">
        <v>3</v>
      </c>
      <c r="B94" s="773" t="s">
        <v>152</v>
      </c>
      <c r="C94" s="883"/>
      <c r="D94" s="884"/>
      <c r="E94" s="885"/>
      <c r="F94" s="300"/>
      <c r="G94" s="884"/>
      <c r="H94" s="300"/>
      <c r="I94" s="300"/>
      <c r="J94" s="301"/>
      <c r="K94" s="301"/>
      <c r="L94" s="301"/>
      <c r="M94" s="301"/>
      <c r="N94" s="301"/>
      <c r="O94" s="301"/>
      <c r="P94" s="301"/>
      <c r="Q94" s="301"/>
      <c r="R94" s="301"/>
      <c r="S94" s="301"/>
      <c r="T94" s="301"/>
      <c r="U94" s="303"/>
      <c r="V94" s="303"/>
      <c r="W94" s="301"/>
      <c r="X94" s="301"/>
    </row>
    <row r="95" spans="1:24" ht="12.95" customHeight="1">
      <c r="A95" s="300"/>
      <c r="B95" s="300"/>
      <c r="C95" s="300"/>
      <c r="D95" s="300"/>
      <c r="E95" s="300"/>
      <c r="F95" s="300"/>
      <c r="G95" s="300"/>
      <c r="H95" s="300"/>
      <c r="I95" s="300"/>
      <c r="J95" s="300"/>
      <c r="K95" s="300"/>
      <c r="L95" s="300"/>
      <c r="M95" s="300"/>
    </row>
    <row r="96" spans="1:24" ht="12.95" customHeight="1" thickBot="1">
      <c r="B96" s="362" t="s">
        <v>150</v>
      </c>
      <c r="C96" s="886"/>
      <c r="D96" s="886"/>
      <c r="E96" s="887"/>
      <c r="F96" s="887"/>
      <c r="G96" s="887"/>
      <c r="H96" s="887"/>
      <c r="I96" s="776"/>
      <c r="J96" s="776"/>
      <c r="K96" s="776"/>
      <c r="L96" s="776"/>
      <c r="M96" s="300"/>
    </row>
    <row r="97" spans="1:25" ht="12.95" customHeight="1" thickBot="1">
      <c r="A97" s="300"/>
      <c r="B97" s="888"/>
      <c r="C97" s="299" t="s">
        <v>699</v>
      </c>
      <c r="D97" s="299" t="s">
        <v>700</v>
      </c>
      <c r="E97" s="299" t="s">
        <v>701</v>
      </c>
      <c r="F97" s="299" t="s">
        <v>702</v>
      </c>
      <c r="G97" s="299" t="s">
        <v>703</v>
      </c>
      <c r="H97" s="299" t="s">
        <v>704</v>
      </c>
      <c r="I97" s="299" t="s">
        <v>705</v>
      </c>
      <c r="J97" s="299" t="s">
        <v>706</v>
      </c>
      <c r="K97" s="299" t="s">
        <v>707</v>
      </c>
      <c r="L97" s="299"/>
      <c r="M97" s="382"/>
      <c r="N97" s="382"/>
      <c r="O97" s="382"/>
      <c r="P97" s="382"/>
      <c r="Q97" s="382"/>
      <c r="R97" s="382"/>
      <c r="S97" s="382"/>
      <c r="T97" s="382"/>
      <c r="U97" s="382"/>
      <c r="V97" s="382"/>
      <c r="W97" s="382"/>
      <c r="X97" s="382"/>
      <c r="Y97" s="382"/>
    </row>
    <row r="98" spans="1:25" ht="12.95" customHeight="1" thickTop="1">
      <c r="A98" s="300"/>
      <c r="B98" s="889" t="s">
        <v>35</v>
      </c>
      <c r="C98" s="890">
        <v>4.7510097570803059E-2</v>
      </c>
      <c r="D98" s="890">
        <v>7.1539558408464946E-2</v>
      </c>
      <c r="E98" s="890">
        <v>4.2497949432915169E-2</v>
      </c>
      <c r="F98" s="890">
        <v>0.14702405590634324</v>
      </c>
      <c r="G98" s="890">
        <v>0.12599057152266069</v>
      </c>
      <c r="H98" s="890">
        <v>0.12599057152266069</v>
      </c>
      <c r="I98" s="891">
        <v>0.17564088860630372</v>
      </c>
      <c r="J98" s="891">
        <v>0.25731411640266089</v>
      </c>
      <c r="K98" s="892">
        <v>6.4921907294133805E-3</v>
      </c>
      <c r="L98" s="892"/>
      <c r="M98" s="893"/>
      <c r="N98" s="893"/>
      <c r="O98" s="893"/>
      <c r="P98" s="893"/>
      <c r="Q98" s="893"/>
      <c r="R98" s="893"/>
      <c r="S98" s="893"/>
      <c r="T98" s="893"/>
      <c r="U98" s="893"/>
      <c r="V98" s="893"/>
    </row>
    <row r="99" spans="1:25" ht="12.95" customHeight="1">
      <c r="A99" s="300"/>
      <c r="B99" s="889" t="s">
        <v>34</v>
      </c>
      <c r="C99" s="890">
        <v>4.6590065335015508E-2</v>
      </c>
      <c r="D99" s="890">
        <v>7.2652761837481081E-2</v>
      </c>
      <c r="E99" s="890">
        <v>4.2396430884306016E-2</v>
      </c>
      <c r="F99" s="890">
        <v>0.1471203589679381</v>
      </c>
      <c r="G99" s="890">
        <v>0.12607309731398034</v>
      </c>
      <c r="H99" s="890">
        <v>0.12607309731398034</v>
      </c>
      <c r="I99" s="891">
        <v>0.1856806125105</v>
      </c>
      <c r="J99" s="891">
        <v>0.24752434954729804</v>
      </c>
      <c r="K99" s="892">
        <v>5.8892262895004644E-3</v>
      </c>
      <c r="L99" s="892"/>
      <c r="M99" s="893"/>
      <c r="N99" s="893"/>
      <c r="O99" s="893"/>
      <c r="P99" s="893"/>
      <c r="Q99" s="893"/>
      <c r="R99" s="893"/>
      <c r="S99" s="893"/>
      <c r="T99" s="893"/>
      <c r="U99" s="893"/>
      <c r="V99" s="893"/>
    </row>
    <row r="100" spans="1:25" ht="12.95" customHeight="1">
      <c r="A100" s="300"/>
      <c r="B100" s="889" t="s">
        <v>33</v>
      </c>
      <c r="C100" s="890">
        <v>6.3120475420954239E-2</v>
      </c>
      <c r="D100" s="890">
        <v>0.10433290917115488</v>
      </c>
      <c r="E100" s="890">
        <v>3.5014445039734159E-2</v>
      </c>
      <c r="F100" s="890">
        <v>0.12412136454986734</v>
      </c>
      <c r="G100" s="890">
        <v>0.10636437393574255</v>
      </c>
      <c r="H100" s="890">
        <v>0.10636437393574255</v>
      </c>
      <c r="I100" s="891">
        <v>0.20488516547764116</v>
      </c>
      <c r="J100" s="891">
        <v>0.24829555326044003</v>
      </c>
      <c r="K100" s="892">
        <v>7.5013392965080734E-3</v>
      </c>
      <c r="L100" s="892"/>
      <c r="M100" s="893"/>
      <c r="N100" s="893"/>
      <c r="O100" s="893"/>
      <c r="P100" s="893"/>
      <c r="Q100" s="893"/>
      <c r="R100" s="893"/>
      <c r="S100" s="893"/>
      <c r="T100" s="893"/>
      <c r="U100" s="893"/>
      <c r="V100" s="893"/>
    </row>
    <row r="101" spans="1:25" ht="12.95" customHeight="1" thickBot="1">
      <c r="A101" s="300"/>
      <c r="B101" s="894" t="s">
        <v>151</v>
      </c>
      <c r="C101" s="895">
        <v>5.2852056723000855E-2</v>
      </c>
      <c r="D101" s="896">
        <v>8.3760694788843001E-2</v>
      </c>
      <c r="E101" s="896">
        <v>3.9759088275801671E-2</v>
      </c>
      <c r="F101" s="896">
        <v>0.13877547430067244</v>
      </c>
      <c r="G101" s="896">
        <v>0.11892204451216799</v>
      </c>
      <c r="H101" s="896">
        <v>0.11892204451216799</v>
      </c>
      <c r="I101" s="897">
        <v>0.18950678730627221</v>
      </c>
      <c r="J101" s="897">
        <v>0.25084254575122578</v>
      </c>
      <c r="K101" s="898">
        <v>6.659263893323184E-3</v>
      </c>
      <c r="L101" s="898"/>
      <c r="M101" s="893"/>
      <c r="N101" s="893"/>
      <c r="O101" s="893"/>
      <c r="P101" s="893"/>
      <c r="Q101" s="893"/>
      <c r="R101" s="893"/>
      <c r="S101" s="893"/>
      <c r="T101" s="893"/>
      <c r="U101" s="893"/>
      <c r="V101" s="893"/>
    </row>
    <row r="102" spans="1:25" ht="12.95" customHeight="1">
      <c r="A102" s="300"/>
      <c r="B102" s="300"/>
      <c r="C102" s="305"/>
      <c r="D102" s="899"/>
      <c r="E102" s="890"/>
      <c r="F102" s="890"/>
      <c r="G102" s="890"/>
      <c r="H102" s="890"/>
      <c r="I102" s="890"/>
      <c r="J102" s="300"/>
      <c r="K102" s="300"/>
      <c r="L102" s="300"/>
      <c r="M102" s="300"/>
      <c r="N102" s="300"/>
      <c r="O102" s="301"/>
      <c r="P102" s="301"/>
      <c r="Q102" s="301"/>
      <c r="R102" s="301"/>
      <c r="S102" s="301"/>
      <c r="T102" s="301"/>
      <c r="U102" s="303"/>
      <c r="V102" s="303"/>
      <c r="W102" s="301"/>
      <c r="X102" s="301"/>
    </row>
    <row r="103" spans="1:25" ht="12.95" customHeight="1" thickBot="1">
      <c r="A103" s="300"/>
      <c r="B103" s="362" t="s">
        <v>149</v>
      </c>
      <c r="C103" s="776"/>
      <c r="D103" s="776"/>
      <c r="E103" s="776"/>
      <c r="F103" s="776"/>
      <c r="G103" s="777"/>
      <c r="H103" s="777"/>
      <c r="I103" s="776"/>
      <c r="J103" s="777"/>
      <c r="K103" s="777"/>
      <c r="L103" s="777"/>
      <c r="M103" s="301"/>
      <c r="N103" s="301"/>
      <c r="O103" s="301"/>
      <c r="P103" s="301"/>
      <c r="Q103" s="301"/>
      <c r="R103" s="301"/>
      <c r="S103" s="301"/>
      <c r="T103" s="301"/>
      <c r="U103" s="303"/>
      <c r="V103" s="303"/>
      <c r="W103" s="301"/>
      <c r="X103" s="301"/>
    </row>
    <row r="104" spans="1:25" ht="12.95" customHeight="1" thickBot="1">
      <c r="A104" s="304"/>
      <c r="B104" s="888"/>
      <c r="C104" s="900" t="s">
        <v>699</v>
      </c>
      <c r="D104" s="900" t="s">
        <v>700</v>
      </c>
      <c r="E104" s="900" t="s">
        <v>701</v>
      </c>
      <c r="F104" s="900" t="s">
        <v>702</v>
      </c>
      <c r="G104" s="900" t="s">
        <v>703</v>
      </c>
      <c r="H104" s="900" t="s">
        <v>704</v>
      </c>
      <c r="I104" s="900" t="s">
        <v>705</v>
      </c>
      <c r="J104" s="900" t="s">
        <v>706</v>
      </c>
      <c r="K104" s="299" t="s">
        <v>707</v>
      </c>
      <c r="L104" s="299"/>
      <c r="M104" s="299"/>
      <c r="N104" s="299"/>
      <c r="O104" s="299"/>
      <c r="P104" s="299"/>
      <c r="Q104" s="299"/>
      <c r="R104" s="299"/>
      <c r="S104" s="299"/>
      <c r="T104" s="299"/>
      <c r="U104" s="299"/>
      <c r="V104" s="299"/>
      <c r="W104" s="299"/>
      <c r="X104" s="299"/>
      <c r="Y104" s="299"/>
    </row>
    <row r="105" spans="1:25" ht="12.95" customHeight="1" thickTop="1">
      <c r="A105" s="300"/>
      <c r="B105" s="889" t="s">
        <v>35</v>
      </c>
      <c r="C105" s="890">
        <v>4.1092007235973768E-2</v>
      </c>
      <c r="D105" s="890">
        <v>4.1299666955082012E-2</v>
      </c>
      <c r="E105" s="890">
        <v>3.038493499113739E-2</v>
      </c>
      <c r="F105" s="890">
        <v>8.3241737345314787E-2</v>
      </c>
      <c r="G105" s="890">
        <v>8.2462116225313215E-2</v>
      </c>
      <c r="H105" s="890">
        <v>8.2462116225313215E-2</v>
      </c>
      <c r="I105" s="891">
        <v>0.27840518215076404</v>
      </c>
      <c r="J105" s="891">
        <v>0.34788550591652562</v>
      </c>
      <c r="K105" s="892">
        <v>1.2766732954575966E-2</v>
      </c>
      <c r="L105" s="892"/>
      <c r="M105" s="893"/>
      <c r="N105" s="893"/>
      <c r="O105" s="893"/>
      <c r="P105" s="893"/>
      <c r="Q105" s="893"/>
      <c r="R105" s="893"/>
      <c r="S105" s="893"/>
      <c r="T105" s="893"/>
      <c r="U105" s="901"/>
      <c r="V105" s="901"/>
      <c r="W105" s="301"/>
      <c r="X105" s="301"/>
    </row>
    <row r="106" spans="1:25" ht="12.95" customHeight="1">
      <c r="A106" s="300"/>
      <c r="B106" s="889" t="s">
        <v>34</v>
      </c>
      <c r="C106" s="890">
        <v>4.0236674632612518E-2</v>
      </c>
      <c r="D106" s="890">
        <v>4.1884162303994707E-2</v>
      </c>
      <c r="E106" s="890">
        <v>3.0267528522495313E-2</v>
      </c>
      <c r="F106" s="890">
        <v>8.317171997035494E-2</v>
      </c>
      <c r="G106" s="890">
        <v>8.2393427374570005E-2</v>
      </c>
      <c r="H106" s="890">
        <v>8.2393427374570005E-2</v>
      </c>
      <c r="I106" s="891">
        <v>0.29388375249705201</v>
      </c>
      <c r="J106" s="891">
        <v>0.33417248552350748</v>
      </c>
      <c r="K106" s="892">
        <v>1.1596822607749763E-2</v>
      </c>
      <c r="L106" s="892"/>
      <c r="M106" s="893"/>
      <c r="N106" s="893"/>
      <c r="O106" s="893"/>
      <c r="P106" s="893"/>
      <c r="Q106" s="893"/>
      <c r="R106" s="893"/>
      <c r="S106" s="893"/>
      <c r="T106" s="893"/>
      <c r="U106" s="901"/>
      <c r="V106" s="901"/>
      <c r="W106" s="301"/>
      <c r="X106" s="301"/>
    </row>
    <row r="107" spans="1:25" ht="12.95" customHeight="1">
      <c r="A107" s="300"/>
      <c r="B107" s="889" t="s">
        <v>33</v>
      </c>
      <c r="C107" s="890">
        <v>5.3293760280746963E-2</v>
      </c>
      <c r="D107" s="890">
        <v>5.8754296159967669E-2</v>
      </c>
      <c r="E107" s="890">
        <v>2.4438370809612971E-2</v>
      </c>
      <c r="F107" s="890">
        <v>6.8605926580746657E-2</v>
      </c>
      <c r="G107" s="890">
        <v>6.7961235233939432E-2</v>
      </c>
      <c r="H107" s="890">
        <v>6.7961235233939432E-2</v>
      </c>
      <c r="I107" s="891">
        <v>0.31702745538214583</v>
      </c>
      <c r="J107" s="891">
        <v>0.32755037436785961</v>
      </c>
      <c r="K107" s="892">
        <v>1.4407345593200801E-2</v>
      </c>
      <c r="L107" s="892"/>
      <c r="M107" s="893"/>
      <c r="N107" s="893"/>
      <c r="O107" s="893"/>
      <c r="P107" s="893"/>
      <c r="Q107" s="893"/>
      <c r="R107" s="893"/>
      <c r="S107" s="893"/>
      <c r="T107" s="893"/>
      <c r="U107" s="901"/>
      <c r="V107" s="901"/>
      <c r="W107" s="301"/>
      <c r="X107" s="301"/>
    </row>
    <row r="108" spans="1:25" ht="12.95" customHeight="1" thickBot="1">
      <c r="A108" s="300"/>
      <c r="B108" s="894" t="s">
        <v>151</v>
      </c>
      <c r="C108" s="895">
        <v>4.5290956755948367E-2</v>
      </c>
      <c r="D108" s="896">
        <v>4.7894712622784261E-2</v>
      </c>
      <c r="E108" s="896">
        <v>2.8164686476350297E-2</v>
      </c>
      <c r="F108" s="896">
        <v>7.7848471577282793E-2</v>
      </c>
      <c r="G108" s="896">
        <v>7.7118794091662543E-2</v>
      </c>
      <c r="H108" s="896">
        <v>7.7118794091662543E-2</v>
      </c>
      <c r="I108" s="897">
        <v>0.2976148709526884</v>
      </c>
      <c r="J108" s="897">
        <v>0.33596072714725395</v>
      </c>
      <c r="K108" s="898">
        <v>1.2987986415673117E-2</v>
      </c>
      <c r="L108" s="898"/>
      <c r="M108" s="893"/>
      <c r="N108" s="893"/>
      <c r="O108" s="893"/>
      <c r="P108" s="893"/>
      <c r="Q108" s="893"/>
      <c r="R108" s="893"/>
      <c r="S108" s="893"/>
      <c r="T108" s="893"/>
      <c r="U108" s="901"/>
      <c r="V108" s="901"/>
      <c r="W108" s="301"/>
      <c r="X108" s="301"/>
    </row>
    <row r="109" spans="1:25" ht="12.95" customHeight="1">
      <c r="A109" s="300"/>
      <c r="B109" s="300"/>
      <c r="C109" s="305"/>
      <c r="D109" s="300"/>
      <c r="E109" s="902"/>
      <c r="F109" s="902"/>
      <c r="G109" s="903"/>
      <c r="H109" s="903"/>
      <c r="I109" s="297"/>
      <c r="J109" s="301"/>
      <c r="K109" s="893"/>
      <c r="L109" s="301"/>
      <c r="M109" s="301"/>
      <c r="N109" s="301"/>
      <c r="O109" s="301"/>
      <c r="P109" s="301"/>
      <c r="Q109" s="301"/>
      <c r="R109" s="301"/>
      <c r="S109" s="301"/>
      <c r="T109" s="301"/>
      <c r="U109" s="303"/>
      <c r="V109" s="303"/>
      <c r="W109" s="301"/>
      <c r="X109" s="301"/>
    </row>
    <row r="110" spans="1:25" ht="12.95" customHeight="1" thickBot="1">
      <c r="A110" s="300"/>
      <c r="B110" s="362" t="s">
        <v>148</v>
      </c>
      <c r="C110" s="776"/>
      <c r="D110" s="776"/>
      <c r="E110" s="776"/>
      <c r="F110" s="776"/>
      <c r="G110" s="777"/>
      <c r="H110" s="777"/>
      <c r="I110" s="776"/>
      <c r="J110" s="777"/>
      <c r="K110" s="777"/>
      <c r="L110" s="777"/>
      <c r="M110" s="301"/>
      <c r="N110" s="301"/>
      <c r="O110" s="301"/>
      <c r="P110" s="301"/>
      <c r="Q110" s="301"/>
      <c r="R110" s="301"/>
      <c r="S110" s="301"/>
      <c r="T110" s="301"/>
      <c r="U110" s="303"/>
      <c r="V110" s="303"/>
      <c r="W110" s="301"/>
      <c r="X110" s="301"/>
    </row>
    <row r="111" spans="1:25" ht="12.95" customHeight="1" thickBot="1">
      <c r="A111" s="300"/>
      <c r="B111" s="888"/>
      <c r="C111" s="904" t="s">
        <v>699</v>
      </c>
      <c r="D111" s="904" t="s">
        <v>700</v>
      </c>
      <c r="E111" s="904" t="s">
        <v>701</v>
      </c>
      <c r="F111" s="904" t="s">
        <v>702</v>
      </c>
      <c r="G111" s="904" t="s">
        <v>703</v>
      </c>
      <c r="H111" s="904" t="s">
        <v>704</v>
      </c>
      <c r="I111" s="904" t="s">
        <v>705</v>
      </c>
      <c r="J111" s="904" t="s">
        <v>706</v>
      </c>
      <c r="K111" s="904" t="s">
        <v>707</v>
      </c>
      <c r="L111" s="299"/>
      <c r="M111" s="299"/>
      <c r="N111" s="299"/>
      <c r="O111" s="299"/>
      <c r="P111" s="299"/>
      <c r="Q111" s="299"/>
      <c r="R111" s="299"/>
      <c r="S111" s="299"/>
      <c r="T111" s="299"/>
      <c r="U111" s="299"/>
      <c r="V111" s="299"/>
      <c r="W111" s="299"/>
      <c r="X111" s="299"/>
      <c r="Y111" s="299"/>
    </row>
    <row r="112" spans="1:25" ht="12.95" customHeight="1" thickTop="1">
      <c r="A112" s="300"/>
      <c r="B112" s="889" t="s">
        <v>35</v>
      </c>
      <c r="C112" s="890">
        <v>4.9531063901533869E-2</v>
      </c>
      <c r="D112" s="890">
        <v>8.1061674689781954E-2</v>
      </c>
      <c r="E112" s="890">
        <v>4.6312167225650569E-2</v>
      </c>
      <c r="F112" s="890">
        <v>0.16710821047304797</v>
      </c>
      <c r="G112" s="890">
        <v>0.13969706956106828</v>
      </c>
      <c r="H112" s="890">
        <v>0.13969706956106828</v>
      </c>
      <c r="I112" s="891">
        <v>0.1432818586737318</v>
      </c>
      <c r="J112" s="891">
        <v>0.22879446023571734</v>
      </c>
      <c r="K112" s="892">
        <v>4.5164256784000203E-3</v>
      </c>
      <c r="L112" s="892"/>
      <c r="M112" s="893"/>
      <c r="N112" s="893"/>
      <c r="O112" s="893"/>
      <c r="P112" s="893"/>
      <c r="Q112" s="893"/>
      <c r="R112" s="893"/>
      <c r="S112" s="893"/>
      <c r="T112" s="893"/>
      <c r="U112" s="901"/>
      <c r="V112" s="901"/>
      <c r="W112" s="301"/>
      <c r="X112" s="301"/>
    </row>
    <row r="113" spans="1:24" ht="12.95" customHeight="1">
      <c r="A113" s="300"/>
      <c r="B113" s="889" t="s">
        <v>34</v>
      </c>
      <c r="C113" s="890">
        <v>4.8594556072565347E-2</v>
      </c>
      <c r="D113" s="890">
        <v>8.2360235478119367E-2</v>
      </c>
      <c r="E113" s="890">
        <v>4.6223091887807717E-2</v>
      </c>
      <c r="F113" s="890">
        <v>0.16729611401808653</v>
      </c>
      <c r="G113" s="890">
        <v>0.13985400548001933</v>
      </c>
      <c r="H113" s="890">
        <v>0.13985400548001933</v>
      </c>
      <c r="I113" s="891">
        <v>0.15154259046271107</v>
      </c>
      <c r="J113" s="891">
        <v>0.22018691759547779</v>
      </c>
      <c r="K113" s="892">
        <v>4.0884832706149692E-3</v>
      </c>
      <c r="L113" s="892"/>
      <c r="M113" s="893"/>
      <c r="N113" s="893"/>
      <c r="O113" s="893"/>
      <c r="P113" s="893"/>
      <c r="Q113" s="893"/>
      <c r="R113" s="893"/>
      <c r="S113" s="893"/>
      <c r="T113" s="893"/>
      <c r="U113" s="901"/>
      <c r="V113" s="901"/>
      <c r="W113" s="301"/>
      <c r="X113" s="301"/>
    </row>
    <row r="114" spans="1:24" ht="12.95" customHeight="1">
      <c r="A114" s="300"/>
      <c r="B114" s="889" t="s">
        <v>33</v>
      </c>
      <c r="C114" s="890">
        <v>6.6314771977111137E-2</v>
      </c>
      <c r="D114" s="890">
        <v>0.1191488070212295</v>
      </c>
      <c r="E114" s="890">
        <v>3.845233001613476E-2</v>
      </c>
      <c r="F114" s="890">
        <v>0.14216735141202075</v>
      </c>
      <c r="G114" s="890">
        <v>0.11884779407670719</v>
      </c>
      <c r="H114" s="890">
        <v>0.11884779407670719</v>
      </c>
      <c r="I114" s="891">
        <v>0.16843191275478339</v>
      </c>
      <c r="J114" s="891">
        <v>0.22253278324928835</v>
      </c>
      <c r="K114" s="892">
        <v>5.2564555323383168E-3</v>
      </c>
      <c r="L114" s="892"/>
      <c r="M114" s="893"/>
      <c r="N114" s="893"/>
      <c r="O114" s="893"/>
      <c r="P114" s="893"/>
      <c r="Q114" s="893"/>
      <c r="R114" s="893"/>
      <c r="S114" s="893"/>
      <c r="T114" s="893"/>
      <c r="U114" s="901"/>
      <c r="V114" s="901"/>
      <c r="W114" s="301"/>
      <c r="X114" s="301"/>
    </row>
    <row r="115" spans="1:24" ht="12.95" customHeight="1" thickBot="1">
      <c r="A115" s="300"/>
      <c r="B115" s="894" t="s">
        <v>151</v>
      </c>
      <c r="C115" s="895">
        <v>5.5262152102666467E-2</v>
      </c>
      <c r="D115" s="896">
        <v>9.5192951814766891E-2</v>
      </c>
      <c r="E115" s="896">
        <v>4.345479578028489E-2</v>
      </c>
      <c r="F115" s="896">
        <v>0.15819591423670973</v>
      </c>
      <c r="G115" s="896">
        <v>0.13224680164175004</v>
      </c>
      <c r="H115" s="896">
        <v>0.13224680164175004</v>
      </c>
      <c r="I115" s="897">
        <v>0.15504741049124746</v>
      </c>
      <c r="J115" s="897">
        <v>0.22371118431988901</v>
      </c>
      <c r="K115" s="898">
        <v>4.6419879290816772E-3</v>
      </c>
      <c r="L115" s="898"/>
      <c r="M115" s="893"/>
      <c r="N115" s="893"/>
      <c r="O115" s="893"/>
      <c r="P115" s="893"/>
      <c r="Q115" s="893"/>
      <c r="R115" s="893"/>
      <c r="S115" s="893"/>
      <c r="T115" s="893"/>
      <c r="U115" s="901"/>
      <c r="V115" s="901"/>
      <c r="W115" s="301"/>
      <c r="X115" s="301"/>
    </row>
    <row r="116" spans="1:24" ht="12.95" customHeight="1">
      <c r="A116" s="300"/>
      <c r="B116" s="300"/>
      <c r="C116" s="305"/>
      <c r="D116" s="300"/>
      <c r="E116" s="297"/>
      <c r="F116" s="297"/>
      <c r="G116" s="905"/>
      <c r="H116" s="906"/>
      <c r="I116" s="304"/>
      <c r="J116" s="301"/>
      <c r="K116" s="301"/>
      <c r="L116" s="301"/>
      <c r="M116" s="301"/>
      <c r="N116" s="301"/>
      <c r="O116" s="301"/>
      <c r="P116" s="301"/>
      <c r="Q116" s="301"/>
      <c r="R116" s="301"/>
      <c r="S116" s="301"/>
      <c r="T116" s="301"/>
      <c r="U116" s="303"/>
      <c r="V116" s="303"/>
      <c r="W116" s="301"/>
      <c r="X116" s="301"/>
    </row>
    <row r="117" spans="1:24" ht="12.95" customHeight="1">
      <c r="A117" s="300"/>
      <c r="B117" s="300"/>
      <c r="C117" s="305"/>
      <c r="D117" s="300"/>
      <c r="E117" s="297"/>
      <c r="F117" s="297"/>
      <c r="G117" s="905"/>
      <c r="H117" s="906"/>
      <c r="I117" s="304"/>
      <c r="J117" s="301"/>
      <c r="K117" s="301"/>
      <c r="L117" s="301"/>
      <c r="M117" s="301"/>
      <c r="N117" s="301"/>
      <c r="O117" s="301"/>
      <c r="P117" s="301"/>
      <c r="Q117" s="301"/>
      <c r="R117" s="301"/>
      <c r="S117" s="301"/>
      <c r="T117" s="301"/>
      <c r="U117" s="303"/>
      <c r="V117" s="303"/>
      <c r="W117" s="301"/>
      <c r="X117" s="301"/>
    </row>
    <row r="118" spans="1:24" ht="12.95" customHeight="1">
      <c r="B118" s="300"/>
      <c r="C118" s="305"/>
      <c r="D118" s="300"/>
      <c r="E118" s="297"/>
      <c r="F118" s="297"/>
      <c r="G118" s="905"/>
      <c r="H118" s="906"/>
      <c r="I118" s="304"/>
      <c r="J118" s="301"/>
      <c r="K118" s="301"/>
      <c r="L118" s="301"/>
      <c r="M118" s="301"/>
      <c r="N118" s="301"/>
      <c r="O118" s="301"/>
      <c r="P118" s="301"/>
      <c r="Q118" s="301"/>
      <c r="R118" s="301"/>
      <c r="S118" s="301"/>
      <c r="T118" s="301"/>
      <c r="U118" s="303"/>
      <c r="V118" s="303"/>
      <c r="W118" s="301"/>
      <c r="X118" s="301"/>
    </row>
    <row r="119" spans="1:24" ht="12.95" customHeight="1">
      <c r="B119" s="300"/>
      <c r="C119" s="305"/>
      <c r="D119" s="300"/>
      <c r="E119" s="297"/>
      <c r="F119" s="297"/>
      <c r="G119" s="905"/>
      <c r="H119" s="906"/>
      <c r="I119" s="304"/>
      <c r="J119" s="301"/>
      <c r="K119" s="301"/>
      <c r="L119" s="301"/>
      <c r="M119" s="301"/>
      <c r="N119" s="301"/>
      <c r="O119" s="301"/>
      <c r="P119" s="301"/>
      <c r="Q119" s="301"/>
      <c r="R119" s="301"/>
      <c r="S119" s="301"/>
      <c r="T119" s="301"/>
      <c r="U119" s="303"/>
      <c r="V119" s="303"/>
      <c r="W119" s="301"/>
      <c r="X119" s="301"/>
    </row>
    <row r="120" spans="1:24" ht="12.95" customHeight="1">
      <c r="B120" s="300"/>
      <c r="C120" s="305"/>
      <c r="D120" s="300"/>
      <c r="E120" s="297"/>
      <c r="F120" s="297"/>
      <c r="G120" s="905"/>
      <c r="H120" s="906"/>
      <c r="I120" s="304"/>
      <c r="J120" s="301"/>
      <c r="K120" s="301"/>
      <c r="L120" s="301"/>
      <c r="M120" s="301"/>
      <c r="N120" s="301"/>
      <c r="O120" s="301"/>
      <c r="P120" s="301"/>
      <c r="Q120" s="301"/>
      <c r="R120" s="301"/>
      <c r="S120" s="301"/>
      <c r="T120" s="301"/>
      <c r="U120" s="303"/>
      <c r="V120" s="303"/>
      <c r="W120" s="301"/>
      <c r="X120" s="301"/>
    </row>
    <row r="121" spans="1:24" ht="12.95" customHeight="1">
      <c r="A121" s="300"/>
      <c r="B121" s="300"/>
      <c r="C121" s="305"/>
      <c r="D121" s="300"/>
      <c r="E121" s="297"/>
      <c r="F121" s="297"/>
      <c r="G121" s="905"/>
      <c r="H121" s="906"/>
      <c r="I121" s="304"/>
      <c r="J121" s="301"/>
      <c r="K121" s="301"/>
      <c r="L121" s="301"/>
      <c r="M121" s="301"/>
      <c r="N121" s="301"/>
      <c r="O121" s="301"/>
      <c r="P121" s="301"/>
      <c r="Q121" s="301"/>
      <c r="R121" s="301"/>
      <c r="S121" s="301"/>
      <c r="T121" s="301"/>
      <c r="U121" s="303"/>
      <c r="V121" s="303"/>
      <c r="W121" s="301"/>
      <c r="X121" s="301"/>
    </row>
    <row r="122" spans="1:24" ht="12.95" customHeight="1">
      <c r="A122" s="300"/>
      <c r="B122" s="300"/>
      <c r="C122" s="305"/>
      <c r="D122" s="300"/>
      <c r="E122" s="297"/>
      <c r="F122" s="297"/>
      <c r="G122" s="905"/>
      <c r="H122" s="906"/>
      <c r="I122" s="304"/>
      <c r="J122" s="301"/>
      <c r="K122" s="301"/>
      <c r="L122" s="301"/>
      <c r="M122" s="301"/>
      <c r="N122" s="301"/>
      <c r="O122" s="301"/>
      <c r="P122" s="301"/>
      <c r="Q122" s="301"/>
      <c r="R122" s="301"/>
      <c r="S122" s="301"/>
      <c r="T122" s="301"/>
      <c r="U122" s="303"/>
      <c r="V122" s="303"/>
      <c r="W122" s="301"/>
      <c r="X122" s="301"/>
    </row>
    <row r="123" spans="1:24" ht="12.95" customHeight="1">
      <c r="A123" s="300"/>
      <c r="B123" s="300"/>
      <c r="C123" s="305"/>
      <c r="D123" s="300"/>
      <c r="E123" s="297"/>
      <c r="F123" s="297"/>
      <c r="G123" s="905"/>
      <c r="H123" s="906"/>
      <c r="I123" s="304"/>
      <c r="J123" s="301"/>
      <c r="K123" s="301"/>
      <c r="L123" s="301"/>
      <c r="M123" s="301"/>
      <c r="N123" s="301"/>
      <c r="O123" s="301"/>
      <c r="P123" s="301"/>
      <c r="Q123" s="301"/>
      <c r="R123" s="301"/>
      <c r="S123" s="301"/>
      <c r="T123" s="301"/>
      <c r="U123" s="303"/>
      <c r="V123" s="303"/>
      <c r="W123" s="301"/>
      <c r="X123" s="301"/>
    </row>
    <row r="124" spans="1:24" ht="12.95" customHeight="1">
      <c r="A124" s="300"/>
      <c r="B124" s="300"/>
      <c r="C124" s="305"/>
      <c r="D124" s="300"/>
      <c r="E124" s="297"/>
      <c r="F124" s="297"/>
      <c r="G124" s="905"/>
      <c r="H124" s="906"/>
      <c r="I124" s="304"/>
      <c r="J124" s="301"/>
      <c r="K124" s="301"/>
      <c r="L124" s="301"/>
      <c r="M124" s="301"/>
      <c r="N124" s="301"/>
      <c r="O124" s="301"/>
      <c r="P124" s="301"/>
      <c r="Q124" s="301"/>
      <c r="R124" s="301"/>
      <c r="S124" s="301"/>
      <c r="T124" s="301"/>
      <c r="U124" s="303"/>
      <c r="V124" s="303"/>
      <c r="W124" s="301"/>
      <c r="X124" s="301"/>
    </row>
    <row r="125" spans="1:24" ht="12.95" customHeight="1">
      <c r="A125" s="300"/>
      <c r="B125" s="300"/>
      <c r="C125" s="305"/>
      <c r="D125" s="300"/>
      <c r="E125" s="297"/>
      <c r="F125" s="297"/>
      <c r="G125" s="905"/>
      <c r="H125" s="906"/>
      <c r="I125" s="304"/>
      <c r="J125" s="301"/>
      <c r="K125" s="301"/>
      <c r="L125" s="301"/>
      <c r="M125" s="301"/>
      <c r="N125" s="301"/>
      <c r="O125" s="301"/>
      <c r="P125" s="301"/>
      <c r="Q125" s="301"/>
      <c r="R125" s="301"/>
      <c r="S125" s="301"/>
      <c r="T125" s="301"/>
      <c r="U125" s="303"/>
      <c r="V125" s="303"/>
      <c r="W125" s="301"/>
      <c r="X125" s="301"/>
    </row>
    <row r="126" spans="1:24" ht="12.95" customHeight="1">
      <c r="A126" s="300"/>
      <c r="B126" s="300"/>
      <c r="C126" s="305"/>
      <c r="D126" s="300"/>
      <c r="E126" s="297"/>
      <c r="F126" s="297"/>
      <c r="G126" s="905"/>
      <c r="H126" s="906"/>
      <c r="I126" s="304"/>
      <c r="J126" s="301"/>
      <c r="K126" s="301"/>
      <c r="L126" s="301"/>
      <c r="M126" s="301"/>
      <c r="N126" s="301"/>
      <c r="O126" s="301"/>
      <c r="P126" s="301"/>
      <c r="Q126" s="301"/>
      <c r="R126" s="301"/>
      <c r="S126" s="301"/>
      <c r="T126" s="301"/>
      <c r="U126" s="303"/>
      <c r="V126" s="303"/>
      <c r="W126" s="301"/>
      <c r="X126" s="301"/>
    </row>
    <row r="127" spans="1:24" ht="12.95" customHeight="1">
      <c r="A127" s="300"/>
      <c r="B127" s="300"/>
      <c r="C127" s="305"/>
      <c r="D127" s="300"/>
      <c r="E127" s="297"/>
      <c r="F127" s="297"/>
      <c r="G127" s="905"/>
      <c r="H127" s="906"/>
      <c r="I127" s="304"/>
      <c r="J127" s="301"/>
      <c r="K127" s="301"/>
      <c r="L127" s="301"/>
      <c r="M127" s="301"/>
      <c r="N127" s="301"/>
      <c r="O127" s="301"/>
      <c r="P127" s="301"/>
      <c r="Q127" s="301"/>
      <c r="R127" s="301"/>
      <c r="S127" s="301"/>
      <c r="T127" s="301"/>
      <c r="U127" s="303"/>
      <c r="V127" s="303"/>
      <c r="W127" s="301"/>
      <c r="X127" s="301"/>
    </row>
    <row r="128" spans="1:24" ht="12.95" customHeight="1">
      <c r="A128" s="300"/>
      <c r="B128" s="300"/>
      <c r="C128" s="305"/>
      <c r="D128" s="300"/>
      <c r="E128" s="297"/>
      <c r="F128" s="297"/>
      <c r="G128" s="905"/>
      <c r="H128" s="906"/>
      <c r="I128" s="304"/>
      <c r="J128" s="301"/>
      <c r="K128" s="301"/>
      <c r="L128" s="301"/>
      <c r="M128" s="301"/>
      <c r="N128" s="301"/>
      <c r="O128" s="301"/>
      <c r="P128" s="301"/>
      <c r="Q128" s="301"/>
      <c r="R128" s="301"/>
      <c r="S128" s="301"/>
      <c r="T128" s="301"/>
      <c r="U128" s="303"/>
      <c r="V128" s="303"/>
      <c r="W128" s="301"/>
      <c r="X128" s="301"/>
    </row>
    <row r="129" spans="1:66" ht="12.95" customHeight="1">
      <c r="A129" s="300"/>
      <c r="B129" s="300"/>
      <c r="C129" s="305"/>
      <c r="D129" s="300"/>
      <c r="E129" s="297"/>
      <c r="F129" s="297"/>
      <c r="G129" s="905"/>
      <c r="H129" s="906"/>
      <c r="I129" s="304"/>
      <c r="J129" s="301"/>
      <c r="K129" s="301"/>
      <c r="L129" s="301"/>
      <c r="M129" s="301"/>
      <c r="N129" s="301"/>
      <c r="O129" s="301"/>
      <c r="P129" s="301"/>
      <c r="Q129" s="301"/>
      <c r="R129" s="301"/>
      <c r="S129" s="301"/>
      <c r="T129" s="301"/>
      <c r="U129" s="303"/>
      <c r="V129" s="303"/>
      <c r="W129" s="301"/>
      <c r="X129" s="301"/>
    </row>
    <row r="130" spans="1:66" ht="12.95" customHeight="1">
      <c r="A130" s="300"/>
      <c r="B130" s="300"/>
      <c r="C130" s="305"/>
      <c r="D130" s="300"/>
      <c r="E130" s="297"/>
      <c r="F130" s="297"/>
      <c r="G130" s="905"/>
      <c r="H130" s="906"/>
      <c r="I130" s="304"/>
      <c r="J130" s="301"/>
      <c r="K130" s="301"/>
      <c r="L130" s="301"/>
      <c r="M130" s="301"/>
      <c r="N130" s="301"/>
      <c r="O130" s="301"/>
      <c r="P130" s="301"/>
      <c r="Q130" s="301"/>
      <c r="R130" s="301"/>
      <c r="S130" s="301"/>
      <c r="T130" s="301"/>
      <c r="U130" s="303"/>
      <c r="V130" s="303"/>
      <c r="W130" s="301"/>
      <c r="X130" s="301"/>
    </row>
    <row r="131" spans="1:66" ht="12.95" customHeight="1">
      <c r="A131" s="300"/>
      <c r="B131" s="300"/>
      <c r="C131" s="305"/>
      <c r="D131" s="300"/>
      <c r="E131" s="297"/>
      <c r="F131" s="297"/>
      <c r="G131" s="905"/>
      <c r="H131" s="906"/>
      <c r="I131" s="304"/>
      <c r="J131" s="301"/>
      <c r="K131" s="301"/>
      <c r="L131" s="301"/>
      <c r="M131" s="301"/>
      <c r="N131" s="301"/>
      <c r="O131" s="301"/>
      <c r="P131" s="301"/>
      <c r="Q131" s="301"/>
      <c r="R131" s="301"/>
      <c r="S131" s="301"/>
      <c r="T131" s="301"/>
      <c r="U131" s="303"/>
      <c r="V131" s="303"/>
      <c r="W131" s="301"/>
      <c r="X131" s="301"/>
    </row>
    <row r="132" spans="1:66" ht="12.95" customHeight="1">
      <c r="A132" s="300"/>
      <c r="B132" s="300"/>
      <c r="C132" s="305"/>
      <c r="D132" s="300"/>
      <c r="E132" s="297"/>
      <c r="F132" s="297"/>
      <c r="G132" s="905"/>
      <c r="H132" s="906"/>
      <c r="I132" s="304"/>
      <c r="J132" s="301"/>
      <c r="K132" s="301"/>
      <c r="L132" s="301"/>
      <c r="M132" s="301"/>
      <c r="N132" s="301"/>
      <c r="O132" s="301"/>
      <c r="P132" s="301"/>
      <c r="Q132" s="301"/>
      <c r="R132" s="301"/>
      <c r="S132" s="301"/>
      <c r="T132" s="301"/>
      <c r="U132" s="303"/>
      <c r="V132" s="303"/>
      <c r="W132" s="301"/>
      <c r="X132" s="301"/>
    </row>
    <row r="133" spans="1:66" ht="12.95" customHeight="1">
      <c r="A133" s="300"/>
      <c r="B133" s="300"/>
      <c r="C133" s="305"/>
      <c r="D133" s="300"/>
      <c r="E133" s="297"/>
      <c r="F133" s="297"/>
      <c r="G133" s="905"/>
      <c r="H133" s="906"/>
      <c r="I133" s="304"/>
      <c r="J133" s="301"/>
      <c r="K133" s="301"/>
      <c r="L133" s="301"/>
      <c r="M133" s="301"/>
      <c r="N133" s="301"/>
      <c r="O133" s="301"/>
      <c r="P133" s="301"/>
      <c r="Q133" s="301"/>
      <c r="R133" s="301"/>
      <c r="S133" s="301"/>
      <c r="T133" s="301"/>
      <c r="U133" s="303"/>
      <c r="V133" s="303"/>
      <c r="W133" s="301"/>
      <c r="X133" s="301"/>
    </row>
    <row r="134" spans="1:66" ht="12.95" customHeight="1" thickBot="1">
      <c r="A134" s="300"/>
      <c r="B134" s="300"/>
      <c r="C134" s="305"/>
      <c r="D134" s="300"/>
      <c r="E134" s="297"/>
      <c r="F134" s="297"/>
      <c r="G134" s="905"/>
      <c r="H134" s="906"/>
      <c r="I134" s="304"/>
      <c r="J134" s="301"/>
      <c r="K134" s="301"/>
      <c r="L134" s="301"/>
      <c r="M134" s="301"/>
      <c r="N134" s="301"/>
      <c r="O134" s="301"/>
      <c r="P134" s="301"/>
      <c r="Q134" s="301"/>
      <c r="R134" s="301"/>
      <c r="S134" s="301"/>
      <c r="T134" s="301"/>
      <c r="U134" s="303"/>
      <c r="V134" s="303"/>
      <c r="W134" s="301"/>
      <c r="X134" s="301"/>
    </row>
    <row r="135" spans="1:66" ht="12.95" customHeight="1">
      <c r="A135" s="300"/>
      <c r="B135" s="907" t="s">
        <v>490</v>
      </c>
      <c r="C135" s="908"/>
      <c r="D135" s="909"/>
      <c r="E135" s="910" t="s">
        <v>35</v>
      </c>
      <c r="F135" s="910" t="s">
        <v>34</v>
      </c>
      <c r="G135" s="911" t="s">
        <v>33</v>
      </c>
      <c r="H135" s="906"/>
      <c r="I135" s="304"/>
      <c r="J135" s="301"/>
      <c r="K135" s="301"/>
      <c r="L135" s="301"/>
      <c r="M135" s="301"/>
      <c r="N135" s="301"/>
      <c r="O135" s="301"/>
      <c r="P135" s="301"/>
      <c r="Q135" s="301"/>
      <c r="R135" s="301"/>
      <c r="S135" s="301"/>
      <c r="T135" s="301"/>
      <c r="U135" s="303"/>
      <c r="V135" s="303"/>
      <c r="W135" s="301"/>
      <c r="X135" s="301"/>
    </row>
    <row r="136" spans="1:66" ht="12.95" customHeight="1">
      <c r="A136" s="300"/>
      <c r="B136" s="912" t="s">
        <v>689</v>
      </c>
      <c r="C136" s="304"/>
      <c r="D136" s="416"/>
      <c r="E136" s="913">
        <f>'36-Mo-Fin-Pr'!P146/'36-Mo-Fin-Pr'!P134</f>
        <v>0.28680084517535065</v>
      </c>
      <c r="F136" s="913">
        <f>'36-Mo-Fin-Pr'!P227/'36-Mo-Fin-Pr'!P215</f>
        <v>0.30825331835391212</v>
      </c>
      <c r="G136" s="914">
        <f>'36-Mo-Fin-Pr'!P308/'36-Mo-Fin-Pr'!P296</f>
        <v>0.30681304203105292</v>
      </c>
      <c r="H136" s="906"/>
      <c r="I136" s="304"/>
      <c r="J136" s="301"/>
      <c r="K136" s="301"/>
      <c r="L136" s="301"/>
      <c r="M136" s="301"/>
      <c r="N136" s="301"/>
      <c r="O136" s="301"/>
      <c r="P136" s="301"/>
      <c r="Q136" s="301"/>
      <c r="R136" s="301"/>
      <c r="S136" s="301"/>
      <c r="T136" s="301"/>
      <c r="U136" s="303"/>
      <c r="V136" s="303"/>
      <c r="W136" s="301"/>
      <c r="X136" s="301"/>
    </row>
    <row r="137" spans="1:66" ht="12.95" customHeight="1">
      <c r="A137" s="300"/>
      <c r="B137" s="1560" t="s">
        <v>147</v>
      </c>
      <c r="C137" s="1561"/>
      <c r="D137" s="1561"/>
      <c r="E137" s="915"/>
      <c r="F137" s="915"/>
      <c r="G137" s="916"/>
      <c r="H137" s="906"/>
      <c r="I137" s="304"/>
      <c r="J137" s="301"/>
      <c r="K137" s="301"/>
      <c r="L137" s="301"/>
      <c r="M137" s="301"/>
      <c r="N137" s="301"/>
      <c r="O137" s="301"/>
      <c r="P137" s="301"/>
      <c r="Q137" s="301"/>
      <c r="R137" s="301"/>
      <c r="S137" s="301"/>
      <c r="T137" s="301"/>
      <c r="U137" s="303"/>
      <c r="V137" s="303"/>
      <c r="W137" s="301"/>
      <c r="X137" s="301"/>
    </row>
    <row r="138" spans="1:66" ht="12.95" customHeight="1">
      <c r="A138" s="300"/>
      <c r="B138" s="1560"/>
      <c r="C138" s="1561"/>
      <c r="D138" s="1561"/>
      <c r="E138" s="409"/>
      <c r="F138" s="409"/>
      <c r="G138" s="917"/>
      <c r="H138" s="918"/>
      <c r="I138" s="304"/>
      <c r="J138" s="919"/>
      <c r="K138" s="301"/>
      <c r="L138" s="301"/>
      <c r="M138" s="301"/>
      <c r="N138" s="301"/>
      <c r="O138" s="301"/>
      <c r="P138" s="301"/>
      <c r="Q138" s="301"/>
      <c r="R138" s="301"/>
      <c r="S138" s="301"/>
      <c r="T138" s="301"/>
      <c r="U138" s="303"/>
      <c r="V138" s="303"/>
      <c r="W138" s="301"/>
      <c r="X138" s="301"/>
    </row>
    <row r="139" spans="1:66" ht="12.95" customHeight="1">
      <c r="A139" s="300"/>
      <c r="B139" s="920"/>
      <c r="C139" s="305"/>
      <c r="D139" s="921"/>
      <c r="E139" s="409"/>
      <c r="F139" s="409"/>
      <c r="G139" s="917"/>
      <c r="H139" s="301"/>
      <c r="I139" s="301"/>
      <c r="J139" s="301"/>
      <c r="K139" s="301"/>
      <c r="L139" s="301"/>
      <c r="M139" s="303"/>
      <c r="N139" s="303"/>
      <c r="O139" s="301"/>
      <c r="P139" s="301"/>
      <c r="BG139" s="497"/>
      <c r="BH139" s="497"/>
      <c r="BI139" s="497"/>
      <c r="BJ139" s="497"/>
      <c r="BK139" s="497"/>
      <c r="BL139" s="497"/>
      <c r="BM139" s="497"/>
      <c r="BN139" s="497"/>
    </row>
    <row r="140" spans="1:66" ht="12.95" customHeight="1">
      <c r="A140" s="300"/>
      <c r="B140" s="922" t="s">
        <v>492</v>
      </c>
      <c r="C140" s="305"/>
      <c r="D140" s="921"/>
      <c r="E140" s="409"/>
      <c r="F140" s="409"/>
      <c r="G140" s="917"/>
      <c r="H140" s="301"/>
      <c r="I140" s="301"/>
      <c r="J140" s="301"/>
      <c r="K140" s="301"/>
      <c r="L140" s="301"/>
      <c r="M140" s="303"/>
      <c r="N140" s="303"/>
      <c r="O140" s="301"/>
      <c r="P140" s="301"/>
      <c r="BG140" s="497"/>
      <c r="BH140" s="497"/>
      <c r="BI140" s="497"/>
      <c r="BJ140" s="497"/>
      <c r="BK140" s="497"/>
      <c r="BL140" s="497"/>
      <c r="BM140" s="497"/>
      <c r="BN140" s="497"/>
    </row>
    <row r="141" spans="1:66" ht="12.95" customHeight="1">
      <c r="A141" s="300"/>
      <c r="B141" s="912" t="s">
        <v>690</v>
      </c>
      <c r="C141" s="332"/>
      <c r="D141" s="921"/>
      <c r="E141" s="913">
        <f>'36-Mo-Fin-Pr'!C65/'36-Mo-Fin-Pr'!P134</f>
        <v>8.5869664821497563E-2</v>
      </c>
      <c r="F141" s="913">
        <f>'36-Mo-Fin-Pr'!D65/'36-Mo-Fin-Pr'!P215</f>
        <v>8.9407335968608267E-2</v>
      </c>
      <c r="G141" s="914">
        <f>'36-Mo-Fin-Pr'!E65/'36-Mo-Fin-Pr'!P296</f>
        <v>8.9224633262280292E-2</v>
      </c>
      <c r="H141" s="301"/>
      <c r="I141" s="301"/>
      <c r="J141" s="301"/>
      <c r="K141" s="301"/>
      <c r="L141" s="301"/>
      <c r="M141" s="303"/>
      <c r="N141" s="303"/>
      <c r="O141" s="301"/>
      <c r="P141" s="301"/>
      <c r="BG141" s="497"/>
      <c r="BH141" s="497"/>
      <c r="BI141" s="497"/>
      <c r="BJ141" s="497"/>
      <c r="BK141" s="497"/>
      <c r="BL141" s="497"/>
      <c r="BM141" s="497"/>
      <c r="BN141" s="497"/>
    </row>
    <row r="142" spans="1:66" ht="12.95" customHeight="1">
      <c r="A142" s="300"/>
      <c r="B142" s="1562" t="s">
        <v>146</v>
      </c>
      <c r="C142" s="1563"/>
      <c r="D142" s="1563"/>
      <c r="E142" s="923"/>
      <c r="F142" s="923"/>
      <c r="G142" s="924"/>
      <c r="H142" s="301"/>
      <c r="I142" s="301"/>
      <c r="J142" s="301"/>
      <c r="K142" s="301"/>
      <c r="L142" s="301"/>
      <c r="M142" s="303"/>
      <c r="N142" s="303"/>
      <c r="O142" s="301"/>
      <c r="P142" s="301"/>
      <c r="BG142" s="497"/>
      <c r="BH142" s="497"/>
      <c r="BI142" s="497"/>
      <c r="BJ142" s="497"/>
      <c r="BK142" s="497"/>
      <c r="BL142" s="497"/>
      <c r="BM142" s="497"/>
      <c r="BN142" s="497"/>
    </row>
    <row r="143" spans="1:66" ht="12.95" customHeight="1">
      <c r="A143" s="300"/>
      <c r="B143" s="1562"/>
      <c r="C143" s="1563"/>
      <c r="D143" s="1563"/>
      <c r="E143" s="925"/>
      <c r="F143" s="925"/>
      <c r="G143" s="917"/>
      <c r="H143" s="301"/>
      <c r="I143" s="301"/>
      <c r="J143" s="301"/>
      <c r="K143" s="301"/>
      <c r="L143" s="301"/>
      <c r="M143" s="303"/>
      <c r="N143" s="303"/>
      <c r="O143" s="301"/>
      <c r="P143" s="301"/>
      <c r="BG143" s="497"/>
      <c r="BH143" s="497"/>
      <c r="BI143" s="497"/>
      <c r="BJ143" s="497"/>
      <c r="BK143" s="497"/>
      <c r="BL143" s="497"/>
      <c r="BM143" s="497"/>
      <c r="BN143" s="497"/>
    </row>
    <row r="144" spans="1:66" ht="12.95" customHeight="1">
      <c r="A144" s="300"/>
      <c r="B144" s="926"/>
      <c r="C144" s="925"/>
      <c r="D144" s="925"/>
      <c r="E144" s="925"/>
      <c r="F144" s="925"/>
      <c r="G144" s="917"/>
      <c r="H144" s="301"/>
      <c r="I144" s="301"/>
      <c r="J144" s="301"/>
      <c r="K144" s="301"/>
      <c r="L144" s="301"/>
      <c r="M144" s="303"/>
      <c r="N144" s="303"/>
      <c r="O144" s="301"/>
      <c r="P144" s="301"/>
      <c r="BG144" s="497"/>
      <c r="BH144" s="497"/>
      <c r="BI144" s="497"/>
      <c r="BJ144" s="497"/>
      <c r="BK144" s="497"/>
      <c r="BL144" s="497"/>
      <c r="BM144" s="497"/>
      <c r="BN144" s="497"/>
    </row>
    <row r="145" spans="1:66" ht="12.95" customHeight="1">
      <c r="A145" s="300"/>
      <c r="B145" s="922" t="s">
        <v>494</v>
      </c>
      <c r="C145" s="305"/>
      <c r="D145" s="921"/>
      <c r="E145" s="409"/>
      <c r="F145" s="409"/>
      <c r="G145" s="917"/>
      <c r="H145" s="301"/>
      <c r="I145" s="301"/>
      <c r="J145" s="301"/>
      <c r="K145" s="301"/>
      <c r="L145" s="301"/>
      <c r="M145" s="303"/>
      <c r="N145" s="303"/>
      <c r="O145" s="301"/>
      <c r="P145" s="301"/>
      <c r="BG145" s="497"/>
      <c r="BH145" s="497"/>
      <c r="BI145" s="497"/>
      <c r="BJ145" s="497"/>
      <c r="BK145" s="497"/>
      <c r="BL145" s="497"/>
      <c r="BM145" s="497"/>
      <c r="BN145" s="497"/>
    </row>
    <row r="146" spans="1:66" ht="12.95" customHeight="1">
      <c r="A146" s="300"/>
      <c r="B146" s="912" t="s">
        <v>691</v>
      </c>
      <c r="C146" s="332"/>
      <c r="D146" s="921"/>
      <c r="E146" s="913">
        <f>'36-Mo-Fin-Pr'!C67/'36-Mo-Fin-Pr'!P134</f>
        <v>8.883421277366832E-2</v>
      </c>
      <c r="F146" s="913">
        <f>'36-Mo-Fin-Pr'!D67/'36-Mo-Fin-Pr'!P215</f>
        <v>9.2494017805619749E-2</v>
      </c>
      <c r="G146" s="914">
        <f>'36-Mo-Fin-Pr'!E67/'36-Mo-Fin-Pr'!P296</f>
        <v>9.2305007505859016E-2</v>
      </c>
      <c r="H146" s="301"/>
      <c r="I146" s="301"/>
      <c r="J146" s="301"/>
      <c r="K146" s="301"/>
      <c r="L146" s="301"/>
      <c r="M146" s="303"/>
      <c r="N146" s="303"/>
      <c r="O146" s="301"/>
      <c r="P146" s="301"/>
      <c r="BG146" s="497"/>
      <c r="BH146" s="497"/>
      <c r="BI146" s="497"/>
      <c r="BJ146" s="497"/>
      <c r="BK146" s="497"/>
      <c r="BL146" s="497"/>
      <c r="BM146" s="497"/>
      <c r="BN146" s="497"/>
    </row>
    <row r="147" spans="1:66" ht="12.95" customHeight="1">
      <c r="A147" s="300"/>
      <c r="B147" s="1564" t="s">
        <v>145</v>
      </c>
      <c r="C147" s="1565"/>
      <c r="D147" s="1565"/>
      <c r="E147" s="913"/>
      <c r="F147" s="913"/>
      <c r="G147" s="914"/>
      <c r="H147" s="301"/>
      <c r="I147" s="301"/>
      <c r="J147" s="301"/>
      <c r="K147" s="301"/>
      <c r="L147" s="301"/>
      <c r="M147" s="303"/>
      <c r="N147" s="303"/>
      <c r="O147" s="301"/>
      <c r="P147" s="301"/>
      <c r="BG147" s="497"/>
      <c r="BH147" s="497"/>
      <c r="BI147" s="497"/>
      <c r="BJ147" s="497"/>
      <c r="BK147" s="497"/>
      <c r="BL147" s="497"/>
      <c r="BM147" s="497"/>
      <c r="BN147" s="497"/>
    </row>
    <row r="148" spans="1:66" ht="12.95" customHeight="1">
      <c r="B148" s="1564"/>
      <c r="C148" s="1565"/>
      <c r="D148" s="1565"/>
      <c r="E148" s="927"/>
      <c r="F148" s="927"/>
      <c r="G148" s="928"/>
      <c r="H148" s="929"/>
      <c r="I148" s="301"/>
      <c r="J148" s="301"/>
      <c r="K148" s="301"/>
      <c r="L148" s="301"/>
      <c r="M148" s="303"/>
      <c r="N148" s="303"/>
      <c r="O148" s="301"/>
      <c r="P148" s="301"/>
      <c r="BG148" s="497"/>
      <c r="BH148" s="497"/>
      <c r="BI148" s="497"/>
      <c r="BJ148" s="497"/>
      <c r="BK148" s="497"/>
      <c r="BL148" s="497"/>
      <c r="BM148" s="497"/>
      <c r="BN148" s="497"/>
    </row>
    <row r="149" spans="1:66" ht="12.95" customHeight="1">
      <c r="A149" s="362"/>
      <c r="B149" s="1564"/>
      <c r="C149" s="1565"/>
      <c r="D149" s="1565"/>
      <c r="E149" s="927"/>
      <c r="F149" s="927"/>
      <c r="G149" s="928"/>
      <c r="H149" s="929"/>
      <c r="I149" s="301"/>
      <c r="J149" s="301"/>
      <c r="K149" s="301"/>
      <c r="L149" s="301"/>
      <c r="M149" s="303"/>
      <c r="N149" s="303"/>
      <c r="O149" s="301"/>
      <c r="P149" s="301"/>
      <c r="BG149" s="497"/>
      <c r="BH149" s="497"/>
      <c r="BI149" s="497"/>
      <c r="BJ149" s="497"/>
      <c r="BK149" s="497"/>
      <c r="BL149" s="497"/>
      <c r="BM149" s="497"/>
      <c r="BN149" s="497"/>
    </row>
    <row r="150" spans="1:66" ht="12.95" customHeight="1" thickBot="1">
      <c r="A150" s="362"/>
      <c r="B150" s="930"/>
      <c r="C150" s="931"/>
      <c r="D150" s="932"/>
      <c r="E150" s="933"/>
      <c r="F150" s="933"/>
      <c r="G150" s="934"/>
      <c r="H150" s="929"/>
      <c r="I150" s="301"/>
      <c r="J150" s="301"/>
      <c r="K150" s="301"/>
      <c r="L150" s="301"/>
      <c r="M150" s="303"/>
      <c r="N150" s="303"/>
      <c r="O150" s="301"/>
      <c r="P150" s="301"/>
      <c r="BG150" s="497"/>
      <c r="BH150" s="497"/>
      <c r="BI150" s="497"/>
      <c r="BJ150" s="497"/>
      <c r="BK150" s="497"/>
      <c r="BL150" s="497"/>
      <c r="BM150" s="497"/>
      <c r="BN150" s="497"/>
    </row>
    <row r="151" spans="1:66" ht="12.95" customHeight="1">
      <c r="A151" s="362"/>
      <c r="B151" s="300"/>
      <c r="C151" s="305"/>
      <c r="D151" s="899"/>
      <c r="E151" s="391"/>
      <c r="F151" s="391"/>
      <c r="G151" s="391"/>
      <c r="H151" s="929"/>
      <c r="I151" s="301"/>
      <c r="J151" s="301"/>
      <c r="K151" s="301"/>
      <c r="L151" s="301"/>
      <c r="M151" s="303"/>
      <c r="N151" s="303"/>
      <c r="O151" s="301"/>
      <c r="P151" s="301"/>
      <c r="BG151" s="497"/>
      <c r="BH151" s="497"/>
      <c r="BI151" s="497"/>
      <c r="BJ151" s="497"/>
      <c r="BK151" s="497"/>
      <c r="BL151" s="497"/>
      <c r="BM151" s="497"/>
      <c r="BN151" s="497"/>
    </row>
    <row r="152" spans="1:66" ht="12.95" customHeight="1">
      <c r="A152" s="362"/>
      <c r="H152" s="929"/>
      <c r="I152" s="301"/>
      <c r="J152" s="301"/>
      <c r="K152" s="301"/>
      <c r="L152" s="301"/>
      <c r="M152" s="303"/>
      <c r="N152" s="303"/>
      <c r="O152" s="301"/>
      <c r="P152" s="301"/>
      <c r="BG152" s="497"/>
      <c r="BH152" s="497"/>
      <c r="BI152" s="497"/>
      <c r="BJ152" s="497"/>
      <c r="BK152" s="497"/>
      <c r="BL152" s="497"/>
      <c r="BM152" s="497"/>
      <c r="BN152" s="497"/>
    </row>
    <row r="153" spans="1:66" ht="12.95" customHeight="1" thickBot="1">
      <c r="A153" s="300"/>
      <c r="H153" s="929"/>
      <c r="I153" s="301"/>
      <c r="J153" s="301"/>
      <c r="K153" s="301"/>
      <c r="L153" s="301"/>
      <c r="M153" s="303"/>
      <c r="N153" s="303"/>
      <c r="O153" s="301"/>
      <c r="P153" s="301"/>
      <c r="BG153" s="497"/>
      <c r="BH153" s="497"/>
      <c r="BI153" s="497"/>
      <c r="BJ153" s="497"/>
      <c r="BK153" s="497"/>
      <c r="BL153" s="497"/>
      <c r="BM153" s="497"/>
      <c r="BN153" s="497"/>
    </row>
    <row r="154" spans="1:66" ht="12.95" customHeight="1">
      <c r="B154" s="935" t="s">
        <v>496</v>
      </c>
      <c r="C154" s="936"/>
      <c r="D154" s="937"/>
      <c r="E154" s="938" t="s">
        <v>35</v>
      </c>
      <c r="F154" s="938" t="s">
        <v>34</v>
      </c>
      <c r="G154" s="939" t="s">
        <v>33</v>
      </c>
      <c r="H154" s="929"/>
      <c r="I154" s="301"/>
      <c r="J154" s="301"/>
      <c r="K154" s="301"/>
      <c r="L154" s="301"/>
      <c r="M154" s="303"/>
      <c r="N154" s="303"/>
      <c r="O154" s="301"/>
      <c r="P154" s="301"/>
      <c r="BG154" s="497"/>
      <c r="BH154" s="497"/>
      <c r="BI154" s="497"/>
      <c r="BJ154" s="497"/>
      <c r="BK154" s="497"/>
      <c r="BL154" s="497"/>
      <c r="BM154" s="497"/>
      <c r="BN154" s="497"/>
    </row>
    <row r="155" spans="1:66" ht="12.95" customHeight="1">
      <c r="A155" s="300"/>
      <c r="B155" s="940" t="s">
        <v>692</v>
      </c>
      <c r="C155" s="332"/>
      <c r="D155" s="416"/>
      <c r="E155" s="913">
        <f>'36-Mo-Fin-Pr'!P149/'36-Mo-Fin-Pr'!P134</f>
        <v>0.47372140143215047</v>
      </c>
      <c r="F155" s="913">
        <f>'36-Mo-Fin-Pr'!P230/'36-Mo-Fin-Pr'!P215</f>
        <v>0.45191428485311269</v>
      </c>
      <c r="G155" s="941">
        <f>'36-Mo-Fin-Pr'!P311/'36-Mo-Fin-Pr'!P296</f>
        <v>0.44786834292900762</v>
      </c>
      <c r="H155" s="929"/>
      <c r="I155" s="301"/>
      <c r="J155" s="301"/>
      <c r="K155" s="301"/>
      <c r="L155" s="301"/>
      <c r="M155" s="303"/>
      <c r="N155" s="303"/>
      <c r="O155" s="301"/>
      <c r="P155" s="301"/>
      <c r="BG155" s="497"/>
      <c r="BH155" s="497"/>
      <c r="BI155" s="497"/>
      <c r="BJ155" s="497"/>
      <c r="BK155" s="497"/>
      <c r="BL155" s="497"/>
      <c r="BM155" s="497"/>
      <c r="BN155" s="497"/>
    </row>
    <row r="156" spans="1:66" ht="12.95" customHeight="1">
      <c r="A156" s="300"/>
      <c r="B156" s="1566" t="s">
        <v>144</v>
      </c>
      <c r="C156" s="1561"/>
      <c r="D156" s="1561"/>
      <c r="E156" s="942"/>
      <c r="F156" s="942"/>
      <c r="G156" s="943"/>
      <c r="H156" s="929"/>
      <c r="I156" s="301"/>
      <c r="J156" s="301"/>
      <c r="K156" s="301"/>
      <c r="L156" s="301"/>
      <c r="M156" s="303"/>
      <c r="N156" s="303"/>
      <c r="O156" s="301"/>
      <c r="P156" s="301"/>
      <c r="BG156" s="497"/>
      <c r="BH156" s="497"/>
      <c r="BI156" s="497"/>
      <c r="BJ156" s="497"/>
      <c r="BK156" s="497"/>
      <c r="BL156" s="497"/>
      <c r="BM156" s="497"/>
      <c r="BN156" s="497"/>
    </row>
    <row r="157" spans="1:66" ht="12.95" customHeight="1" thickBot="1">
      <c r="A157" s="362"/>
      <c r="B157" s="1567"/>
      <c r="C157" s="1568"/>
      <c r="D157" s="1568"/>
      <c r="E157" s="944"/>
      <c r="F157" s="944"/>
      <c r="G157" s="945"/>
      <c r="H157" s="929"/>
      <c r="I157" s="301"/>
      <c r="J157" s="301"/>
      <c r="K157" s="301"/>
      <c r="L157" s="301"/>
      <c r="M157" s="303"/>
      <c r="N157" s="303"/>
      <c r="O157" s="301"/>
      <c r="P157" s="301"/>
      <c r="BG157" s="497"/>
      <c r="BH157" s="497"/>
      <c r="BI157" s="497"/>
      <c r="BJ157" s="497"/>
      <c r="BK157" s="497"/>
      <c r="BL157" s="497"/>
      <c r="BM157" s="497"/>
      <c r="BN157" s="497"/>
    </row>
    <row r="158" spans="1:66" ht="12.95" customHeight="1">
      <c r="A158" s="362"/>
      <c r="B158" s="301"/>
      <c r="C158" s="929"/>
      <c r="D158" s="929"/>
      <c r="E158" s="929"/>
      <c r="F158" s="929"/>
      <c r="G158" s="301"/>
      <c r="H158" s="301"/>
      <c r="I158" s="301"/>
      <c r="J158" s="301"/>
      <c r="K158" s="301"/>
      <c r="L158" s="301"/>
      <c r="M158" s="303"/>
      <c r="N158" s="303"/>
      <c r="O158" s="301"/>
      <c r="P158" s="301"/>
      <c r="BG158" s="497"/>
      <c r="BH158" s="497"/>
      <c r="BI158" s="497"/>
      <c r="BJ158" s="497"/>
      <c r="BK158" s="497"/>
      <c r="BL158" s="497"/>
      <c r="BM158" s="497"/>
      <c r="BN158" s="497"/>
    </row>
    <row r="159" spans="1:66" ht="12.95" customHeight="1">
      <c r="A159" s="300"/>
      <c r="B159" s="301"/>
      <c r="C159" s="301"/>
      <c r="D159" s="301"/>
      <c r="E159" s="301"/>
      <c r="F159" s="301"/>
      <c r="G159" s="301"/>
      <c r="H159" s="301"/>
      <c r="I159" s="301"/>
      <c r="J159" s="301"/>
      <c r="K159" s="301"/>
      <c r="L159" s="301"/>
      <c r="M159" s="303"/>
      <c r="N159" s="303"/>
      <c r="O159" s="301"/>
      <c r="P159" s="301"/>
      <c r="BG159" s="497"/>
      <c r="BH159" s="497"/>
      <c r="BI159" s="497"/>
      <c r="BJ159" s="497"/>
      <c r="BK159" s="497"/>
      <c r="BL159" s="497"/>
      <c r="BM159" s="497"/>
      <c r="BN159" s="497"/>
    </row>
    <row r="160" spans="1:66" ht="12.95" customHeight="1">
      <c r="B160" s="301"/>
      <c r="C160" s="301"/>
      <c r="D160" s="301"/>
      <c r="E160" s="301"/>
      <c r="F160" s="301"/>
      <c r="G160" s="301"/>
      <c r="H160" s="301"/>
      <c r="I160" s="301"/>
      <c r="J160" s="301"/>
      <c r="K160" s="301"/>
      <c r="L160" s="301"/>
      <c r="M160" s="303"/>
      <c r="N160" s="303"/>
      <c r="O160" s="301"/>
      <c r="P160" s="301"/>
      <c r="BG160" s="497"/>
      <c r="BH160" s="497"/>
      <c r="BI160" s="497"/>
      <c r="BJ160" s="497"/>
      <c r="BK160" s="497"/>
      <c r="BL160" s="497"/>
      <c r="BM160" s="497"/>
      <c r="BN160" s="497"/>
    </row>
    <row r="161" spans="1:66" ht="12.95" customHeight="1">
      <c r="A161" s="362"/>
      <c r="B161" s="300"/>
      <c r="C161" s="300"/>
      <c r="D161" s="300"/>
      <c r="E161" s="300"/>
      <c r="F161" s="300"/>
      <c r="G161" s="300"/>
      <c r="H161" s="300"/>
      <c r="I161" s="300"/>
      <c r="J161" s="301"/>
      <c r="K161" s="301"/>
      <c r="L161" s="301"/>
      <c r="M161" s="301"/>
      <c r="N161" s="301"/>
      <c r="O161" s="301"/>
      <c r="P161" s="301"/>
      <c r="Q161" s="301"/>
      <c r="R161" s="301"/>
      <c r="S161" s="301"/>
      <c r="T161" s="301"/>
      <c r="U161" s="303"/>
      <c r="V161" s="303"/>
      <c r="W161" s="301"/>
      <c r="X161" s="301"/>
    </row>
    <row r="162" spans="1:66" ht="12.95" customHeight="1">
      <c r="A162" s="362"/>
      <c r="B162" s="300"/>
      <c r="C162" s="300"/>
      <c r="D162" s="300"/>
      <c r="E162" s="300"/>
      <c r="F162" s="300"/>
      <c r="G162" s="300"/>
      <c r="H162" s="300"/>
      <c r="I162" s="300"/>
      <c r="J162" s="301"/>
      <c r="K162" s="301"/>
      <c r="L162" s="301"/>
      <c r="M162" s="301"/>
      <c r="N162" s="301"/>
      <c r="O162" s="301"/>
      <c r="P162" s="301"/>
      <c r="Q162" s="301"/>
      <c r="R162" s="301"/>
      <c r="S162" s="301"/>
      <c r="T162" s="301"/>
      <c r="U162" s="303"/>
      <c r="V162" s="303"/>
      <c r="W162" s="301"/>
      <c r="X162" s="301"/>
    </row>
    <row r="163" spans="1:66" ht="12.95" customHeight="1">
      <c r="A163" s="362"/>
      <c r="B163" s="300"/>
      <c r="C163" s="300"/>
      <c r="D163" s="300"/>
      <c r="E163" s="300"/>
      <c r="F163" s="300"/>
      <c r="G163" s="300"/>
      <c r="H163" s="300"/>
      <c r="I163" s="300"/>
      <c r="J163" s="301"/>
      <c r="K163" s="301"/>
      <c r="L163" s="301"/>
      <c r="M163" s="301"/>
      <c r="N163" s="301"/>
      <c r="O163" s="301"/>
      <c r="P163" s="301"/>
      <c r="Q163" s="301"/>
      <c r="R163" s="301"/>
      <c r="S163" s="301"/>
      <c r="T163" s="301"/>
      <c r="U163" s="303"/>
      <c r="V163" s="303"/>
      <c r="W163" s="301"/>
      <c r="X163" s="301"/>
    </row>
    <row r="164" spans="1:66" ht="12.95" customHeight="1">
      <c r="A164" s="362"/>
      <c r="B164" s="300"/>
      <c r="C164" s="300"/>
      <c r="D164" s="300"/>
      <c r="E164" s="300"/>
      <c r="F164" s="300"/>
      <c r="G164" s="300"/>
      <c r="H164" s="300"/>
      <c r="I164" s="300"/>
      <c r="J164" s="301"/>
      <c r="K164" s="301"/>
      <c r="L164" s="301"/>
      <c r="M164" s="301"/>
      <c r="N164" s="301"/>
      <c r="O164" s="301"/>
      <c r="P164" s="301"/>
      <c r="Q164" s="301"/>
      <c r="R164" s="301"/>
      <c r="S164" s="301"/>
      <c r="T164" s="301"/>
      <c r="U164" s="303"/>
      <c r="V164" s="303"/>
      <c r="W164" s="301"/>
      <c r="X164" s="301"/>
    </row>
    <row r="165" spans="1:66" ht="12.95" customHeight="1">
      <c r="A165" s="391"/>
      <c r="B165" s="416"/>
      <c r="C165" s="299"/>
      <c r="D165" s="946"/>
      <c r="E165" s="409"/>
      <c r="F165" s="947"/>
      <c r="G165" s="409"/>
      <c r="H165" s="409"/>
      <c r="I165" s="299"/>
      <c r="J165" s="303"/>
      <c r="K165" s="948"/>
      <c r="L165" s="948"/>
      <c r="M165" s="303"/>
      <c r="N165" s="303"/>
      <c r="O165" s="303"/>
      <c r="P165" s="948"/>
      <c r="Q165" s="303"/>
      <c r="R165" s="303"/>
      <c r="S165" s="303"/>
      <c r="T165" s="303"/>
      <c r="U165" s="303"/>
      <c r="V165" s="949"/>
      <c r="W165" s="949"/>
      <c r="X165" s="301"/>
    </row>
    <row r="166" spans="1:66" ht="12.95" customHeight="1">
      <c r="A166" s="391"/>
      <c r="B166" s="416"/>
      <c r="C166" s="299"/>
      <c r="D166" s="946"/>
      <c r="E166" s="409"/>
      <c r="F166" s="947"/>
      <c r="G166" s="409"/>
      <c r="H166" s="409"/>
      <c r="I166" s="299"/>
      <c r="J166" s="303"/>
      <c r="K166" s="948"/>
      <c r="L166" s="948"/>
      <c r="M166" s="303"/>
      <c r="N166" s="303"/>
      <c r="O166" s="303"/>
      <c r="P166" s="303"/>
      <c r="Q166" s="303"/>
      <c r="R166" s="303"/>
      <c r="S166" s="303"/>
      <c r="T166" s="303"/>
      <c r="U166" s="303"/>
      <c r="V166" s="949"/>
      <c r="W166" s="949"/>
      <c r="X166" s="301"/>
    </row>
    <row r="167" spans="1:66" ht="12.95" customHeight="1">
      <c r="A167" s="391"/>
      <c r="B167" s="416"/>
      <c r="C167" s="299"/>
      <c r="D167" s="946"/>
      <c r="E167" s="409"/>
      <c r="F167" s="947"/>
      <c r="G167" s="409"/>
      <c r="H167" s="409"/>
      <c r="I167" s="299"/>
      <c r="J167" s="303"/>
      <c r="K167" s="948"/>
      <c r="L167" s="948"/>
      <c r="M167" s="303"/>
      <c r="N167" s="303"/>
      <c r="O167" s="303"/>
      <c r="P167" s="303"/>
      <c r="Q167" s="303"/>
      <c r="R167" s="303"/>
      <c r="S167" s="303"/>
      <c r="T167" s="303"/>
      <c r="U167" s="303"/>
      <c r="V167" s="949"/>
      <c r="W167" s="949"/>
      <c r="X167" s="301"/>
    </row>
    <row r="168" spans="1:66" ht="12.95" customHeight="1">
      <c r="A168" s="391"/>
      <c r="B168" s="416"/>
      <c r="C168" s="299"/>
      <c r="D168" s="946"/>
      <c r="E168" s="409"/>
      <c r="F168" s="947"/>
      <c r="G168" s="409"/>
      <c r="H168" s="409"/>
      <c r="I168" s="299"/>
      <c r="J168" s="303"/>
      <c r="K168" s="303"/>
      <c r="L168" s="299"/>
      <c r="M168" s="303"/>
      <c r="N168" s="303"/>
      <c r="O168" s="303"/>
      <c r="P168" s="303"/>
      <c r="Q168" s="303"/>
      <c r="R168" s="303"/>
      <c r="S168" s="303"/>
      <c r="T168" s="303"/>
      <c r="U168" s="303"/>
      <c r="V168" s="949"/>
      <c r="W168" s="949"/>
      <c r="X168" s="301"/>
    </row>
    <row r="169" spans="1:66" ht="12.95" customHeight="1">
      <c r="A169" s="391"/>
      <c r="B169" s="303"/>
      <c r="C169" s="303"/>
      <c r="D169" s="332"/>
      <c r="E169" s="306"/>
      <c r="F169" s="391"/>
      <c r="G169" s="391"/>
      <c r="H169" s="391"/>
      <c r="I169" s="303"/>
      <c r="J169" s="303"/>
      <c r="K169" s="303"/>
      <c r="L169" s="303"/>
      <c r="M169" s="303"/>
      <c r="N169" s="303"/>
      <c r="O169" s="303"/>
      <c r="P169" s="303"/>
      <c r="Q169" s="303"/>
      <c r="R169" s="303"/>
      <c r="S169" s="303"/>
      <c r="T169" s="303"/>
      <c r="U169" s="303"/>
      <c r="V169" s="949"/>
      <c r="W169" s="949"/>
      <c r="X169" s="301"/>
    </row>
    <row r="170" spans="1:66" ht="15.75">
      <c r="A170" s="950">
        <v>4</v>
      </c>
      <c r="B170" s="951" t="s">
        <v>142</v>
      </c>
      <c r="C170" s="951"/>
      <c r="D170" s="303"/>
      <c r="E170" s="332"/>
      <c r="F170" s="306"/>
      <c r="G170" s="391"/>
      <c r="H170" s="391"/>
      <c r="I170" s="391"/>
      <c r="J170" s="303"/>
      <c r="K170" s="303"/>
      <c r="L170" s="303"/>
      <c r="M170" s="303"/>
      <c r="N170" s="303"/>
      <c r="O170" s="303"/>
      <c r="P170" s="303"/>
      <c r="Q170" s="303"/>
      <c r="R170" s="303"/>
      <c r="S170" s="303"/>
      <c r="T170" s="303"/>
      <c r="U170" s="303"/>
      <c r="V170" s="949"/>
      <c r="W170" s="949"/>
      <c r="X170" s="301"/>
    </row>
    <row r="171" spans="1:66" ht="12.95" customHeight="1" thickBot="1">
      <c r="A171" s="391"/>
      <c r="B171" s="391"/>
      <c r="C171" s="303"/>
      <c r="D171" s="303"/>
      <c r="E171" s="332"/>
      <c r="F171" s="306"/>
      <c r="G171" s="362"/>
      <c r="H171" s="391"/>
      <c r="I171" s="391"/>
      <c r="J171" s="303"/>
      <c r="K171" s="303"/>
      <c r="L171" s="303"/>
      <c r="M171" s="774"/>
      <c r="N171" s="303"/>
      <c r="O171" s="303"/>
      <c r="P171" s="303"/>
      <c r="Q171" s="303"/>
      <c r="R171" s="303"/>
      <c r="S171" s="303"/>
      <c r="T171" s="303"/>
      <c r="U171" s="303"/>
      <c r="V171" s="949"/>
      <c r="W171" s="949"/>
      <c r="X171" s="301"/>
    </row>
    <row r="172" spans="1:66" ht="12.95" customHeight="1" thickBot="1">
      <c r="A172" s="391"/>
      <c r="B172" s="303"/>
      <c r="C172" s="952"/>
      <c r="D172" s="953" t="s">
        <v>35</v>
      </c>
      <c r="E172" s="953" t="s">
        <v>34</v>
      </c>
      <c r="F172" s="953" t="s">
        <v>33</v>
      </c>
      <c r="G172" s="954" t="s">
        <v>94</v>
      </c>
      <c r="H172" s="303"/>
      <c r="I172" s="955"/>
      <c r="J172" s="303"/>
      <c r="K172" s="303"/>
      <c r="L172" s="303"/>
      <c r="M172" s="303"/>
      <c r="N172" s="303"/>
      <c r="O172" s="303"/>
      <c r="P172" s="303"/>
      <c r="Q172" s="303"/>
      <c r="R172" s="303"/>
      <c r="S172" s="303"/>
      <c r="T172" s="303"/>
      <c r="U172" s="303"/>
      <c r="V172" s="949"/>
      <c r="W172" s="949"/>
      <c r="X172" s="301"/>
    </row>
    <row r="173" spans="1:66" ht="12.95" customHeight="1" thickTop="1">
      <c r="A173" s="391"/>
      <c r="B173" s="303"/>
      <c r="C173" s="956" t="s">
        <v>113</v>
      </c>
      <c r="D173" s="957">
        <f>'36-Mo-Fin-Pr'!P134</f>
        <v>978226.71341056062</v>
      </c>
      <c r="E173" s="957">
        <f>'36-Mo-Fin-Pr'!P215</f>
        <v>1033472.2425063921</v>
      </c>
      <c r="F173" s="957">
        <f>'36-Mo-Fin-Pr'!P296</f>
        <v>1139147.299168203</v>
      </c>
      <c r="G173" s="958">
        <f>SUM(D173:F173)</f>
        <v>3150846.2550851558</v>
      </c>
      <c r="H173" s="303"/>
      <c r="I173" s="955"/>
      <c r="J173" s="303"/>
      <c r="K173" s="303"/>
      <c r="L173" s="303"/>
      <c r="M173" s="303"/>
      <c r="N173" s="303"/>
      <c r="O173" s="303"/>
      <c r="P173" s="949"/>
      <c r="Q173" s="949"/>
      <c r="R173" s="301"/>
      <c r="BI173" s="497"/>
      <c r="BJ173" s="497"/>
      <c r="BK173" s="497"/>
      <c r="BL173" s="497"/>
      <c r="BM173" s="497"/>
      <c r="BN173" s="497"/>
    </row>
    <row r="174" spans="1:66" ht="12.95" customHeight="1">
      <c r="B174" s="303"/>
      <c r="C174" s="959" t="s">
        <v>112</v>
      </c>
      <c r="D174" s="960">
        <f>'36-Mo-Fin-Pr'!P135</f>
        <v>234263.53563608901</v>
      </c>
      <c r="E174" s="960">
        <f>'36-Mo-Fin-Pr'!P216</f>
        <v>247860.12493931886</v>
      </c>
      <c r="F174" s="960">
        <f>'36-Mo-Fin-Pr'!P297</f>
        <v>279454.03775843122</v>
      </c>
      <c r="G174" s="961">
        <f>SUM(D174:F174)</f>
        <v>761577.69833383919</v>
      </c>
      <c r="H174" s="303"/>
      <c r="I174" s="955"/>
      <c r="J174" s="303"/>
      <c r="K174" s="303"/>
      <c r="L174" s="303"/>
      <c r="M174" s="303"/>
      <c r="N174" s="303"/>
      <c r="O174" s="303"/>
      <c r="P174" s="303"/>
      <c r="Q174" s="301"/>
      <c r="R174" s="301"/>
      <c r="BI174" s="497"/>
      <c r="BJ174" s="497"/>
      <c r="BK174" s="497"/>
      <c r="BL174" s="497"/>
      <c r="BM174" s="497"/>
      <c r="BN174" s="497"/>
    </row>
    <row r="175" spans="1:66" ht="12.95" customHeight="1" thickBot="1">
      <c r="A175" s="962"/>
      <c r="B175" s="303"/>
      <c r="C175" s="963" t="s">
        <v>141</v>
      </c>
      <c r="D175" s="964">
        <f>'36-Mo-Fin-Pr'!P136</f>
        <v>743963.1777744717</v>
      </c>
      <c r="E175" s="964">
        <f>'36-Mo-Fin-Pr'!P217</f>
        <v>785612.11756707297</v>
      </c>
      <c r="F175" s="964">
        <f>'36-Mo-Fin-Pr'!P298</f>
        <v>859693.26140977186</v>
      </c>
      <c r="G175" s="965">
        <f>SUM(D175:F175)</f>
        <v>2389268.5567513164</v>
      </c>
      <c r="H175" s="966"/>
      <c r="I175" s="955"/>
      <c r="J175" s="303"/>
      <c r="K175" s="303"/>
      <c r="L175" s="303"/>
      <c r="M175" s="303"/>
      <c r="N175" s="303"/>
      <c r="O175" s="303"/>
      <c r="P175" s="303"/>
      <c r="Q175" s="301"/>
      <c r="R175" s="301"/>
      <c r="BI175" s="497"/>
      <c r="BJ175" s="497"/>
      <c r="BK175" s="497"/>
      <c r="BL175" s="497"/>
      <c r="BM175" s="497"/>
      <c r="BN175" s="497"/>
    </row>
    <row r="176" spans="1:66" ht="12.95" customHeight="1" thickBot="1">
      <c r="A176" s="962"/>
      <c r="B176" s="966"/>
      <c r="J176" s="303"/>
      <c r="K176" s="303"/>
      <c r="L176" s="303"/>
      <c r="M176" s="303"/>
      <c r="N176" s="303"/>
      <c r="O176" s="303"/>
      <c r="P176" s="303"/>
      <c r="Q176" s="301"/>
      <c r="R176" s="301"/>
      <c r="BI176" s="497"/>
      <c r="BJ176" s="497"/>
      <c r="BK176" s="497"/>
      <c r="BL176" s="497"/>
      <c r="BM176" s="497"/>
      <c r="BN176" s="497"/>
    </row>
    <row r="177" spans="1:67" ht="12.95" customHeight="1" thickBot="1">
      <c r="A177" s="962"/>
      <c r="B177" s="298"/>
      <c r="D177" s="967"/>
      <c r="E177" s="968" t="s">
        <v>35</v>
      </c>
      <c r="F177" s="968" t="s">
        <v>34</v>
      </c>
      <c r="G177" s="968" t="s">
        <v>33</v>
      </c>
      <c r="H177" s="969" t="s">
        <v>94</v>
      </c>
      <c r="I177" s="298"/>
      <c r="J177" s="303"/>
      <c r="K177" s="303"/>
      <c r="L177" s="303"/>
      <c r="M177" s="303"/>
      <c r="N177" s="303"/>
      <c r="O177" s="303"/>
      <c r="P177" s="303"/>
      <c r="Q177" s="301"/>
      <c r="R177" s="301"/>
      <c r="BI177" s="497"/>
      <c r="BJ177" s="497"/>
      <c r="BK177" s="497"/>
      <c r="BL177" s="497"/>
      <c r="BM177" s="497"/>
      <c r="BN177" s="497"/>
    </row>
    <row r="178" spans="1:67" ht="12.95" customHeight="1" thickTop="1">
      <c r="B178" s="298"/>
      <c r="C178" s="970"/>
      <c r="D178" s="971" t="s">
        <v>106</v>
      </c>
      <c r="E178" s="972">
        <f>'36-Mo-Fin-Pr'!P149</f>
        <v>463406.9295952174</v>
      </c>
      <c r="F178" s="972">
        <f>'36-Mo-Fin-Pr'!P230</f>
        <v>467040.86938781885</v>
      </c>
      <c r="G178" s="972">
        <f>'36-Mo-Fin-Pr'!P311</f>
        <v>510188.01323051762</v>
      </c>
      <c r="H178" s="973">
        <f>SUM(E178:G178)</f>
        <v>1440635.812213554</v>
      </c>
      <c r="J178" s="303"/>
      <c r="K178" s="303"/>
      <c r="L178" s="303"/>
      <c r="M178" s="303"/>
      <c r="N178" s="303"/>
      <c r="O178" s="303"/>
      <c r="P178" s="303"/>
      <c r="Q178" s="303"/>
      <c r="R178" s="301"/>
      <c r="S178" s="301"/>
      <c r="BJ178" s="497"/>
      <c r="BK178" s="497"/>
      <c r="BL178" s="497"/>
      <c r="BM178" s="497"/>
      <c r="BN178" s="497"/>
    </row>
    <row r="179" spans="1:67" ht="12.95" customHeight="1" thickBot="1">
      <c r="B179" s="298"/>
      <c r="D179" s="974" t="s">
        <v>123</v>
      </c>
      <c r="E179" s="975">
        <f>'36-Mo-Fin-Pr'!P146</f>
        <v>280556.2481792543</v>
      </c>
      <c r="F179" s="975">
        <f>'36-Mo-Fin-Pr'!P227</f>
        <v>318571.24817925435</v>
      </c>
      <c r="G179" s="975">
        <f>'36-Mo-Fin-Pr'!P308</f>
        <v>349505.2481792543</v>
      </c>
      <c r="H179" s="976">
        <f>SUM(E179:G179)</f>
        <v>948632.74453776306</v>
      </c>
      <c r="J179" s="303"/>
      <c r="K179" s="303"/>
      <c r="L179" s="303"/>
      <c r="M179" s="303"/>
      <c r="N179" s="303"/>
      <c r="O179" s="303"/>
      <c r="P179" s="303"/>
      <c r="Q179" s="303"/>
      <c r="R179" s="301"/>
      <c r="S179" s="301"/>
      <c r="BJ179" s="497"/>
      <c r="BK179" s="497"/>
      <c r="BL179" s="497"/>
      <c r="BM179" s="497"/>
      <c r="BN179" s="497"/>
    </row>
    <row r="180" spans="1:67" ht="12.95" customHeight="1" thickBot="1">
      <c r="B180" s="298"/>
      <c r="J180" s="303"/>
      <c r="K180" s="303"/>
      <c r="L180" s="303"/>
      <c r="M180" s="303"/>
      <c r="N180" s="303"/>
      <c r="O180" s="303"/>
      <c r="P180" s="303"/>
      <c r="Q180" s="300"/>
      <c r="R180" s="300"/>
      <c r="S180" s="301"/>
      <c r="BJ180" s="497"/>
      <c r="BK180" s="497"/>
      <c r="BL180" s="497"/>
      <c r="BM180" s="497"/>
      <c r="BN180" s="497"/>
    </row>
    <row r="181" spans="1:67" ht="12.95" customHeight="1" thickBot="1">
      <c r="B181" s="303"/>
      <c r="E181" s="967"/>
      <c r="F181" s="953" t="s">
        <v>35</v>
      </c>
      <c r="G181" s="953" t="s">
        <v>34</v>
      </c>
      <c r="H181" s="953" t="s">
        <v>33</v>
      </c>
      <c r="I181" s="954" t="s">
        <v>94</v>
      </c>
      <c r="J181" s="303"/>
      <c r="K181" s="303"/>
      <c r="L181" s="303"/>
      <c r="M181" s="303"/>
      <c r="N181" s="303"/>
      <c r="O181" s="303"/>
      <c r="P181" s="303"/>
      <c r="Q181" s="300"/>
      <c r="R181" s="300"/>
      <c r="S181" s="301"/>
      <c r="BJ181" s="497"/>
      <c r="BK181" s="497"/>
      <c r="BL181" s="497"/>
      <c r="BM181" s="497"/>
      <c r="BN181" s="497"/>
    </row>
    <row r="182" spans="1:67" ht="12.95" customHeight="1" thickTop="1">
      <c r="B182" s="303"/>
      <c r="E182" s="977" t="s">
        <v>505</v>
      </c>
      <c r="F182" s="978">
        <f>'36-Mo-Fin-Pr'!C67</f>
        <v>86900</v>
      </c>
      <c r="G182" s="978">
        <f>'36-Mo-Fin-Pr'!D67</f>
        <v>95590</v>
      </c>
      <c r="H182" s="978">
        <f>'36-Mo-Fin-Pr'!E67</f>
        <v>105149</v>
      </c>
      <c r="I182" s="979">
        <f>SUM(F182:H182)</f>
        <v>287639</v>
      </c>
      <c r="J182" s="303"/>
      <c r="K182" s="303"/>
      <c r="L182" s="303"/>
      <c r="M182" s="303"/>
      <c r="N182" s="303"/>
      <c r="O182" s="303"/>
      <c r="P182" s="303"/>
      <c r="Q182" s="303"/>
      <c r="R182" s="301"/>
      <c r="S182" s="301"/>
      <c r="BJ182" s="497"/>
      <c r="BK182" s="497"/>
      <c r="BL182" s="497"/>
      <c r="BM182" s="497"/>
      <c r="BN182" s="497"/>
    </row>
    <row r="183" spans="1:67" ht="12.95" customHeight="1">
      <c r="B183" s="303"/>
      <c r="C183" s="970"/>
      <c r="D183" s="980"/>
      <c r="E183" s="981" t="s">
        <v>637</v>
      </c>
      <c r="F183" s="982">
        <f>'36-Mo-Fin-Pr'!C65</f>
        <v>84000</v>
      </c>
      <c r="G183" s="982">
        <f>'36-Mo-Fin-Pr'!D65</f>
        <v>92400</v>
      </c>
      <c r="H183" s="982">
        <f>'36-Mo-Fin-Pr'!E65</f>
        <v>101640</v>
      </c>
      <c r="I183" s="983">
        <f>SUM(F183:H183)</f>
        <v>278040</v>
      </c>
      <c r="J183" s="303"/>
      <c r="K183" s="303"/>
      <c r="L183" s="303"/>
      <c r="M183" s="303"/>
      <c r="N183" s="303"/>
      <c r="O183" s="303"/>
      <c r="P183" s="303"/>
      <c r="Q183" s="303"/>
      <c r="R183" s="301"/>
      <c r="S183" s="301"/>
      <c r="BJ183" s="497"/>
      <c r="BK183" s="497"/>
      <c r="BL183" s="497"/>
      <c r="BM183" s="497"/>
      <c r="BN183" s="497"/>
    </row>
    <row r="184" spans="1:67" ht="12.95" customHeight="1" thickBot="1">
      <c r="B184" s="303"/>
      <c r="E184" s="974" t="s">
        <v>140</v>
      </c>
      <c r="F184" s="984">
        <f>E179-F182-F183+'36-Mo-Fin-Pr'!P148</f>
        <v>117156.2481792543</v>
      </c>
      <c r="G184" s="984">
        <f>F179-G182-G183+'36-Mo-Fin-Pr'!P229</f>
        <v>144831.24817925435</v>
      </c>
      <c r="H184" s="984">
        <f>G179-H182-H183+'36-Mo-Fin-Pr'!P310</f>
        <v>155541.2481792543</v>
      </c>
      <c r="I184" s="985">
        <f>SUM(F184:H184)</f>
        <v>417528.74453776295</v>
      </c>
      <c r="J184" s="303"/>
      <c r="K184" s="303"/>
      <c r="L184" s="303"/>
      <c r="M184" s="303"/>
      <c r="N184" s="303"/>
      <c r="O184" s="303"/>
      <c r="P184" s="303"/>
      <c r="Q184" s="303"/>
      <c r="R184" s="301"/>
      <c r="S184" s="301"/>
      <c r="BJ184" s="497"/>
      <c r="BK184" s="497"/>
      <c r="BL184" s="497"/>
      <c r="BM184" s="497"/>
      <c r="BN184" s="497"/>
    </row>
    <row r="185" spans="1:67" ht="12.95" customHeight="1">
      <c r="B185" s="303"/>
      <c r="C185" s="303"/>
      <c r="D185" s="391"/>
      <c r="E185" s="303"/>
      <c r="F185" s="303"/>
      <c r="G185" s="303"/>
      <c r="H185" s="303"/>
      <c r="I185" s="303"/>
      <c r="J185" s="303"/>
      <c r="K185" s="303"/>
      <c r="L185" s="303"/>
      <c r="M185" s="303"/>
      <c r="N185" s="303"/>
      <c r="O185" s="303"/>
      <c r="P185" s="303"/>
      <c r="Q185" s="303"/>
      <c r="R185" s="301"/>
      <c r="S185" s="301"/>
      <c r="BJ185" s="497"/>
      <c r="BK185" s="497"/>
      <c r="BL185" s="497"/>
      <c r="BM185" s="497"/>
      <c r="BN185" s="497"/>
    </row>
    <row r="186" spans="1:67" ht="12.95" customHeight="1">
      <c r="B186" s="303"/>
      <c r="C186" s="303"/>
      <c r="D186" s="391"/>
      <c r="E186" s="303"/>
      <c r="F186" s="303"/>
      <c r="G186" s="303"/>
      <c r="H186" s="303"/>
      <c r="I186" s="303"/>
      <c r="J186" s="303"/>
      <c r="K186" s="303"/>
      <c r="L186" s="303"/>
      <c r="M186" s="303"/>
      <c r="N186" s="303"/>
      <c r="O186" s="303"/>
      <c r="P186" s="303"/>
      <c r="Q186" s="303"/>
      <c r="R186" s="301"/>
      <c r="S186" s="301"/>
      <c r="BJ186" s="497"/>
      <c r="BK186" s="497"/>
      <c r="BL186" s="497"/>
      <c r="BM186" s="497"/>
      <c r="BN186" s="497"/>
    </row>
    <row r="187" spans="1:67" ht="12.95" customHeight="1">
      <c r="B187" s="303"/>
      <c r="C187" s="303"/>
      <c r="D187" s="391"/>
      <c r="E187" s="303"/>
      <c r="F187" s="303"/>
      <c r="G187" s="303"/>
      <c r="H187" s="303"/>
      <c r="I187" s="303"/>
      <c r="J187" s="303"/>
      <c r="K187" s="303"/>
      <c r="L187" s="303"/>
      <c r="M187" s="303"/>
      <c r="N187" s="303"/>
      <c r="O187" s="303"/>
      <c r="P187" s="303"/>
      <c r="Q187" s="303"/>
      <c r="R187" s="301"/>
      <c r="S187" s="301"/>
      <c r="BJ187" s="497"/>
      <c r="BK187" s="497"/>
      <c r="BL187" s="497"/>
      <c r="BM187" s="497"/>
      <c r="BN187" s="497"/>
    </row>
    <row r="188" spans="1:67" ht="12.95" customHeight="1">
      <c r="B188" s="303"/>
      <c r="C188" s="303"/>
      <c r="D188" s="303"/>
      <c r="E188" s="303"/>
      <c r="F188" s="303"/>
      <c r="G188" s="303"/>
      <c r="H188" s="303"/>
      <c r="I188" s="303"/>
      <c r="J188" s="303"/>
      <c r="K188" s="303"/>
      <c r="L188" s="303"/>
      <c r="M188" s="303"/>
      <c r="N188" s="303"/>
      <c r="O188" s="303"/>
      <c r="P188" s="303"/>
      <c r="Q188" s="303"/>
      <c r="R188" s="301"/>
      <c r="S188" s="301"/>
      <c r="BJ188" s="497"/>
      <c r="BK188" s="497"/>
      <c r="BL188" s="497"/>
      <c r="BM188" s="497"/>
      <c r="BN188" s="497"/>
    </row>
    <row r="189" spans="1:67" ht="12.95" customHeight="1">
      <c r="B189" s="303"/>
      <c r="C189" s="986"/>
      <c r="D189" s="303"/>
      <c r="E189" s="303"/>
      <c r="F189" s="303"/>
      <c r="G189" s="299"/>
      <c r="H189" s="303"/>
      <c r="I189" s="303"/>
      <c r="J189" s="303"/>
      <c r="K189" s="303"/>
      <c r="L189" s="303"/>
      <c r="M189" s="303"/>
      <c r="N189" s="303"/>
      <c r="O189" s="303"/>
      <c r="P189" s="303"/>
      <c r="Q189" s="303"/>
      <c r="R189" s="301"/>
      <c r="S189" s="301"/>
      <c r="BJ189" s="497"/>
      <c r="BK189" s="497"/>
      <c r="BL189" s="497"/>
      <c r="BM189" s="497"/>
      <c r="BN189" s="497"/>
    </row>
    <row r="190" spans="1:67" ht="12.95" customHeight="1">
      <c r="B190" s="381"/>
      <c r="C190" s="299"/>
      <c r="D190" s="303"/>
      <c r="E190" s="391"/>
      <c r="F190" s="303"/>
      <c r="G190" s="987"/>
      <c r="H190" s="303"/>
      <c r="I190" s="303"/>
      <c r="J190" s="303"/>
      <c r="K190" s="303"/>
      <c r="L190" s="303"/>
      <c r="M190" s="303"/>
      <c r="N190" s="303"/>
      <c r="O190" s="299"/>
      <c r="P190" s="303"/>
      <c r="Q190" s="303"/>
      <c r="R190" s="303"/>
      <c r="S190" s="303"/>
      <c r="T190" s="303"/>
      <c r="U190" s="303"/>
      <c r="V190" s="303"/>
      <c r="W190" s="303"/>
      <c r="X190" s="301"/>
      <c r="Y190" s="301"/>
      <c r="BO190" s="775"/>
    </row>
    <row r="191" spans="1:67" ht="12.95" customHeight="1">
      <c r="B191" s="299"/>
      <c r="C191" s="299"/>
      <c r="D191" s="303"/>
      <c r="E191" s="391"/>
      <c r="F191" s="303"/>
      <c r="G191" s="987"/>
      <c r="H191" s="303"/>
      <c r="I191" s="303"/>
      <c r="J191" s="303"/>
      <c r="K191" s="303"/>
      <c r="L191" s="303"/>
      <c r="M191" s="303"/>
      <c r="N191" s="303"/>
      <c r="O191" s="299"/>
      <c r="P191" s="303"/>
      <c r="Q191" s="303"/>
      <c r="R191" s="303"/>
      <c r="S191" s="303"/>
      <c r="T191" s="303"/>
      <c r="U191" s="303"/>
      <c r="V191" s="303"/>
      <c r="W191" s="303"/>
      <c r="X191" s="301"/>
      <c r="Y191" s="301"/>
      <c r="BO191" s="775"/>
    </row>
    <row r="192" spans="1:67" ht="12.95" customHeight="1">
      <c r="B192" s="381"/>
      <c r="C192" s="299"/>
      <c r="D192" s="303"/>
      <c r="E192" s="391"/>
      <c r="F192" s="303"/>
      <c r="G192" s="988"/>
      <c r="H192" s="303"/>
      <c r="I192" s="303"/>
      <c r="J192" s="303"/>
      <c r="K192" s="303"/>
      <c r="L192" s="303"/>
      <c r="M192" s="303"/>
      <c r="N192" s="303"/>
      <c r="O192" s="299"/>
      <c r="P192" s="303"/>
      <c r="Q192" s="303"/>
      <c r="R192" s="303"/>
      <c r="S192" s="303"/>
      <c r="T192" s="303"/>
      <c r="U192" s="303"/>
      <c r="V192" s="303"/>
      <c r="W192" s="303"/>
      <c r="X192" s="301"/>
      <c r="Y192" s="301"/>
      <c r="BO192" s="775"/>
    </row>
    <row r="193" spans="2:67" ht="12.95" customHeight="1">
      <c r="B193" s="303"/>
      <c r="C193" s="303"/>
      <c r="D193" s="303"/>
      <c r="E193" s="303"/>
      <c r="F193" s="303"/>
      <c r="G193" s="988"/>
      <c r="H193" s="303"/>
      <c r="I193" s="303"/>
      <c r="J193" s="303"/>
      <c r="K193" s="303"/>
      <c r="L193" s="303"/>
      <c r="M193" s="303"/>
      <c r="N193" s="303"/>
      <c r="O193" s="303"/>
      <c r="P193" s="303"/>
      <c r="Q193" s="303"/>
      <c r="R193" s="303"/>
      <c r="S193" s="303"/>
      <c r="T193" s="303"/>
      <c r="U193" s="303"/>
      <c r="V193" s="303"/>
      <c r="W193" s="303"/>
      <c r="X193" s="301"/>
      <c r="Y193" s="301"/>
      <c r="BO193" s="775"/>
    </row>
    <row r="194" spans="2:67" ht="12.95" customHeight="1">
      <c r="B194" s="299"/>
      <c r="C194" s="303"/>
      <c r="D194" s="303"/>
      <c r="E194" s="303"/>
      <c r="F194" s="303"/>
      <c r="G194" s="303"/>
      <c r="H194" s="303"/>
      <c r="I194" s="303"/>
      <c r="J194" s="303"/>
      <c r="K194" s="303"/>
      <c r="L194" s="303"/>
      <c r="M194" s="303"/>
      <c r="N194" s="303"/>
      <c r="O194" s="303"/>
      <c r="P194" s="303"/>
      <c r="Q194" s="303"/>
      <c r="R194" s="303"/>
      <c r="S194" s="303"/>
      <c r="T194" s="303"/>
      <c r="U194" s="303"/>
      <c r="V194" s="303"/>
      <c r="W194" s="303"/>
      <c r="X194" s="301"/>
      <c r="Y194" s="301"/>
      <c r="BO194" s="775"/>
    </row>
    <row r="195" spans="2:67" ht="12.95" customHeight="1">
      <c r="B195" s="299"/>
      <c r="C195" s="303"/>
      <c r="D195" s="303"/>
      <c r="E195" s="303"/>
      <c r="F195" s="303"/>
      <c r="G195" s="303"/>
      <c r="H195" s="303"/>
      <c r="I195" s="303"/>
      <c r="J195" s="303"/>
      <c r="K195" s="303"/>
      <c r="L195" s="303"/>
      <c r="M195" s="303"/>
      <c r="N195" s="303"/>
      <c r="O195" s="303"/>
      <c r="P195" s="303"/>
      <c r="Q195" s="303"/>
      <c r="R195" s="303"/>
      <c r="S195" s="303"/>
      <c r="T195" s="303"/>
      <c r="U195" s="303"/>
      <c r="V195" s="303"/>
      <c r="W195" s="303"/>
      <c r="X195" s="301"/>
      <c r="Y195" s="301"/>
      <c r="BO195" s="775"/>
    </row>
    <row r="196" spans="2:67" ht="12.95" customHeight="1">
      <c r="B196" s="299"/>
      <c r="C196" s="303"/>
      <c r="D196" s="303"/>
      <c r="E196" s="303"/>
      <c r="F196" s="303"/>
      <c r="G196" s="303"/>
      <c r="H196" s="303"/>
      <c r="I196" s="303"/>
      <c r="J196" s="303"/>
      <c r="K196" s="303"/>
      <c r="L196" s="303"/>
      <c r="M196" s="303"/>
      <c r="N196" s="303"/>
      <c r="O196" s="303"/>
      <c r="P196" s="303"/>
      <c r="Q196" s="303"/>
      <c r="R196" s="303"/>
      <c r="S196" s="303"/>
      <c r="T196" s="303"/>
      <c r="U196" s="303"/>
      <c r="V196" s="303"/>
      <c r="W196" s="303"/>
      <c r="X196" s="301"/>
      <c r="Y196" s="301"/>
      <c r="BO196" s="775"/>
    </row>
    <row r="197" spans="2:67" ht="12.95" customHeight="1">
      <c r="B197" s="299"/>
      <c r="C197" s="303"/>
      <c r="D197" s="303"/>
      <c r="E197" s="303"/>
      <c r="F197" s="303"/>
      <c r="G197" s="303"/>
      <c r="H197" s="303"/>
      <c r="I197" s="303"/>
      <c r="J197" s="303"/>
      <c r="K197" s="303"/>
      <c r="L197" s="303"/>
      <c r="M197" s="303"/>
      <c r="N197" s="303"/>
      <c r="O197" s="303"/>
      <c r="P197" s="303"/>
      <c r="Q197" s="303"/>
      <c r="R197" s="303"/>
      <c r="S197" s="303"/>
      <c r="T197" s="303"/>
      <c r="U197" s="303"/>
      <c r="V197" s="303"/>
      <c r="W197" s="303"/>
      <c r="X197" s="301"/>
      <c r="Y197" s="301"/>
      <c r="BO197" s="775"/>
    </row>
    <row r="198" spans="2:67" ht="12.95" customHeight="1">
      <c r="B198" s="299"/>
      <c r="C198" s="303"/>
      <c r="D198" s="303"/>
      <c r="E198" s="303"/>
      <c r="F198" s="303"/>
      <c r="G198" s="303"/>
      <c r="H198" s="303"/>
      <c r="I198" s="303"/>
      <c r="J198" s="303"/>
      <c r="K198" s="303"/>
      <c r="L198" s="303"/>
      <c r="M198" s="303"/>
      <c r="N198" s="303"/>
      <c r="O198" s="303"/>
      <c r="P198" s="303"/>
      <c r="Q198" s="303"/>
      <c r="R198" s="303"/>
      <c r="S198" s="303"/>
      <c r="T198" s="303"/>
      <c r="U198" s="303"/>
      <c r="V198" s="303"/>
      <c r="W198" s="303"/>
      <c r="X198" s="301"/>
      <c r="Y198" s="301"/>
      <c r="BO198" s="775"/>
    </row>
    <row r="199" spans="2:67" ht="12.95" customHeight="1">
      <c r="B199" s="299"/>
      <c r="C199" s="303"/>
      <c r="D199" s="303"/>
      <c r="E199" s="303"/>
      <c r="F199" s="303"/>
      <c r="G199" s="303"/>
      <c r="H199" s="303"/>
      <c r="I199" s="303"/>
      <c r="J199" s="303"/>
      <c r="K199" s="303"/>
      <c r="L199" s="303"/>
      <c r="M199" s="303"/>
      <c r="N199" s="303"/>
      <c r="O199" s="303"/>
      <c r="P199" s="303"/>
      <c r="Q199" s="303"/>
      <c r="R199" s="303"/>
      <c r="S199" s="303"/>
      <c r="T199" s="303"/>
      <c r="U199" s="303"/>
      <c r="V199" s="303"/>
      <c r="W199" s="303"/>
      <c r="X199" s="301"/>
      <c r="Y199" s="301"/>
      <c r="BO199" s="775"/>
    </row>
    <row r="200" spans="2:67" ht="12.95" customHeight="1">
      <c r="B200" s="299"/>
      <c r="C200" s="303"/>
      <c r="D200" s="303"/>
      <c r="E200" s="303"/>
      <c r="F200" s="303"/>
      <c r="G200" s="303"/>
      <c r="H200" s="303"/>
      <c r="I200" s="303"/>
      <c r="J200" s="303"/>
      <c r="K200" s="303"/>
      <c r="L200" s="303"/>
      <c r="M200" s="303"/>
      <c r="N200" s="303"/>
      <c r="O200" s="303"/>
      <c r="P200" s="303"/>
      <c r="Q200" s="303"/>
      <c r="R200" s="303"/>
      <c r="S200" s="303"/>
      <c r="T200" s="303"/>
      <c r="U200" s="303"/>
      <c r="V200" s="303"/>
      <c r="W200" s="303"/>
      <c r="X200" s="301"/>
      <c r="Y200" s="301"/>
      <c r="BO200" s="775"/>
    </row>
    <row r="201" spans="2:67" ht="12.95" customHeight="1">
      <c r="B201" s="299"/>
      <c r="C201" s="303"/>
      <c r="D201" s="303"/>
      <c r="E201" s="303"/>
      <c r="F201" s="303"/>
      <c r="G201" s="303"/>
      <c r="H201" s="303"/>
      <c r="I201" s="303"/>
      <c r="J201" s="303"/>
      <c r="K201" s="303"/>
      <c r="L201" s="303"/>
      <c r="M201" s="303"/>
      <c r="N201" s="303"/>
      <c r="O201" s="303"/>
      <c r="P201" s="303"/>
      <c r="Q201" s="303"/>
      <c r="R201" s="303"/>
      <c r="S201" s="303"/>
      <c r="T201" s="303"/>
      <c r="U201" s="303"/>
      <c r="V201" s="303"/>
      <c r="W201" s="303"/>
      <c r="X201" s="301"/>
      <c r="Y201" s="301"/>
      <c r="BO201" s="775"/>
    </row>
    <row r="202" spans="2:67" ht="12.95" customHeight="1">
      <c r="B202" s="299"/>
      <c r="C202" s="303"/>
      <c r="D202" s="303"/>
      <c r="E202" s="303"/>
      <c r="F202" s="303"/>
      <c r="G202" s="303"/>
      <c r="H202" s="303"/>
      <c r="I202" s="303"/>
      <c r="J202" s="303"/>
      <c r="K202" s="303"/>
      <c r="L202" s="303"/>
      <c r="M202" s="303"/>
      <c r="N202" s="303"/>
      <c r="O202" s="303"/>
      <c r="P202" s="303"/>
      <c r="Q202" s="303"/>
      <c r="R202" s="303"/>
      <c r="S202" s="303"/>
      <c r="T202" s="303"/>
      <c r="U202" s="303"/>
      <c r="V202" s="303"/>
      <c r="W202" s="303"/>
      <c r="X202" s="301"/>
      <c r="Y202" s="301"/>
      <c r="BO202" s="775"/>
    </row>
    <row r="203" spans="2:67" ht="12.95" customHeight="1">
      <c r="B203" s="299"/>
      <c r="C203" s="303"/>
      <c r="D203" s="303"/>
      <c r="E203" s="303"/>
      <c r="F203" s="303"/>
      <c r="G203" s="303"/>
      <c r="H203" s="303"/>
      <c r="I203" s="303"/>
      <c r="J203" s="303"/>
      <c r="K203" s="303"/>
      <c r="L203" s="303"/>
      <c r="M203" s="303"/>
      <c r="N203" s="303"/>
      <c r="O203" s="303"/>
      <c r="P203" s="303"/>
      <c r="Q203" s="303"/>
      <c r="R203" s="303"/>
      <c r="S203" s="303"/>
      <c r="T203" s="303"/>
      <c r="U203" s="303"/>
      <c r="V203" s="303"/>
      <c r="W203" s="303"/>
      <c r="X203" s="301"/>
      <c r="Y203" s="301"/>
      <c r="BO203" s="775"/>
    </row>
    <row r="204" spans="2:67" ht="12.95" customHeight="1">
      <c r="B204" s="299"/>
      <c r="C204" s="303"/>
      <c r="D204" s="303"/>
      <c r="E204" s="303"/>
      <c r="F204" s="303"/>
      <c r="G204" s="303"/>
      <c r="H204" s="303"/>
      <c r="I204" s="303"/>
      <c r="J204" s="303"/>
      <c r="K204" s="303"/>
      <c r="L204" s="303"/>
      <c r="M204" s="303"/>
      <c r="N204" s="303"/>
      <c r="O204" s="303"/>
      <c r="P204" s="303"/>
      <c r="Q204" s="303"/>
      <c r="R204" s="303"/>
      <c r="S204" s="303"/>
      <c r="T204" s="303"/>
      <c r="U204" s="303"/>
      <c r="V204" s="303"/>
      <c r="W204" s="303"/>
      <c r="X204" s="301"/>
      <c r="Y204" s="301"/>
      <c r="BO204" s="775"/>
    </row>
    <row r="205" spans="2:67" ht="12.95" customHeight="1">
      <c r="B205" s="299"/>
      <c r="C205" s="303"/>
      <c r="D205" s="303"/>
      <c r="E205" s="303"/>
      <c r="F205" s="303"/>
      <c r="G205" s="303"/>
      <c r="H205" s="303"/>
      <c r="I205" s="303"/>
      <c r="J205" s="303"/>
      <c r="K205" s="303"/>
      <c r="L205" s="303"/>
      <c r="M205" s="303"/>
      <c r="N205" s="303"/>
      <c r="O205" s="303"/>
      <c r="P205" s="303"/>
      <c r="Q205" s="303"/>
      <c r="R205" s="303"/>
      <c r="S205" s="303"/>
      <c r="T205" s="303"/>
      <c r="U205" s="303"/>
      <c r="V205" s="303"/>
      <c r="W205" s="303"/>
      <c r="X205" s="301"/>
      <c r="Y205" s="301"/>
      <c r="BO205" s="775"/>
    </row>
    <row r="206" spans="2:67" ht="12.95" customHeight="1">
      <c r="B206" s="299"/>
      <c r="C206" s="303"/>
      <c r="D206" s="303"/>
      <c r="E206" s="303"/>
      <c r="F206" s="303"/>
      <c r="G206" s="303"/>
      <c r="H206" s="303"/>
      <c r="I206" s="303"/>
      <c r="J206" s="303"/>
      <c r="K206" s="303"/>
      <c r="L206" s="303"/>
      <c r="M206" s="303"/>
      <c r="N206" s="303"/>
      <c r="O206" s="303"/>
      <c r="P206" s="303"/>
      <c r="Q206" s="303"/>
      <c r="R206" s="303"/>
      <c r="S206" s="303"/>
      <c r="T206" s="303"/>
      <c r="U206" s="303"/>
      <c r="V206" s="303"/>
      <c r="W206" s="303"/>
      <c r="X206" s="301"/>
      <c r="Y206" s="301"/>
      <c r="BO206" s="775"/>
    </row>
    <row r="207" spans="2:67" ht="12.95" customHeight="1">
      <c r="B207" s="299"/>
      <c r="C207" s="303"/>
      <c r="D207" s="303"/>
      <c r="E207" s="303"/>
      <c r="F207" s="303"/>
      <c r="G207" s="303"/>
      <c r="H207" s="303"/>
      <c r="I207" s="303"/>
      <c r="J207" s="303"/>
      <c r="K207" s="303"/>
      <c r="L207" s="303"/>
      <c r="M207" s="303"/>
      <c r="N207" s="303"/>
      <c r="O207" s="303"/>
      <c r="P207" s="303"/>
      <c r="Q207" s="303"/>
      <c r="R207" s="303"/>
      <c r="S207" s="303"/>
      <c r="T207" s="303"/>
      <c r="U207" s="303"/>
      <c r="V207" s="303"/>
      <c r="W207" s="303"/>
      <c r="X207" s="301"/>
      <c r="Y207" s="301"/>
      <c r="BO207" s="775"/>
    </row>
    <row r="208" spans="2:67" ht="12.95" customHeight="1">
      <c r="B208" s="299"/>
      <c r="C208" s="303"/>
      <c r="D208" s="303"/>
      <c r="E208" s="303"/>
      <c r="F208" s="303"/>
      <c r="G208" s="303"/>
      <c r="H208" s="303"/>
      <c r="I208" s="303"/>
      <c r="J208" s="303"/>
      <c r="K208" s="303"/>
      <c r="L208" s="303"/>
      <c r="M208" s="303"/>
      <c r="N208" s="303"/>
      <c r="O208" s="303"/>
      <c r="P208" s="303"/>
      <c r="Q208" s="303"/>
      <c r="R208" s="303"/>
      <c r="S208" s="303"/>
      <c r="T208" s="303"/>
      <c r="U208" s="303"/>
      <c r="V208" s="303"/>
      <c r="W208" s="303"/>
      <c r="X208" s="301"/>
      <c r="Y208" s="301"/>
      <c r="BO208" s="775"/>
    </row>
    <row r="209" spans="2:67" ht="12.95" customHeight="1">
      <c r="B209" s="299"/>
      <c r="C209" s="303"/>
      <c r="D209" s="303"/>
      <c r="E209" s="303"/>
      <c r="F209" s="303"/>
      <c r="G209" s="303"/>
      <c r="H209" s="303"/>
      <c r="I209" s="303"/>
      <c r="J209" s="303"/>
      <c r="K209" s="303"/>
      <c r="L209" s="303"/>
      <c r="M209" s="303"/>
      <c r="N209" s="303"/>
      <c r="O209" s="303"/>
      <c r="P209" s="303"/>
      <c r="Q209" s="303"/>
      <c r="R209" s="303"/>
      <c r="S209" s="303"/>
      <c r="T209" s="303"/>
      <c r="U209" s="303"/>
      <c r="V209" s="303"/>
      <c r="W209" s="303"/>
      <c r="X209" s="301"/>
      <c r="Y209" s="301"/>
      <c r="BO209" s="775"/>
    </row>
    <row r="210" spans="2:67" ht="12.95" customHeight="1">
      <c r="B210" s="299"/>
      <c r="C210" s="303"/>
      <c r="D210" s="303"/>
      <c r="E210" s="303"/>
      <c r="F210" s="303"/>
      <c r="G210" s="303"/>
      <c r="H210" s="303"/>
      <c r="I210" s="303"/>
      <c r="J210" s="303"/>
      <c r="K210" s="303"/>
      <c r="L210" s="303"/>
      <c r="M210" s="303"/>
      <c r="N210" s="303"/>
      <c r="O210" s="303"/>
      <c r="P210" s="303"/>
      <c r="Q210" s="303"/>
      <c r="R210" s="303"/>
      <c r="S210" s="303"/>
      <c r="T210" s="303"/>
      <c r="U210" s="303"/>
      <c r="V210" s="303"/>
      <c r="W210" s="303"/>
      <c r="X210" s="301"/>
      <c r="Y210" s="301"/>
      <c r="BO210" s="775"/>
    </row>
    <row r="211" spans="2:67" ht="12.95" customHeight="1">
      <c r="B211" s="299"/>
      <c r="C211" s="303"/>
      <c r="D211" s="303"/>
      <c r="E211" s="303"/>
      <c r="F211" s="391"/>
      <c r="G211" s="303"/>
      <c r="H211" s="303"/>
      <c r="I211" s="300"/>
      <c r="J211" s="391"/>
      <c r="K211" s="303"/>
      <c r="L211" s="303"/>
      <c r="M211" s="303"/>
      <c r="N211" s="303"/>
      <c r="O211" s="303"/>
      <c r="P211" s="303"/>
      <c r="Q211" s="303"/>
      <c r="R211" s="303"/>
      <c r="S211" s="303"/>
      <c r="T211" s="303"/>
      <c r="U211" s="303"/>
      <c r="V211" s="303"/>
      <c r="W211" s="303"/>
      <c r="X211" s="301"/>
      <c r="Y211" s="301"/>
      <c r="BO211" s="775"/>
    </row>
    <row r="212" spans="2:67" ht="12.95" customHeight="1">
      <c r="B212" s="299"/>
      <c r="C212" s="303"/>
      <c r="D212" s="303"/>
      <c r="E212" s="303"/>
      <c r="F212" s="391"/>
      <c r="G212" s="303"/>
      <c r="H212" s="303"/>
      <c r="I212" s="300"/>
      <c r="J212" s="391"/>
      <c r="K212" s="303"/>
      <c r="L212" s="303"/>
      <c r="M212" s="303"/>
      <c r="N212" s="303"/>
      <c r="O212" s="303"/>
      <c r="P212" s="303"/>
      <c r="Q212" s="303"/>
      <c r="R212" s="303"/>
      <c r="S212" s="303"/>
      <c r="T212" s="303"/>
      <c r="U212" s="303"/>
      <c r="V212" s="303"/>
      <c r="W212" s="303"/>
      <c r="X212" s="301"/>
      <c r="Y212" s="301"/>
      <c r="BO212" s="775"/>
    </row>
    <row r="213" spans="2:67" ht="12.95" customHeight="1">
      <c r="B213" s="303"/>
      <c r="C213" s="303"/>
      <c r="D213" s="303"/>
      <c r="E213" s="303"/>
      <c r="F213" s="391"/>
      <c r="G213" s="303"/>
      <c r="H213" s="303"/>
      <c r="I213" s="303"/>
      <c r="J213" s="391"/>
      <c r="K213" s="303"/>
      <c r="L213" s="303"/>
      <c r="M213" s="303"/>
      <c r="N213" s="303"/>
      <c r="O213" s="303"/>
      <c r="P213" s="303"/>
      <c r="Q213" s="303"/>
      <c r="R213" s="303"/>
      <c r="S213" s="303"/>
      <c r="T213" s="303"/>
      <c r="U213" s="303"/>
      <c r="V213" s="303"/>
      <c r="W213" s="303"/>
      <c r="X213" s="301"/>
      <c r="Y213" s="301"/>
      <c r="BO213" s="775"/>
    </row>
    <row r="214" spans="2:67" ht="12.95" customHeight="1">
      <c r="B214" s="303"/>
      <c r="C214" s="303"/>
      <c r="D214" s="303"/>
      <c r="E214" s="303"/>
      <c r="F214" s="303"/>
      <c r="G214" s="303"/>
      <c r="H214" s="303"/>
      <c r="I214" s="303"/>
      <c r="J214" s="303"/>
      <c r="K214" s="303"/>
      <c r="L214" s="303"/>
      <c r="M214" s="303"/>
      <c r="N214" s="303"/>
      <c r="O214" s="303"/>
      <c r="P214" s="303"/>
      <c r="Q214" s="303"/>
      <c r="R214" s="303"/>
      <c r="S214" s="303"/>
      <c r="T214" s="303"/>
      <c r="U214" s="303"/>
      <c r="V214" s="303"/>
      <c r="W214" s="303"/>
      <c r="X214" s="301"/>
      <c r="Y214" s="301"/>
      <c r="BO214" s="775"/>
    </row>
    <row r="215" spans="2:67" ht="12.95" customHeight="1">
      <c r="B215" s="303"/>
      <c r="C215" s="360"/>
      <c r="D215" s="332"/>
      <c r="E215" s="332"/>
      <c r="F215" s="391"/>
      <c r="G215" s="303"/>
      <c r="H215" s="303"/>
      <c r="I215" s="303"/>
      <c r="J215" s="303"/>
      <c r="K215" s="303"/>
      <c r="L215" s="303"/>
      <c r="M215" s="303"/>
      <c r="N215" s="303"/>
      <c r="O215" s="303"/>
      <c r="P215" s="303"/>
      <c r="Q215" s="303"/>
      <c r="R215" s="303"/>
      <c r="S215" s="303"/>
      <c r="T215" s="303"/>
      <c r="U215" s="303"/>
      <c r="V215" s="303"/>
      <c r="W215" s="303"/>
      <c r="X215" s="301"/>
      <c r="Y215" s="301"/>
      <c r="BO215" s="775"/>
    </row>
    <row r="216" spans="2:67" ht="12.95" customHeight="1">
      <c r="B216" s="989"/>
      <c r="C216" s="303"/>
      <c r="D216" s="332"/>
      <c r="E216" s="391"/>
      <c r="F216" s="990"/>
      <c r="G216" s="303"/>
      <c r="H216" s="303"/>
      <c r="I216" s="300"/>
      <c r="J216" s="303"/>
      <c r="K216" s="303"/>
      <c r="L216" s="303"/>
      <c r="M216" s="303"/>
      <c r="N216" s="303"/>
      <c r="O216" s="303"/>
      <c r="P216" s="303"/>
      <c r="Q216" s="303"/>
      <c r="R216" s="303"/>
      <c r="S216" s="303"/>
      <c r="T216" s="303"/>
      <c r="U216" s="303"/>
      <c r="V216" s="303"/>
      <c r="W216" s="303"/>
      <c r="X216" s="301"/>
      <c r="Y216" s="301"/>
      <c r="BO216" s="775"/>
    </row>
    <row r="217" spans="2:67" ht="12.95" customHeight="1">
      <c r="B217" s="303"/>
      <c r="C217" s="303"/>
      <c r="D217" s="332"/>
      <c r="E217" s="332"/>
      <c r="F217" s="391"/>
      <c r="G217" s="303"/>
      <c r="H217" s="303"/>
      <c r="I217" s="303"/>
      <c r="J217" s="303"/>
      <c r="K217" s="303"/>
      <c r="L217" s="303"/>
      <c r="M217" s="303"/>
      <c r="N217" s="303"/>
      <c r="O217" s="303"/>
      <c r="P217" s="303"/>
      <c r="Q217" s="303"/>
      <c r="R217" s="303"/>
      <c r="S217" s="303"/>
      <c r="T217" s="303"/>
      <c r="U217" s="303"/>
      <c r="V217" s="303"/>
      <c r="W217" s="303"/>
      <c r="X217" s="301"/>
      <c r="Y217" s="301"/>
      <c r="BO217" s="775"/>
    </row>
    <row r="218" spans="2:67" ht="12.95" customHeight="1" thickBot="1">
      <c r="B218" s="303"/>
      <c r="C218" s="303"/>
      <c r="D218" s="303"/>
      <c r="E218" s="303"/>
      <c r="F218" s="303"/>
      <c r="G218" s="303"/>
      <c r="H218" s="303"/>
      <c r="I218" s="303"/>
      <c r="J218" s="303"/>
      <c r="K218" s="303"/>
      <c r="L218" s="303"/>
      <c r="M218" s="303"/>
      <c r="N218" s="303"/>
      <c r="O218" s="303"/>
      <c r="P218" s="303"/>
      <c r="Q218" s="303"/>
      <c r="R218" s="303"/>
      <c r="S218" s="303"/>
      <c r="T218" s="303"/>
      <c r="U218" s="303"/>
      <c r="V218" s="303"/>
      <c r="W218" s="303"/>
      <c r="X218" s="301"/>
      <c r="Y218" s="301"/>
      <c r="BO218" s="775"/>
    </row>
    <row r="219" spans="2:67" ht="12.95" customHeight="1">
      <c r="B219" s="303"/>
      <c r="C219" s="1551" t="s">
        <v>35</v>
      </c>
      <c r="D219" s="1552"/>
      <c r="E219" s="1552"/>
      <c r="F219" s="1553"/>
      <c r="G219" s="1551" t="s">
        <v>34</v>
      </c>
      <c r="H219" s="1552"/>
      <c r="I219" s="1552"/>
      <c r="J219" s="1553"/>
      <c r="K219" s="1551" t="s">
        <v>33</v>
      </c>
      <c r="L219" s="1552"/>
      <c r="M219" s="1552"/>
      <c r="N219" s="1553"/>
      <c r="O219" s="303"/>
      <c r="P219" s="303"/>
      <c r="Q219" s="303"/>
      <c r="R219" s="303"/>
      <c r="S219" s="303"/>
      <c r="T219" s="303"/>
      <c r="U219" s="303"/>
      <c r="V219" s="303"/>
      <c r="W219" s="303"/>
      <c r="X219" s="301"/>
      <c r="Y219" s="301"/>
      <c r="BO219" s="775"/>
    </row>
    <row r="220" spans="2:67" ht="12.95" customHeight="1" thickBot="1">
      <c r="B220" s="303"/>
      <c r="C220" s="992" t="s">
        <v>139</v>
      </c>
      <c r="D220" s="993" t="s">
        <v>138</v>
      </c>
      <c r="E220" s="993" t="s">
        <v>137</v>
      </c>
      <c r="F220" s="994" t="s">
        <v>136</v>
      </c>
      <c r="G220" s="992" t="s">
        <v>139</v>
      </c>
      <c r="H220" s="993" t="s">
        <v>138</v>
      </c>
      <c r="I220" s="993" t="s">
        <v>137</v>
      </c>
      <c r="J220" s="994" t="s">
        <v>136</v>
      </c>
      <c r="K220" s="992" t="s">
        <v>139</v>
      </c>
      <c r="L220" s="993" t="s">
        <v>138</v>
      </c>
      <c r="M220" s="993" t="s">
        <v>137</v>
      </c>
      <c r="N220" s="994" t="s">
        <v>136</v>
      </c>
      <c r="O220" s="303"/>
      <c r="P220" s="303"/>
      <c r="Q220" s="303"/>
      <c r="R220" s="303"/>
      <c r="S220" s="303"/>
      <c r="T220" s="303"/>
      <c r="U220" s="303"/>
      <c r="V220" s="303"/>
      <c r="W220" s="303"/>
      <c r="X220" s="301"/>
      <c r="Y220" s="301"/>
      <c r="BO220" s="775"/>
    </row>
    <row r="221" spans="2:67" ht="12.95" customHeight="1">
      <c r="B221" s="995" t="s">
        <v>113</v>
      </c>
      <c r="C221" s="996">
        <f>quartercalculation($C$219,C$220,$B221)</f>
        <v>117781.4621</v>
      </c>
      <c r="D221" s="996">
        <f t="shared" ref="D221:F225" si="1">quartercalculation($C$219,D$220,$B221)</f>
        <v>295857.92550000001</v>
      </c>
      <c r="E221" s="996">
        <f t="shared" si="1"/>
        <v>362898.67340000003</v>
      </c>
      <c r="F221" s="996">
        <f t="shared" si="1"/>
        <v>201688.65220000001</v>
      </c>
      <c r="G221" s="996">
        <f>quartercalculation($G$219,G$220,$B221)</f>
        <v>119036.89139999999</v>
      </c>
      <c r="H221" s="996">
        <f t="shared" ref="H221:J225" si="2">quartercalculation($G$219,H$220,$B221)</f>
        <v>325258.62420000002</v>
      </c>
      <c r="I221" s="996">
        <f t="shared" si="2"/>
        <v>383730.228</v>
      </c>
      <c r="J221" s="996">
        <f t="shared" si="2"/>
        <v>205446.49909999999</v>
      </c>
      <c r="K221" s="996">
        <f>quartercalculation($K$219,K$220,$B221)</f>
        <v>143014.054</v>
      </c>
      <c r="L221" s="996">
        <f t="shared" ref="L221:N225" si="3">quartercalculation($K$219,L$220,$B221)</f>
        <v>339983.51679999998</v>
      </c>
      <c r="M221" s="996">
        <f t="shared" si="3"/>
        <v>419552.3873</v>
      </c>
      <c r="N221" s="996">
        <f t="shared" si="3"/>
        <v>236597.34099999999</v>
      </c>
      <c r="O221" s="303"/>
      <c r="P221" s="303"/>
      <c r="Q221" s="303"/>
      <c r="R221" s="303"/>
      <c r="S221" s="303"/>
      <c r="T221" s="303"/>
      <c r="U221" s="303"/>
      <c r="V221" s="303"/>
      <c r="W221" s="303"/>
      <c r="X221" s="301"/>
      <c r="Y221" s="301"/>
      <c r="BO221" s="775"/>
    </row>
    <row r="222" spans="2:67" ht="12.95" customHeight="1">
      <c r="B222" s="997" t="s">
        <v>112</v>
      </c>
      <c r="C222" s="996">
        <f>quartercalculation($C$219,C$220,$B222)</f>
        <v>24744.215</v>
      </c>
      <c r="D222" s="996">
        <f t="shared" si="1"/>
        <v>76568.859599999996</v>
      </c>
      <c r="E222" s="996">
        <f t="shared" si="1"/>
        <v>88261.518400000001</v>
      </c>
      <c r="F222" s="996">
        <f t="shared" si="1"/>
        <v>44688.9427</v>
      </c>
      <c r="G222" s="996">
        <f>quartercalculation($G$219,G$220,$B222)</f>
        <v>24366</v>
      </c>
      <c r="H222" s="996">
        <f t="shared" si="2"/>
        <v>83535.8125</v>
      </c>
      <c r="I222" s="996">
        <f t="shared" si="2"/>
        <v>94115.512499999997</v>
      </c>
      <c r="J222" s="996">
        <f t="shared" si="2"/>
        <v>45842.8</v>
      </c>
      <c r="K222" s="996">
        <f>quartercalculation($K$219,K$220,$B222)</f>
        <v>31335.876100000001</v>
      </c>
      <c r="L222" s="996">
        <f t="shared" si="3"/>
        <v>89401.316699999996</v>
      </c>
      <c r="M222" s="996">
        <f t="shared" si="3"/>
        <v>104653.3167</v>
      </c>
      <c r="N222" s="996">
        <f t="shared" si="3"/>
        <v>54063.528299999998</v>
      </c>
      <c r="O222" s="303"/>
      <c r="P222" s="303"/>
      <c r="Q222" s="303"/>
      <c r="R222" s="303"/>
      <c r="S222" s="303"/>
      <c r="T222" s="303"/>
      <c r="U222" s="303"/>
      <c r="V222" s="303"/>
      <c r="W222" s="303"/>
      <c r="X222" s="301"/>
      <c r="Y222" s="301"/>
      <c r="BO222" s="775"/>
    </row>
    <row r="223" spans="2:67" ht="12.95" customHeight="1">
      <c r="B223" s="997" t="s">
        <v>111</v>
      </c>
      <c r="C223" s="996">
        <f>quartercalculation($C$219,C$220,$B223)</f>
        <v>93037.247099999993</v>
      </c>
      <c r="D223" s="996">
        <f t="shared" si="1"/>
        <v>219289.06599999999</v>
      </c>
      <c r="E223" s="996">
        <f t="shared" si="1"/>
        <v>274637.15500000003</v>
      </c>
      <c r="F223" s="996">
        <f t="shared" si="1"/>
        <v>156999.7095</v>
      </c>
      <c r="G223" s="996">
        <f>quartercalculation($G$219,G$220,$B223)</f>
        <v>94670.891399999993</v>
      </c>
      <c r="H223" s="996">
        <f t="shared" si="2"/>
        <v>241722.81159999999</v>
      </c>
      <c r="I223" s="996">
        <f t="shared" si="2"/>
        <v>289614.71549999999</v>
      </c>
      <c r="J223" s="996">
        <f t="shared" si="2"/>
        <v>159603.6991</v>
      </c>
      <c r="K223" s="996">
        <f>quartercalculation($K$219,K$220,$B223)</f>
        <v>111678.1779</v>
      </c>
      <c r="L223" s="996">
        <f t="shared" si="3"/>
        <v>250582.20009999999</v>
      </c>
      <c r="M223" s="996">
        <f t="shared" si="3"/>
        <v>314899.07059999998</v>
      </c>
      <c r="N223" s="996">
        <f t="shared" si="3"/>
        <v>182533.81270000001</v>
      </c>
      <c r="O223" s="303"/>
      <c r="P223" s="303"/>
      <c r="Q223" s="303"/>
      <c r="R223" s="303"/>
      <c r="S223" s="303"/>
      <c r="T223" s="303"/>
      <c r="U223" s="303"/>
      <c r="V223" s="303"/>
      <c r="W223" s="303"/>
      <c r="X223" s="301"/>
      <c r="Y223" s="301"/>
      <c r="BO223" s="775"/>
    </row>
    <row r="224" spans="2:67" ht="12.95" customHeight="1">
      <c r="B224" s="997" t="s">
        <v>123</v>
      </c>
      <c r="C224" s="996">
        <f>quartercalculation($C$219,C$220,$B224)</f>
        <v>70139.061900000001</v>
      </c>
      <c r="D224" s="996">
        <f t="shared" si="1"/>
        <v>70139.061900000001</v>
      </c>
      <c r="E224" s="996">
        <f t="shared" si="1"/>
        <v>70139.061900000001</v>
      </c>
      <c r="F224" s="996">
        <f t="shared" si="1"/>
        <v>70139.061900000001</v>
      </c>
      <c r="G224" s="996">
        <f>quartercalculation($G$219,G$220,$B224)</f>
        <v>79860.062099999996</v>
      </c>
      <c r="H224" s="996">
        <f t="shared" si="2"/>
        <v>79860.062099999996</v>
      </c>
      <c r="I224" s="996">
        <f t="shared" si="2"/>
        <v>79860.062099999996</v>
      </c>
      <c r="J224" s="996">
        <f t="shared" si="2"/>
        <v>79860.062099999996</v>
      </c>
      <c r="K224" s="996">
        <f>quartercalculation($K$219,K$220,$B224)</f>
        <v>89638.262100000007</v>
      </c>
      <c r="L224" s="996">
        <f t="shared" si="3"/>
        <v>89638.262100000007</v>
      </c>
      <c r="M224" s="996">
        <f t="shared" si="3"/>
        <v>89638.262100000007</v>
      </c>
      <c r="N224" s="996">
        <f t="shared" si="3"/>
        <v>89638.262100000007</v>
      </c>
      <c r="O224" s="303"/>
      <c r="P224" s="303"/>
      <c r="Q224" s="303"/>
      <c r="R224" s="303"/>
      <c r="S224" s="303"/>
      <c r="T224" s="303"/>
      <c r="U224" s="303"/>
      <c r="V224" s="303"/>
      <c r="W224" s="303"/>
      <c r="X224" s="301"/>
      <c r="Y224" s="301"/>
      <c r="BO224" s="775"/>
    </row>
    <row r="225" spans="1:67" ht="12.95" customHeight="1" thickBot="1">
      <c r="B225" s="998" t="s">
        <v>135</v>
      </c>
      <c r="C225" s="996">
        <f>quartercalculation($C$219,C$220,$B225)</f>
        <v>22898.185099999999</v>
      </c>
      <c r="D225" s="996">
        <f t="shared" si="1"/>
        <v>149150.00399999999</v>
      </c>
      <c r="E225" s="996">
        <f t="shared" si="1"/>
        <v>204498.0931</v>
      </c>
      <c r="F225" s="996">
        <f t="shared" si="1"/>
        <v>86860.647599999997</v>
      </c>
      <c r="G225" s="996">
        <f>quartercalculation($G$219,G$220,$B225)</f>
        <v>14810.829299999999</v>
      </c>
      <c r="H225" s="996">
        <f t="shared" si="2"/>
        <v>161862.74960000001</v>
      </c>
      <c r="I225" s="996">
        <f t="shared" si="2"/>
        <v>209754.65340000001</v>
      </c>
      <c r="J225" s="996">
        <f t="shared" si="2"/>
        <v>79743.637000000002</v>
      </c>
      <c r="K225" s="996">
        <f>quartercalculation($K$219,K$220,$B225)</f>
        <v>22039.915799999999</v>
      </c>
      <c r="L225" s="996">
        <f t="shared" si="3"/>
        <v>160943.9382</v>
      </c>
      <c r="M225" s="996">
        <f t="shared" si="3"/>
        <v>225260.80850000001</v>
      </c>
      <c r="N225" s="996">
        <f t="shared" si="3"/>
        <v>92895.550600000002</v>
      </c>
      <c r="O225" s="303"/>
      <c r="P225" s="303"/>
      <c r="Q225" s="303"/>
      <c r="R225" s="303"/>
      <c r="S225" s="303"/>
      <c r="T225" s="303"/>
      <c r="U225" s="303"/>
      <c r="V225" s="303"/>
      <c r="W225" s="303"/>
      <c r="X225" s="301"/>
      <c r="Y225" s="301"/>
      <c r="BO225" s="775"/>
    </row>
    <row r="226" spans="1:67" ht="12.95" customHeight="1">
      <c r="B226" s="303"/>
      <c r="C226" s="303"/>
      <c r="D226" s="303"/>
      <c r="E226" s="303"/>
      <c r="F226" s="303"/>
      <c r="G226" s="303"/>
      <c r="H226" s="303"/>
      <c r="I226" s="303"/>
      <c r="J226" s="303"/>
      <c r="K226" s="991"/>
      <c r="L226" s="991"/>
      <c r="M226" s="303"/>
      <c r="N226" s="303"/>
      <c r="O226" s="303"/>
      <c r="P226" s="303"/>
      <c r="Q226" s="303"/>
      <c r="R226" s="303"/>
      <c r="S226" s="303"/>
      <c r="T226" s="303"/>
      <c r="U226" s="303"/>
      <c r="V226" s="303"/>
      <c r="W226" s="303"/>
      <c r="X226" s="301"/>
      <c r="Y226" s="301"/>
      <c r="BO226" s="775"/>
    </row>
    <row r="227" spans="1:67" ht="12.95" customHeight="1">
      <c r="B227" s="303"/>
      <c r="C227" s="460"/>
      <c r="D227" s="391"/>
      <c r="E227" s="303"/>
      <c r="F227" s="303"/>
      <c r="G227" s="303"/>
      <c r="H227" s="303"/>
      <c r="I227" s="460"/>
      <c r="J227" s="360"/>
      <c r="K227" s="303"/>
      <c r="L227" s="303"/>
      <c r="M227" s="303"/>
      <c r="N227" s="303"/>
      <c r="O227" s="303"/>
      <c r="P227" s="303"/>
      <c r="Q227" s="303"/>
      <c r="R227" s="303"/>
      <c r="S227" s="303"/>
      <c r="T227" s="303"/>
      <c r="U227" s="303"/>
      <c r="V227" s="303"/>
      <c r="W227" s="303"/>
      <c r="X227" s="301"/>
      <c r="Y227" s="301"/>
      <c r="BO227" s="775"/>
    </row>
    <row r="228" spans="1:67" ht="12.95" customHeight="1" thickBot="1">
      <c r="A228" s="775"/>
      <c r="B228" s="472"/>
      <c r="C228" s="472"/>
      <c r="D228" s="472"/>
      <c r="E228" s="472"/>
      <c r="F228" s="472"/>
      <c r="G228" s="472"/>
      <c r="H228" s="472"/>
      <c r="I228" s="472"/>
      <c r="J228" s="472"/>
      <c r="K228" s="472"/>
      <c r="L228" s="472"/>
      <c r="M228" s="472"/>
      <c r="N228" s="301"/>
      <c r="O228" s="301"/>
      <c r="P228" s="303"/>
      <c r="Q228" s="303"/>
      <c r="R228" s="303"/>
      <c r="S228" s="303"/>
      <c r="T228" s="303"/>
      <c r="U228" s="303"/>
      <c r="V228" s="303"/>
      <c r="W228" s="303"/>
      <c r="X228" s="301"/>
      <c r="Y228" s="301"/>
      <c r="BO228" s="775"/>
    </row>
    <row r="229" spans="1:67" ht="12.95" customHeight="1">
      <c r="A229" s="1545" t="s">
        <v>113</v>
      </c>
      <c r="B229" s="472"/>
      <c r="C229" s="472"/>
      <c r="D229" s="472"/>
      <c r="E229" s="472"/>
      <c r="F229" s="472"/>
      <c r="G229" s="472"/>
      <c r="H229" s="472"/>
      <c r="I229" s="472"/>
      <c r="J229" s="472"/>
      <c r="K229" s="472"/>
      <c r="L229" s="472"/>
      <c r="M229" s="472"/>
      <c r="N229" s="301"/>
      <c r="O229" s="301"/>
      <c r="P229" s="303"/>
      <c r="Q229" s="303"/>
      <c r="R229" s="303"/>
      <c r="S229" s="303"/>
      <c r="T229" s="303"/>
      <c r="U229" s="303"/>
      <c r="V229" s="303"/>
      <c r="W229" s="303"/>
      <c r="X229" s="301"/>
      <c r="Y229" s="301"/>
      <c r="BO229" s="775"/>
    </row>
    <row r="230" spans="1:67" ht="12.95" customHeight="1">
      <c r="A230" s="1546"/>
      <c r="B230" s="472"/>
      <c r="C230" s="472"/>
      <c r="D230" s="472"/>
      <c r="E230" s="472"/>
      <c r="F230" s="472"/>
      <c r="G230" s="472"/>
      <c r="H230" s="472"/>
      <c r="I230" s="472"/>
      <c r="J230" s="472"/>
      <c r="K230" s="472"/>
      <c r="L230" s="472"/>
      <c r="M230" s="472"/>
      <c r="N230" s="301"/>
      <c r="O230" s="301"/>
      <c r="P230" s="303"/>
      <c r="Q230" s="303"/>
      <c r="R230" s="303"/>
      <c r="S230" s="303"/>
      <c r="T230" s="303"/>
      <c r="U230" s="303"/>
      <c r="V230" s="303"/>
      <c r="W230" s="303"/>
      <c r="X230" s="301"/>
      <c r="Y230" s="301"/>
      <c r="BO230" s="775"/>
    </row>
    <row r="231" spans="1:67" ht="12.95" customHeight="1">
      <c r="A231" s="1546"/>
      <c r="B231" s="472"/>
      <c r="C231" s="472"/>
      <c r="D231" s="472"/>
      <c r="E231" s="472"/>
      <c r="F231" s="472"/>
      <c r="G231" s="472"/>
      <c r="H231" s="472"/>
      <c r="I231" s="472"/>
      <c r="J231" s="472"/>
      <c r="K231" s="472"/>
      <c r="L231" s="472"/>
      <c r="M231" s="472"/>
      <c r="N231" s="301"/>
      <c r="O231" s="301"/>
      <c r="P231" s="303"/>
      <c r="Q231" s="303"/>
      <c r="R231" s="303"/>
      <c r="S231" s="303"/>
      <c r="T231" s="303"/>
      <c r="U231" s="303"/>
      <c r="V231" s="303"/>
      <c r="W231" s="303"/>
      <c r="X231" s="301"/>
      <c r="Y231" s="301"/>
      <c r="BO231" s="775"/>
    </row>
    <row r="232" spans="1:67" ht="12.95" customHeight="1">
      <c r="A232" s="1546"/>
      <c r="B232" s="472"/>
      <c r="C232" s="472"/>
      <c r="D232" s="472"/>
      <c r="E232" s="472"/>
      <c r="F232" s="472"/>
      <c r="G232" s="472"/>
      <c r="H232" s="472"/>
      <c r="I232" s="472"/>
      <c r="J232" s="472"/>
      <c r="K232" s="472"/>
      <c r="L232" s="472"/>
      <c r="M232" s="472"/>
      <c r="N232" s="301"/>
      <c r="O232" s="301"/>
      <c r="P232" s="303"/>
      <c r="Q232" s="303"/>
      <c r="R232" s="303"/>
      <c r="S232" s="303"/>
      <c r="T232" s="303"/>
      <c r="U232" s="303"/>
      <c r="V232" s="303"/>
      <c r="W232" s="303"/>
      <c r="X232" s="301"/>
      <c r="Y232" s="301"/>
      <c r="BO232" s="775"/>
    </row>
    <row r="233" spans="1:67" ht="12.95" customHeight="1">
      <c r="A233" s="1546"/>
      <c r="B233" s="472"/>
      <c r="C233" s="472"/>
      <c r="D233" s="472"/>
      <c r="E233" s="472"/>
      <c r="F233" s="472"/>
      <c r="G233" s="472"/>
      <c r="H233" s="472"/>
      <c r="I233" s="472"/>
      <c r="J233" s="472"/>
      <c r="K233" s="472"/>
      <c r="L233" s="472"/>
      <c r="M233" s="472"/>
      <c r="N233" s="301"/>
      <c r="O233" s="301"/>
      <c r="P233" s="303"/>
      <c r="Q233" s="303"/>
      <c r="R233" s="303"/>
      <c r="S233" s="303"/>
      <c r="T233" s="303"/>
      <c r="U233" s="303"/>
      <c r="V233" s="303"/>
      <c r="W233" s="301"/>
      <c r="X233" s="301"/>
    </row>
    <row r="234" spans="1:67" ht="12.95" customHeight="1">
      <c r="A234" s="1546"/>
      <c r="B234" s="472"/>
      <c r="C234" s="472"/>
      <c r="D234" s="472"/>
      <c r="E234" s="472"/>
      <c r="F234" s="472"/>
      <c r="G234" s="472"/>
      <c r="H234" s="472"/>
      <c r="I234" s="472"/>
      <c r="J234" s="472"/>
      <c r="K234" s="472"/>
      <c r="L234" s="472"/>
      <c r="M234" s="472"/>
      <c r="N234" s="301"/>
      <c r="O234" s="301"/>
      <c r="P234" s="303"/>
      <c r="Q234" s="303"/>
      <c r="R234" s="303"/>
      <c r="S234" s="303"/>
      <c r="T234" s="303"/>
      <c r="U234" s="303"/>
      <c r="V234" s="303"/>
      <c r="W234" s="301"/>
      <c r="X234" s="301"/>
    </row>
    <row r="235" spans="1:67" ht="12.95" customHeight="1">
      <c r="A235" s="1546"/>
      <c r="B235" s="472"/>
      <c r="C235" s="472"/>
      <c r="D235" s="472"/>
      <c r="E235" s="472"/>
      <c r="F235" s="472"/>
      <c r="G235" s="472"/>
      <c r="H235" s="472"/>
      <c r="I235" s="472"/>
      <c r="J235" s="472"/>
      <c r="K235" s="472"/>
      <c r="L235" s="472"/>
      <c r="M235" s="472"/>
      <c r="N235" s="301"/>
      <c r="O235" s="301"/>
      <c r="P235" s="303"/>
      <c r="Q235" s="303"/>
      <c r="R235" s="303"/>
      <c r="S235" s="303"/>
      <c r="T235" s="303"/>
      <c r="U235" s="303"/>
      <c r="V235" s="303"/>
      <c r="W235" s="301"/>
      <c r="X235" s="301"/>
    </row>
    <row r="236" spans="1:67" ht="12.95" customHeight="1" thickBot="1">
      <c r="A236" s="1547"/>
      <c r="B236" s="472"/>
      <c r="C236" s="472"/>
      <c r="D236" s="472"/>
      <c r="E236" s="472"/>
      <c r="F236" s="472"/>
      <c r="G236" s="472"/>
      <c r="H236" s="472"/>
      <c r="I236" s="472"/>
      <c r="J236" s="472"/>
      <c r="K236" s="472"/>
      <c r="L236" s="472"/>
      <c r="M236" s="472"/>
      <c r="N236" s="301"/>
      <c r="O236" s="301"/>
      <c r="P236" s="303"/>
      <c r="Q236" s="303"/>
      <c r="R236" s="303"/>
      <c r="S236" s="303"/>
      <c r="T236" s="303"/>
      <c r="U236" s="303"/>
      <c r="V236" s="303"/>
      <c r="W236" s="301"/>
      <c r="X236" s="301"/>
    </row>
    <row r="237" spans="1:67" ht="12.95" customHeight="1" thickBot="1">
      <c r="A237" s="301"/>
      <c r="B237" s="472"/>
      <c r="C237" s="472"/>
      <c r="D237" s="472"/>
      <c r="E237" s="472"/>
      <c r="F237" s="472"/>
      <c r="G237" s="472"/>
      <c r="H237" s="472"/>
      <c r="I237" s="472"/>
      <c r="J237" s="472"/>
      <c r="K237" s="472"/>
      <c r="L237" s="472"/>
      <c r="M237" s="472"/>
      <c r="N237" s="301"/>
      <c r="O237" s="301"/>
      <c r="P237" s="303"/>
      <c r="Q237" s="303"/>
      <c r="R237" s="303"/>
      <c r="S237" s="303"/>
      <c r="T237" s="303"/>
      <c r="U237" s="303"/>
      <c r="V237" s="303"/>
      <c r="W237" s="301"/>
      <c r="X237" s="301"/>
    </row>
    <row r="238" spans="1:67" ht="12.95" customHeight="1">
      <c r="A238" s="1545" t="s">
        <v>112</v>
      </c>
      <c r="B238" s="472"/>
      <c r="C238" s="472"/>
      <c r="D238" s="472"/>
      <c r="E238" s="472"/>
      <c r="F238" s="472"/>
      <c r="G238" s="472"/>
      <c r="H238" s="472"/>
      <c r="I238" s="472"/>
      <c r="J238" s="472"/>
      <c r="K238" s="472"/>
      <c r="L238" s="472"/>
      <c r="M238" s="472"/>
      <c r="N238" s="301"/>
      <c r="O238" s="301"/>
      <c r="P238" s="303"/>
      <c r="Q238" s="303"/>
      <c r="R238" s="303"/>
      <c r="S238" s="303"/>
      <c r="T238" s="303"/>
      <c r="U238" s="303"/>
      <c r="V238" s="303"/>
      <c r="W238" s="301"/>
      <c r="X238" s="301"/>
    </row>
    <row r="239" spans="1:67" ht="12.95" customHeight="1">
      <c r="A239" s="1546"/>
      <c r="B239" s="472"/>
      <c r="C239" s="472"/>
      <c r="D239" s="472"/>
      <c r="E239" s="472"/>
      <c r="F239" s="472"/>
      <c r="G239" s="472"/>
      <c r="H239" s="472"/>
      <c r="I239" s="472"/>
      <c r="J239" s="472"/>
      <c r="K239" s="472"/>
      <c r="L239" s="472"/>
      <c r="M239" s="472"/>
      <c r="N239" s="301"/>
      <c r="O239" s="301"/>
      <c r="P239" s="303"/>
      <c r="Q239" s="303"/>
      <c r="R239" s="303"/>
      <c r="S239" s="303"/>
      <c r="T239" s="303"/>
      <c r="U239" s="303"/>
      <c r="V239" s="303"/>
      <c r="W239" s="301"/>
      <c r="X239" s="301"/>
    </row>
    <row r="240" spans="1:67" ht="12.95" customHeight="1">
      <c r="A240" s="1546"/>
      <c r="B240" s="472"/>
      <c r="C240" s="472"/>
      <c r="D240" s="472"/>
      <c r="E240" s="472"/>
      <c r="F240" s="472"/>
      <c r="G240" s="472"/>
      <c r="H240" s="472"/>
      <c r="I240" s="472"/>
      <c r="J240" s="472"/>
      <c r="K240" s="472"/>
      <c r="L240" s="472"/>
      <c r="M240" s="472"/>
      <c r="N240" s="301"/>
      <c r="O240" s="301"/>
      <c r="P240" s="303"/>
      <c r="Q240" s="303"/>
      <c r="R240" s="303"/>
      <c r="S240" s="303"/>
      <c r="T240" s="303"/>
      <c r="U240" s="303"/>
      <c r="V240" s="303"/>
      <c r="W240" s="301"/>
      <c r="X240" s="301"/>
    </row>
    <row r="241" spans="1:24" ht="12.95" customHeight="1">
      <c r="A241" s="1546"/>
      <c r="B241" s="472"/>
      <c r="C241" s="472"/>
      <c r="D241" s="472"/>
      <c r="E241" s="472"/>
      <c r="F241" s="472"/>
      <c r="G241" s="472"/>
      <c r="H241" s="472"/>
      <c r="I241" s="472"/>
      <c r="J241" s="472"/>
      <c r="K241" s="472"/>
      <c r="L241" s="472"/>
      <c r="M241" s="472"/>
      <c r="N241" s="301"/>
      <c r="O241" s="301"/>
      <c r="P241" s="303"/>
      <c r="Q241" s="303"/>
      <c r="R241" s="303"/>
      <c r="S241" s="303"/>
      <c r="T241" s="303"/>
      <c r="U241" s="303"/>
      <c r="V241" s="303"/>
      <c r="W241" s="301"/>
      <c r="X241" s="301"/>
    </row>
    <row r="242" spans="1:24" ht="12.95" customHeight="1">
      <c r="A242" s="1546"/>
      <c r="B242" s="472"/>
      <c r="C242" s="472"/>
      <c r="D242" s="472"/>
      <c r="E242" s="472"/>
      <c r="F242" s="472"/>
      <c r="G242" s="472"/>
      <c r="H242" s="472"/>
      <c r="I242" s="472"/>
      <c r="J242" s="472"/>
      <c r="K242" s="472"/>
      <c r="L242" s="472"/>
      <c r="M242" s="472"/>
      <c r="N242" s="301"/>
      <c r="O242" s="301"/>
      <c r="P242" s="303"/>
      <c r="Q242" s="303"/>
      <c r="R242" s="303"/>
      <c r="S242" s="303"/>
      <c r="T242" s="303"/>
      <c r="U242" s="303"/>
      <c r="V242" s="303"/>
      <c r="W242" s="301"/>
      <c r="X242" s="301"/>
    </row>
    <row r="243" spans="1:24" ht="12.95" customHeight="1">
      <c r="A243" s="1546"/>
      <c r="B243" s="472"/>
      <c r="C243" s="472"/>
      <c r="D243" s="472"/>
      <c r="E243" s="472"/>
      <c r="F243" s="472"/>
      <c r="G243" s="472"/>
      <c r="H243" s="472"/>
      <c r="I243" s="472"/>
      <c r="J243" s="472"/>
      <c r="K243" s="472"/>
      <c r="L243" s="472"/>
      <c r="M243" s="472"/>
      <c r="N243" s="301"/>
      <c r="O243" s="301"/>
      <c r="P243" s="303"/>
      <c r="Q243" s="303"/>
      <c r="R243" s="303"/>
      <c r="S243" s="303"/>
      <c r="T243" s="303"/>
      <c r="U243" s="303"/>
      <c r="V243" s="303"/>
      <c r="W243" s="301"/>
      <c r="X243" s="301"/>
    </row>
    <row r="244" spans="1:24" ht="12.95" customHeight="1">
      <c r="A244" s="1546"/>
      <c r="B244" s="472"/>
      <c r="C244" s="472"/>
      <c r="D244" s="472"/>
      <c r="E244" s="472"/>
      <c r="F244" s="472"/>
      <c r="G244" s="472"/>
      <c r="H244" s="472"/>
      <c r="I244" s="472"/>
      <c r="J244" s="472"/>
      <c r="K244" s="472"/>
      <c r="L244" s="472"/>
      <c r="M244" s="472"/>
      <c r="N244" s="301"/>
      <c r="O244" s="301"/>
      <c r="P244" s="303"/>
      <c r="Q244" s="303"/>
      <c r="R244" s="303"/>
      <c r="S244" s="303"/>
      <c r="T244" s="303"/>
      <c r="U244" s="303"/>
      <c r="V244" s="303"/>
      <c r="W244" s="301"/>
      <c r="X244" s="301"/>
    </row>
    <row r="245" spans="1:24" ht="12.95" customHeight="1" thickBot="1">
      <c r="A245" s="1547"/>
      <c r="B245" s="472"/>
      <c r="C245" s="472"/>
      <c r="D245" s="472"/>
      <c r="E245" s="472"/>
      <c r="F245" s="472"/>
      <c r="G245" s="472"/>
      <c r="H245" s="472"/>
      <c r="I245" s="472"/>
      <c r="J245" s="472"/>
      <c r="K245" s="472"/>
      <c r="L245" s="472"/>
      <c r="M245" s="472"/>
      <c r="N245" s="301"/>
      <c r="O245" s="301"/>
      <c r="P245" s="303"/>
      <c r="Q245" s="303"/>
      <c r="R245" s="303"/>
      <c r="S245" s="303"/>
      <c r="T245" s="303"/>
      <c r="U245" s="303"/>
      <c r="V245" s="303"/>
      <c r="W245" s="301"/>
      <c r="X245" s="301"/>
    </row>
    <row r="246" spans="1:24" ht="12.95" customHeight="1" thickBot="1">
      <c r="A246" s="301"/>
      <c r="B246" s="472"/>
      <c r="C246" s="472"/>
      <c r="D246" s="472"/>
      <c r="E246" s="472"/>
      <c r="F246" s="472"/>
      <c r="G246" s="472"/>
      <c r="H246" s="472"/>
      <c r="I246" s="472"/>
      <c r="J246" s="472"/>
      <c r="K246" s="472"/>
      <c r="L246" s="472"/>
      <c r="M246" s="472"/>
      <c r="N246" s="301"/>
      <c r="O246" s="301"/>
      <c r="P246" s="303"/>
      <c r="Q246" s="303"/>
      <c r="R246" s="303"/>
      <c r="S246" s="303"/>
      <c r="T246" s="303"/>
      <c r="U246" s="303"/>
      <c r="V246" s="303"/>
      <c r="W246" s="301"/>
      <c r="X246" s="301"/>
    </row>
    <row r="247" spans="1:24" ht="12.95" customHeight="1">
      <c r="A247" s="1542" t="s">
        <v>111</v>
      </c>
      <c r="B247" s="472"/>
      <c r="C247" s="472"/>
      <c r="D247" s="472"/>
      <c r="E247" s="472"/>
      <c r="F247" s="472"/>
      <c r="G247" s="472"/>
      <c r="H247" s="472"/>
      <c r="I247" s="472"/>
      <c r="J247" s="472"/>
      <c r="K247" s="472"/>
      <c r="L247" s="472"/>
      <c r="M247" s="472"/>
      <c r="N247" s="301"/>
      <c r="O247" s="301"/>
      <c r="P247" s="303"/>
      <c r="Q247" s="303"/>
      <c r="R247" s="303"/>
      <c r="S247" s="303"/>
      <c r="T247" s="303"/>
      <c r="U247" s="303"/>
      <c r="V247" s="303"/>
      <c r="W247" s="301"/>
      <c r="X247" s="301"/>
    </row>
    <row r="248" spans="1:24" ht="12.95" customHeight="1">
      <c r="A248" s="1543"/>
      <c r="B248" s="472"/>
      <c r="C248" s="472"/>
      <c r="D248" s="472"/>
      <c r="E248" s="472"/>
      <c r="F248" s="472"/>
      <c r="G248" s="472"/>
      <c r="H248" s="472"/>
      <c r="I248" s="472"/>
      <c r="J248" s="472"/>
      <c r="K248" s="472"/>
      <c r="L248" s="472"/>
      <c r="M248" s="472"/>
      <c r="N248" s="301"/>
      <c r="O248" s="301"/>
      <c r="P248" s="303"/>
      <c r="Q248" s="303"/>
      <c r="R248" s="303"/>
      <c r="S248" s="303"/>
      <c r="T248" s="303"/>
      <c r="U248" s="303"/>
      <c r="V248" s="303"/>
      <c r="W248" s="301"/>
      <c r="X248" s="301"/>
    </row>
    <row r="249" spans="1:24" ht="12.95" customHeight="1">
      <c r="A249" s="1543"/>
      <c r="B249" s="472"/>
      <c r="C249" s="472"/>
      <c r="D249" s="472"/>
      <c r="E249" s="472"/>
      <c r="F249" s="472"/>
      <c r="G249" s="472"/>
      <c r="H249" s="472"/>
      <c r="I249" s="472"/>
      <c r="J249" s="472"/>
      <c r="K249" s="472"/>
      <c r="L249" s="472"/>
      <c r="M249" s="472"/>
      <c r="N249" s="301"/>
      <c r="O249" s="301"/>
      <c r="P249" s="303"/>
      <c r="Q249" s="303"/>
      <c r="R249" s="303"/>
      <c r="S249" s="303"/>
      <c r="T249" s="303"/>
      <c r="U249" s="303"/>
      <c r="V249" s="303"/>
      <c r="W249" s="301"/>
      <c r="X249" s="301"/>
    </row>
    <row r="250" spans="1:24" ht="12.95" customHeight="1">
      <c r="A250" s="1543"/>
      <c r="B250" s="472"/>
      <c r="C250" s="472"/>
      <c r="D250" s="472"/>
      <c r="E250" s="472"/>
      <c r="F250" s="472"/>
      <c r="G250" s="472"/>
      <c r="H250" s="472"/>
      <c r="I250" s="472"/>
      <c r="J250" s="472"/>
      <c r="K250" s="472"/>
      <c r="L250" s="472"/>
      <c r="M250" s="472"/>
      <c r="N250" s="301"/>
      <c r="O250" s="301"/>
      <c r="P250" s="360"/>
      <c r="Q250" s="303"/>
      <c r="R250" s="303"/>
      <c r="S250" s="303"/>
      <c r="T250" s="303"/>
      <c r="U250" s="303"/>
      <c r="V250" s="303"/>
      <c r="W250" s="301"/>
      <c r="X250" s="301"/>
    </row>
    <row r="251" spans="1:24" ht="12.95" customHeight="1">
      <c r="A251" s="1543"/>
      <c r="B251" s="472"/>
      <c r="C251" s="472"/>
      <c r="D251" s="472"/>
      <c r="E251" s="472"/>
      <c r="F251" s="472"/>
      <c r="G251" s="472"/>
      <c r="H251" s="472"/>
      <c r="I251" s="472"/>
      <c r="J251" s="472"/>
      <c r="K251" s="472"/>
      <c r="L251" s="472"/>
      <c r="M251" s="472"/>
      <c r="N251" s="301"/>
      <c r="O251" s="301"/>
      <c r="P251" s="303"/>
      <c r="Q251" s="303"/>
      <c r="R251" s="303"/>
      <c r="S251" s="303"/>
      <c r="T251" s="303"/>
      <c r="U251" s="303"/>
      <c r="V251" s="303"/>
      <c r="W251" s="301"/>
      <c r="X251" s="301"/>
    </row>
    <row r="252" spans="1:24" ht="12.95" customHeight="1">
      <c r="A252" s="1543"/>
      <c r="B252" s="472"/>
      <c r="C252" s="472"/>
      <c r="D252" s="472"/>
      <c r="E252" s="472"/>
      <c r="F252" s="472"/>
      <c r="G252" s="472"/>
      <c r="H252" s="472"/>
      <c r="I252" s="472"/>
      <c r="J252" s="472"/>
      <c r="K252" s="472"/>
      <c r="L252" s="472"/>
      <c r="M252" s="472"/>
      <c r="N252" s="301"/>
      <c r="O252" s="301"/>
      <c r="P252" s="303"/>
      <c r="Q252" s="303"/>
      <c r="R252" s="303"/>
      <c r="S252" s="303"/>
      <c r="T252" s="303"/>
      <c r="U252" s="303"/>
      <c r="V252" s="303"/>
      <c r="W252" s="301"/>
      <c r="X252" s="301"/>
    </row>
    <row r="253" spans="1:24" ht="12.95" customHeight="1">
      <c r="A253" s="1543"/>
      <c r="B253" s="472"/>
      <c r="C253" s="472"/>
      <c r="D253" s="472"/>
      <c r="E253" s="472"/>
      <c r="F253" s="472"/>
      <c r="G253" s="472"/>
      <c r="H253" s="472"/>
      <c r="I253" s="472"/>
      <c r="J253" s="472"/>
      <c r="K253" s="472"/>
      <c r="L253" s="472"/>
      <c r="M253" s="472"/>
      <c r="N253" s="301"/>
      <c r="O253" s="301"/>
      <c r="P253" s="303"/>
      <c r="Q253" s="303"/>
      <c r="R253" s="303"/>
      <c r="S253" s="303"/>
      <c r="T253" s="303"/>
      <c r="U253" s="303"/>
      <c r="V253" s="303"/>
      <c r="W253" s="301"/>
      <c r="X253" s="301"/>
    </row>
    <row r="254" spans="1:24" ht="12.95" customHeight="1" thickBot="1">
      <c r="A254" s="1544"/>
      <c r="B254" s="472"/>
      <c r="C254" s="472"/>
      <c r="D254" s="472"/>
      <c r="E254" s="472"/>
      <c r="F254" s="472"/>
      <c r="G254" s="472"/>
      <c r="H254" s="472"/>
      <c r="I254" s="472"/>
      <c r="J254" s="472"/>
      <c r="K254" s="472"/>
      <c r="L254" s="472"/>
      <c r="M254" s="472"/>
      <c r="N254" s="301"/>
      <c r="O254" s="301"/>
      <c r="P254" s="303"/>
      <c r="Q254" s="303"/>
      <c r="R254" s="303"/>
      <c r="S254" s="303"/>
      <c r="T254" s="303"/>
      <c r="U254" s="303"/>
      <c r="V254" s="303"/>
      <c r="W254" s="301"/>
      <c r="X254" s="301"/>
    </row>
    <row r="255" spans="1:24" ht="12.95" customHeight="1" thickBot="1">
      <c r="A255" s="301"/>
      <c r="B255" s="472"/>
      <c r="C255" s="472"/>
      <c r="D255" s="472"/>
      <c r="E255" s="472"/>
      <c r="F255" s="472"/>
      <c r="G255" s="472"/>
      <c r="H255" s="472"/>
      <c r="I255" s="472"/>
      <c r="J255" s="472"/>
      <c r="K255" s="472"/>
      <c r="L255" s="472"/>
      <c r="M255" s="472"/>
      <c r="N255" s="301"/>
      <c r="O255" s="301"/>
      <c r="P255" s="303"/>
      <c r="Q255" s="303"/>
      <c r="R255" s="303"/>
      <c r="S255" s="303"/>
      <c r="T255" s="303"/>
      <c r="U255" s="303"/>
      <c r="V255" s="303"/>
      <c r="W255" s="301"/>
      <c r="X255" s="301"/>
    </row>
    <row r="256" spans="1:24" ht="12.95" customHeight="1">
      <c r="A256" s="1545" t="s">
        <v>123</v>
      </c>
      <c r="B256" s="472"/>
      <c r="C256" s="472"/>
      <c r="D256" s="472"/>
      <c r="E256" s="472"/>
      <c r="F256" s="472"/>
      <c r="G256" s="472"/>
      <c r="H256" s="472"/>
      <c r="I256" s="472"/>
      <c r="J256" s="472"/>
      <c r="K256" s="472"/>
      <c r="L256" s="472"/>
      <c r="M256" s="472"/>
      <c r="N256" s="301"/>
      <c r="O256" s="301"/>
      <c r="P256" s="303"/>
      <c r="Q256" s="303"/>
      <c r="R256" s="303"/>
      <c r="S256" s="303"/>
      <c r="T256" s="303"/>
      <c r="U256" s="303"/>
      <c r="V256" s="303"/>
      <c r="W256" s="301"/>
      <c r="X256" s="301"/>
    </row>
    <row r="257" spans="1:24" ht="12.95" customHeight="1">
      <c r="A257" s="1546"/>
      <c r="B257" s="472"/>
      <c r="C257" s="472"/>
      <c r="D257" s="472"/>
      <c r="E257" s="472"/>
      <c r="F257" s="472"/>
      <c r="G257" s="472"/>
      <c r="H257" s="472"/>
      <c r="I257" s="472"/>
      <c r="J257" s="472"/>
      <c r="K257" s="472"/>
      <c r="L257" s="472"/>
      <c r="M257" s="472"/>
      <c r="N257" s="301"/>
      <c r="O257" s="301"/>
      <c r="P257" s="303"/>
      <c r="Q257" s="303"/>
      <c r="R257" s="303"/>
      <c r="S257" s="303"/>
      <c r="T257" s="303"/>
      <c r="U257" s="303"/>
      <c r="V257" s="303"/>
      <c r="W257" s="301"/>
      <c r="X257" s="301"/>
    </row>
    <row r="258" spans="1:24" ht="12.95" customHeight="1">
      <c r="A258" s="1546"/>
      <c r="B258" s="472"/>
      <c r="C258" s="472"/>
      <c r="D258" s="472"/>
      <c r="E258" s="472"/>
      <c r="F258" s="472"/>
      <c r="G258" s="472"/>
      <c r="H258" s="472"/>
      <c r="I258" s="472"/>
      <c r="J258" s="472"/>
      <c r="K258" s="472"/>
      <c r="L258" s="472"/>
      <c r="M258" s="472"/>
      <c r="N258" s="301"/>
      <c r="O258" s="301"/>
      <c r="P258" s="303"/>
      <c r="Q258" s="303"/>
      <c r="R258" s="303"/>
      <c r="S258" s="303"/>
      <c r="T258" s="303"/>
      <c r="U258" s="303"/>
      <c r="V258" s="303"/>
      <c r="W258" s="301"/>
      <c r="X258" s="301"/>
    </row>
    <row r="259" spans="1:24" ht="12.95" customHeight="1">
      <c r="A259" s="1546"/>
      <c r="B259" s="472"/>
      <c r="C259" s="472"/>
      <c r="D259" s="472"/>
      <c r="E259" s="472"/>
      <c r="F259" s="472"/>
      <c r="G259" s="472"/>
      <c r="H259" s="472"/>
      <c r="I259" s="472"/>
      <c r="J259" s="472"/>
      <c r="K259" s="472"/>
      <c r="L259" s="472"/>
      <c r="M259" s="472"/>
      <c r="N259" s="301"/>
      <c r="O259" s="301"/>
      <c r="P259" s="303"/>
      <c r="Q259" s="303"/>
      <c r="R259" s="303"/>
      <c r="S259" s="303"/>
      <c r="T259" s="303"/>
      <c r="U259" s="303"/>
      <c r="V259" s="303"/>
      <c r="W259" s="301"/>
      <c r="X259" s="301"/>
    </row>
    <row r="260" spans="1:24" ht="12.95" customHeight="1">
      <c r="A260" s="1546"/>
      <c r="B260" s="472"/>
      <c r="C260" s="472"/>
      <c r="D260" s="472"/>
      <c r="E260" s="472"/>
      <c r="F260" s="472"/>
      <c r="G260" s="472"/>
      <c r="H260" s="472"/>
      <c r="I260" s="472"/>
      <c r="J260" s="472"/>
      <c r="K260" s="472"/>
      <c r="L260" s="472"/>
      <c r="M260" s="472"/>
      <c r="N260" s="301"/>
      <c r="O260" s="301"/>
      <c r="P260" s="303"/>
      <c r="Q260" s="303"/>
      <c r="R260" s="303"/>
      <c r="S260" s="303"/>
      <c r="T260" s="303"/>
      <c r="U260" s="303"/>
      <c r="V260" s="303"/>
      <c r="W260" s="301"/>
      <c r="X260" s="301"/>
    </row>
    <row r="261" spans="1:24" ht="12.95" customHeight="1">
      <c r="A261" s="1546"/>
      <c r="B261" s="472"/>
      <c r="C261" s="472"/>
      <c r="D261" s="472"/>
      <c r="E261" s="472"/>
      <c r="F261" s="472"/>
      <c r="G261" s="472"/>
      <c r="H261" s="472"/>
      <c r="I261" s="472"/>
      <c r="J261" s="472"/>
      <c r="K261" s="472"/>
      <c r="L261" s="472"/>
      <c r="M261" s="472"/>
      <c r="N261" s="301"/>
      <c r="O261" s="301"/>
      <c r="P261" s="303"/>
      <c r="Q261" s="303"/>
      <c r="R261" s="303"/>
      <c r="S261" s="303"/>
      <c r="T261" s="303"/>
      <c r="U261" s="303"/>
      <c r="V261" s="303"/>
      <c r="W261" s="301"/>
      <c r="X261" s="301"/>
    </row>
    <row r="262" spans="1:24" ht="12.95" customHeight="1">
      <c r="A262" s="1546"/>
      <c r="B262" s="472"/>
      <c r="C262" s="472"/>
      <c r="D262" s="472"/>
      <c r="E262" s="472"/>
      <c r="F262" s="472"/>
      <c r="G262" s="472"/>
      <c r="H262" s="472"/>
      <c r="I262" s="472"/>
      <c r="J262" s="472"/>
      <c r="K262" s="472"/>
      <c r="L262" s="472"/>
      <c r="M262" s="472"/>
      <c r="N262" s="301"/>
      <c r="O262" s="301"/>
      <c r="P262" s="303"/>
      <c r="Q262" s="303"/>
      <c r="R262" s="303"/>
      <c r="S262" s="303"/>
      <c r="T262" s="303"/>
      <c r="U262" s="303"/>
      <c r="V262" s="303"/>
      <c r="W262" s="301"/>
      <c r="X262" s="301"/>
    </row>
    <row r="263" spans="1:24" ht="12.95" customHeight="1" thickBot="1">
      <c r="A263" s="1547"/>
      <c r="B263" s="472"/>
      <c r="C263" s="472"/>
      <c r="D263" s="472"/>
      <c r="E263" s="472"/>
      <c r="F263" s="472"/>
      <c r="G263" s="472"/>
      <c r="H263" s="472"/>
      <c r="I263" s="472"/>
      <c r="J263" s="472"/>
      <c r="K263" s="472"/>
      <c r="L263" s="472"/>
      <c r="M263" s="472"/>
      <c r="N263" s="301"/>
      <c r="O263" s="301"/>
      <c r="P263" s="303"/>
      <c r="Q263" s="303"/>
      <c r="R263" s="303"/>
      <c r="S263" s="303"/>
      <c r="T263" s="303"/>
      <c r="U263" s="303"/>
      <c r="V263" s="303"/>
      <c r="W263" s="301"/>
      <c r="X263" s="301"/>
    </row>
    <row r="264" spans="1:24" ht="12.95" customHeight="1" thickBot="1">
      <c r="A264" s="301"/>
      <c r="B264" s="472"/>
      <c r="C264" s="472"/>
      <c r="D264" s="472"/>
      <c r="E264" s="472"/>
      <c r="F264" s="472"/>
      <c r="G264" s="472"/>
      <c r="H264" s="472"/>
      <c r="I264" s="472"/>
      <c r="J264" s="472"/>
      <c r="K264" s="472"/>
      <c r="L264" s="472"/>
      <c r="M264" s="472"/>
      <c r="N264" s="301"/>
      <c r="O264" s="301"/>
      <c r="P264" s="303"/>
      <c r="Q264" s="303"/>
      <c r="R264" s="303"/>
      <c r="S264" s="303"/>
      <c r="T264" s="303"/>
      <c r="U264" s="303"/>
      <c r="V264" s="303"/>
      <c r="W264" s="301"/>
      <c r="X264" s="301"/>
    </row>
    <row r="265" spans="1:24" ht="12.95" customHeight="1">
      <c r="A265" s="1548" t="s">
        <v>134</v>
      </c>
      <c r="B265" s="472"/>
      <c r="C265" s="472"/>
      <c r="D265" s="472"/>
      <c r="E265" s="472"/>
      <c r="F265" s="472"/>
      <c r="G265" s="472"/>
      <c r="H265" s="472"/>
      <c r="I265" s="472"/>
      <c r="J265" s="472"/>
      <c r="K265" s="472"/>
      <c r="L265" s="472"/>
      <c r="M265" s="472"/>
      <c r="N265" s="301"/>
      <c r="O265" s="301"/>
      <c r="P265" s="303"/>
      <c r="Q265" s="303"/>
      <c r="R265" s="303"/>
      <c r="S265" s="303"/>
      <c r="T265" s="303"/>
      <c r="U265" s="303"/>
      <c r="V265" s="303"/>
      <c r="W265" s="301"/>
      <c r="X265" s="301"/>
    </row>
    <row r="266" spans="1:24" ht="12.95" customHeight="1">
      <c r="A266" s="1549"/>
      <c r="B266" s="472"/>
      <c r="C266" s="472"/>
      <c r="D266" s="472"/>
      <c r="E266" s="472"/>
      <c r="F266" s="472"/>
      <c r="G266" s="472"/>
      <c r="H266" s="472"/>
      <c r="I266" s="472"/>
      <c r="J266" s="472"/>
      <c r="K266" s="472"/>
      <c r="L266" s="472"/>
      <c r="M266" s="472"/>
      <c r="N266" s="301"/>
      <c r="O266" s="301"/>
      <c r="P266" s="303"/>
      <c r="Q266" s="303"/>
      <c r="R266" s="303"/>
      <c r="S266" s="303"/>
      <c r="T266" s="303"/>
      <c r="U266" s="303"/>
      <c r="V266" s="303"/>
      <c r="W266" s="301"/>
      <c r="X266" s="301"/>
    </row>
    <row r="267" spans="1:24" ht="12.95" customHeight="1">
      <c r="A267" s="1549"/>
      <c r="B267" s="472"/>
      <c r="C267" s="472"/>
      <c r="D267" s="472"/>
      <c r="E267" s="472"/>
      <c r="F267" s="472"/>
      <c r="G267" s="472"/>
      <c r="H267" s="472"/>
      <c r="I267" s="472"/>
      <c r="J267" s="472"/>
      <c r="K267" s="472"/>
      <c r="L267" s="472"/>
      <c r="M267" s="472"/>
      <c r="N267" s="301"/>
      <c r="O267" s="301"/>
      <c r="P267" s="303"/>
      <c r="Q267" s="303"/>
      <c r="R267" s="303"/>
      <c r="S267" s="303"/>
      <c r="T267" s="303"/>
      <c r="U267" s="303"/>
      <c r="V267" s="303"/>
      <c r="W267" s="301"/>
      <c r="X267" s="301"/>
    </row>
    <row r="268" spans="1:24" ht="12.95" customHeight="1">
      <c r="A268" s="1549"/>
      <c r="B268" s="472"/>
      <c r="C268" s="472"/>
      <c r="D268" s="472"/>
      <c r="E268" s="472"/>
      <c r="F268" s="472"/>
      <c r="G268" s="472"/>
      <c r="H268" s="472"/>
      <c r="I268" s="472"/>
      <c r="J268" s="472"/>
      <c r="K268" s="472"/>
      <c r="L268" s="472"/>
      <c r="M268" s="472"/>
      <c r="N268" s="301"/>
      <c r="O268" s="301"/>
      <c r="P268" s="303"/>
      <c r="Q268" s="303"/>
      <c r="R268" s="303"/>
      <c r="S268" s="303"/>
      <c r="T268" s="303"/>
      <c r="U268" s="303"/>
      <c r="V268" s="303"/>
      <c r="W268" s="301"/>
      <c r="X268" s="301"/>
    </row>
    <row r="269" spans="1:24" ht="12.95" customHeight="1">
      <c r="A269" s="1549"/>
      <c r="B269" s="472"/>
      <c r="C269" s="472"/>
      <c r="D269" s="472"/>
      <c r="E269" s="472"/>
      <c r="F269" s="472"/>
      <c r="G269" s="472"/>
      <c r="H269" s="472"/>
      <c r="I269" s="472"/>
      <c r="J269" s="472"/>
      <c r="K269" s="472"/>
      <c r="L269" s="472"/>
      <c r="M269" s="472"/>
      <c r="N269" s="301"/>
      <c r="O269" s="301"/>
      <c r="P269" s="303"/>
      <c r="Q269" s="303"/>
      <c r="R269" s="303"/>
      <c r="S269" s="303"/>
      <c r="T269" s="303"/>
      <c r="U269" s="303"/>
      <c r="V269" s="303"/>
      <c r="W269" s="301"/>
      <c r="X269" s="301"/>
    </row>
    <row r="270" spans="1:24" ht="12.95" customHeight="1">
      <c r="A270" s="1549"/>
      <c r="B270" s="472"/>
      <c r="C270" s="472"/>
      <c r="D270" s="472"/>
      <c r="E270" s="472"/>
      <c r="F270" s="472"/>
      <c r="G270" s="472"/>
      <c r="H270" s="472"/>
      <c r="I270" s="472"/>
      <c r="J270" s="472"/>
      <c r="K270" s="472"/>
      <c r="L270" s="472"/>
      <c r="M270" s="472"/>
      <c r="N270" s="301"/>
      <c r="O270" s="301"/>
      <c r="P270" s="303"/>
      <c r="Q270" s="303"/>
      <c r="R270" s="303"/>
      <c r="S270" s="303"/>
      <c r="T270" s="303"/>
      <c r="U270" s="303"/>
      <c r="V270" s="303"/>
      <c r="W270" s="301"/>
      <c r="X270" s="301"/>
    </row>
    <row r="271" spans="1:24" ht="12.95" customHeight="1">
      <c r="A271" s="1549"/>
      <c r="B271" s="472"/>
      <c r="C271" s="472"/>
      <c r="D271" s="472"/>
      <c r="E271" s="472"/>
      <c r="F271" s="472"/>
      <c r="G271" s="472"/>
      <c r="H271" s="472"/>
      <c r="I271" s="472"/>
      <c r="J271" s="472"/>
      <c r="K271" s="472"/>
      <c r="L271" s="472"/>
      <c r="M271" s="472"/>
      <c r="N271" s="301"/>
      <c r="O271" s="301"/>
      <c r="P271" s="303"/>
      <c r="Q271" s="303"/>
      <c r="R271" s="303"/>
      <c r="S271" s="303"/>
      <c r="T271" s="303"/>
      <c r="U271" s="303"/>
      <c r="V271" s="303"/>
      <c r="W271" s="301"/>
      <c r="X271" s="301"/>
    </row>
    <row r="272" spans="1:24" ht="12.95" customHeight="1" thickBot="1">
      <c r="A272" s="1550"/>
      <c r="B272" s="472"/>
      <c r="C272" s="472"/>
      <c r="D272" s="472"/>
      <c r="E272" s="472"/>
      <c r="F272" s="472"/>
      <c r="G272" s="472"/>
      <c r="H272" s="472"/>
      <c r="I272" s="472"/>
      <c r="J272" s="472"/>
      <c r="K272" s="472"/>
      <c r="L272" s="472"/>
      <c r="M272" s="472"/>
      <c r="N272" s="301"/>
      <c r="O272" s="301"/>
      <c r="P272" s="301"/>
      <c r="Q272" s="301"/>
      <c r="R272" s="301"/>
      <c r="S272" s="301"/>
      <c r="T272" s="301"/>
      <c r="U272" s="301"/>
      <c r="V272" s="301"/>
      <c r="W272" s="301"/>
      <c r="X272" s="301"/>
    </row>
    <row r="273" spans="1:24" ht="12.95" customHeight="1">
      <c r="A273" s="300"/>
      <c r="B273" s="304"/>
      <c r="C273" s="304"/>
      <c r="D273" s="304"/>
      <c r="E273" s="304"/>
      <c r="F273" s="304"/>
      <c r="G273" s="304"/>
      <c r="H273" s="304"/>
      <c r="I273" s="304"/>
      <c r="J273" s="303"/>
      <c r="K273" s="303"/>
      <c r="L273" s="303"/>
      <c r="M273" s="303"/>
      <c r="N273" s="301"/>
      <c r="O273" s="301"/>
      <c r="P273" s="301"/>
      <c r="Q273" s="301"/>
      <c r="R273" s="301"/>
      <c r="S273" s="301"/>
      <c r="T273" s="301"/>
      <c r="U273" s="301"/>
      <c r="V273" s="301"/>
      <c r="W273" s="301"/>
      <c r="X273" s="301"/>
    </row>
    <row r="274" spans="1:24" ht="12.95" customHeight="1">
      <c r="A274" s="300"/>
      <c r="B274" s="304"/>
      <c r="C274" s="304"/>
      <c r="D274" s="304"/>
      <c r="E274" s="304"/>
      <c r="F274" s="304"/>
      <c r="G274" s="304"/>
      <c r="H274" s="304"/>
      <c r="I274" s="304"/>
      <c r="J274" s="303"/>
      <c r="K274" s="303"/>
      <c r="L274" s="303"/>
      <c r="M274" s="303"/>
      <c r="N274" s="301"/>
      <c r="O274" s="301"/>
      <c r="P274" s="301"/>
      <c r="Q274" s="301"/>
      <c r="R274" s="301"/>
      <c r="S274" s="301"/>
      <c r="T274" s="301"/>
      <c r="U274" s="301"/>
      <c r="V274" s="301"/>
      <c r="W274" s="301"/>
      <c r="X274" s="301"/>
    </row>
    <row r="275" spans="1:24" ht="12.95" customHeight="1">
      <c r="A275" s="300"/>
      <c r="B275" s="304"/>
      <c r="C275" s="304"/>
      <c r="D275" s="304"/>
      <c r="E275" s="304"/>
      <c r="F275" s="304"/>
      <c r="G275" s="304"/>
      <c r="H275" s="304"/>
      <c r="I275" s="304"/>
      <c r="J275" s="303"/>
      <c r="K275" s="303"/>
      <c r="L275" s="303"/>
      <c r="M275" s="303"/>
      <c r="N275" s="301"/>
      <c r="O275" s="301"/>
      <c r="P275" s="301"/>
      <c r="Q275" s="301"/>
      <c r="R275" s="301"/>
      <c r="S275" s="301"/>
      <c r="T275" s="301"/>
      <c r="U275" s="301"/>
      <c r="V275" s="301"/>
      <c r="W275" s="301"/>
      <c r="X275" s="301"/>
    </row>
    <row r="276" spans="1:24" ht="12.95" customHeight="1">
      <c r="A276" s="300"/>
      <c r="B276" s="304"/>
      <c r="C276" s="304"/>
      <c r="D276" s="304"/>
      <c r="E276" s="304"/>
      <c r="F276" s="304"/>
      <c r="G276" s="304"/>
      <c r="H276" s="304"/>
      <c r="I276" s="304"/>
      <c r="J276" s="303"/>
      <c r="K276" s="303"/>
      <c r="L276" s="303"/>
      <c r="M276" s="303"/>
      <c r="N276" s="301"/>
      <c r="O276" s="301"/>
      <c r="P276" s="301"/>
      <c r="Q276" s="301"/>
      <c r="R276" s="301"/>
      <c r="S276" s="301"/>
      <c r="T276" s="301"/>
      <c r="U276" s="301"/>
      <c r="V276" s="301"/>
      <c r="W276" s="301"/>
      <c r="X276" s="301"/>
    </row>
    <row r="277" spans="1:24" ht="12.95" customHeight="1">
      <c r="A277" s="300"/>
      <c r="B277" s="304"/>
      <c r="C277" s="304"/>
      <c r="D277" s="304"/>
      <c r="E277" s="304"/>
      <c r="F277" s="304"/>
      <c r="G277" s="304"/>
      <c r="H277" s="304"/>
      <c r="I277" s="304"/>
      <c r="J277" s="303"/>
      <c r="K277" s="303"/>
      <c r="L277" s="303"/>
      <c r="M277" s="303"/>
      <c r="N277" s="301"/>
      <c r="O277" s="301"/>
      <c r="P277" s="301"/>
      <c r="Q277" s="301"/>
      <c r="R277" s="301"/>
      <c r="S277" s="301"/>
      <c r="T277" s="301"/>
      <c r="U277" s="301"/>
      <c r="V277" s="301"/>
      <c r="W277" s="301"/>
      <c r="X277" s="301"/>
    </row>
    <row r="278" spans="1:24" ht="12.95" customHeight="1">
      <c r="A278" s="300"/>
      <c r="B278" s="304"/>
      <c r="C278" s="304"/>
      <c r="D278" s="304"/>
      <c r="E278" s="304"/>
      <c r="F278" s="304"/>
      <c r="G278" s="304"/>
      <c r="H278" s="304"/>
      <c r="I278" s="304"/>
      <c r="J278" s="303"/>
      <c r="K278" s="303"/>
      <c r="L278" s="303"/>
      <c r="M278" s="303"/>
      <c r="N278" s="301"/>
      <c r="O278" s="301"/>
      <c r="P278" s="301"/>
      <c r="Q278" s="301"/>
      <c r="R278" s="301"/>
      <c r="S278" s="301"/>
      <c r="T278" s="301"/>
      <c r="U278" s="301"/>
      <c r="V278" s="301"/>
      <c r="W278" s="301"/>
      <c r="X278" s="301"/>
    </row>
    <row r="279" spans="1:24" ht="12.95" customHeight="1">
      <c r="A279" s="300"/>
      <c r="B279" s="304"/>
      <c r="C279" s="304"/>
      <c r="D279" s="304"/>
      <c r="E279" s="304"/>
      <c r="F279" s="304"/>
      <c r="G279" s="304"/>
      <c r="H279" s="304"/>
      <c r="I279" s="304"/>
      <c r="J279" s="303"/>
      <c r="K279" s="303"/>
      <c r="L279" s="303"/>
      <c r="M279" s="303"/>
      <c r="N279" s="301"/>
      <c r="O279" s="301"/>
      <c r="P279" s="301"/>
      <c r="Q279" s="301"/>
      <c r="R279" s="301"/>
      <c r="S279" s="301"/>
      <c r="T279" s="301"/>
      <c r="U279" s="301"/>
      <c r="V279" s="301"/>
      <c r="W279" s="301"/>
      <c r="X279" s="301"/>
    </row>
    <row r="280" spans="1:24" ht="12.95" customHeight="1">
      <c r="A280" s="300"/>
      <c r="B280" s="304"/>
      <c r="C280" s="304"/>
      <c r="D280" s="304"/>
      <c r="E280" s="304"/>
      <c r="F280" s="304"/>
      <c r="G280" s="304"/>
      <c r="H280" s="304"/>
      <c r="I280" s="304"/>
      <c r="J280" s="303"/>
      <c r="K280" s="303"/>
      <c r="L280" s="303"/>
      <c r="M280" s="303"/>
      <c r="N280" s="301"/>
      <c r="O280" s="301"/>
      <c r="P280" s="301"/>
      <c r="Q280" s="301"/>
      <c r="R280" s="301"/>
      <c r="S280" s="301"/>
      <c r="T280" s="301"/>
      <c r="U280" s="301"/>
      <c r="V280" s="301"/>
      <c r="W280" s="301"/>
      <c r="X280" s="301"/>
    </row>
    <row r="281" spans="1:24" ht="12.95" customHeight="1">
      <c r="A281" s="300"/>
      <c r="B281" s="304"/>
      <c r="C281" s="304"/>
      <c r="D281" s="304"/>
      <c r="E281" s="304"/>
      <c r="F281" s="304"/>
      <c r="G281" s="304"/>
      <c r="H281" s="304"/>
      <c r="I281" s="304"/>
      <c r="J281" s="303"/>
      <c r="K281" s="303"/>
      <c r="L281" s="303"/>
      <c r="M281" s="303"/>
      <c r="N281" s="301"/>
      <c r="O281" s="301"/>
      <c r="P281" s="301"/>
      <c r="Q281" s="301"/>
      <c r="R281" s="301"/>
      <c r="S281" s="301"/>
      <c r="T281" s="301"/>
      <c r="U281" s="301"/>
      <c r="V281" s="301"/>
      <c r="W281" s="301"/>
      <c r="X281" s="301"/>
    </row>
    <row r="282" spans="1:24" ht="12.95" customHeight="1">
      <c r="A282" s="300"/>
      <c r="B282" s="300"/>
      <c r="C282" s="300"/>
      <c r="D282" s="300"/>
      <c r="E282" s="300"/>
      <c r="F282" s="300"/>
      <c r="G282" s="300"/>
      <c r="H282" s="300"/>
      <c r="I282" s="300"/>
      <c r="J282" s="301"/>
      <c r="K282" s="301"/>
      <c r="L282" s="301"/>
      <c r="M282" s="301"/>
      <c r="N282" s="301"/>
      <c r="O282" s="301"/>
      <c r="P282" s="301"/>
      <c r="Q282" s="301"/>
      <c r="R282" s="301"/>
      <c r="S282" s="301"/>
      <c r="T282" s="301"/>
      <c r="U282" s="301"/>
      <c r="V282" s="301"/>
      <c r="W282" s="301"/>
      <c r="X282" s="301"/>
    </row>
    <row r="283" spans="1:24" ht="12.95" customHeight="1">
      <c r="A283" s="300"/>
      <c r="B283" s="300"/>
      <c r="C283" s="300"/>
      <c r="D283" s="300"/>
      <c r="E283" s="300"/>
      <c r="F283" s="300"/>
      <c r="G283" s="300"/>
      <c r="H283" s="300"/>
      <c r="I283" s="300"/>
      <c r="J283" s="301"/>
      <c r="K283" s="301"/>
      <c r="L283" s="301"/>
      <c r="M283" s="301"/>
      <c r="N283" s="301"/>
      <c r="O283" s="301"/>
      <c r="P283" s="301"/>
      <c r="Q283" s="301"/>
      <c r="R283" s="301"/>
      <c r="S283" s="301"/>
      <c r="T283" s="301"/>
      <c r="U283" s="301"/>
      <c r="V283" s="301"/>
      <c r="W283" s="301"/>
      <c r="X283" s="301"/>
    </row>
    <row r="284" spans="1:24" ht="12.95" customHeight="1">
      <c r="A284" s="300"/>
      <c r="B284" s="300"/>
      <c r="C284" s="300"/>
      <c r="D284" s="300"/>
      <c r="E284" s="300"/>
      <c r="F284" s="300"/>
      <c r="G284" s="300"/>
      <c r="H284" s="300"/>
      <c r="I284" s="300"/>
      <c r="J284" s="301"/>
      <c r="K284" s="301"/>
      <c r="L284" s="301"/>
      <c r="M284" s="301"/>
      <c r="N284" s="301"/>
      <c r="O284" s="301"/>
      <c r="P284" s="301"/>
      <c r="Q284" s="301"/>
      <c r="R284" s="301"/>
      <c r="S284" s="301"/>
      <c r="T284" s="301"/>
      <c r="U284" s="301"/>
      <c r="V284" s="301"/>
      <c r="W284" s="301"/>
      <c r="X284" s="301"/>
    </row>
    <row r="285" spans="1:24" ht="12.95" customHeight="1">
      <c r="A285" s="300"/>
      <c r="B285" s="300"/>
      <c r="C285" s="300"/>
      <c r="D285" s="300"/>
      <c r="E285" s="300"/>
      <c r="F285" s="300"/>
      <c r="G285" s="300"/>
      <c r="H285" s="300"/>
      <c r="I285" s="300"/>
      <c r="J285" s="301"/>
      <c r="K285" s="301"/>
      <c r="L285" s="301"/>
      <c r="M285" s="301"/>
      <c r="N285" s="301"/>
      <c r="O285" s="301"/>
      <c r="P285" s="301"/>
      <c r="Q285" s="301"/>
      <c r="R285" s="301"/>
      <c r="S285" s="301"/>
      <c r="T285" s="301"/>
      <c r="U285" s="301"/>
      <c r="V285" s="301"/>
      <c r="W285" s="301"/>
      <c r="X285" s="301"/>
    </row>
    <row r="286" spans="1:24" ht="12.95" customHeight="1">
      <c r="A286" s="300"/>
      <c r="B286" s="300"/>
      <c r="C286" s="300"/>
      <c r="D286" s="300"/>
      <c r="E286" s="300"/>
      <c r="F286" s="300"/>
      <c r="G286" s="300"/>
      <c r="H286" s="300"/>
      <c r="I286" s="300"/>
      <c r="J286" s="301"/>
      <c r="K286" s="301"/>
      <c r="L286" s="301"/>
      <c r="M286" s="301"/>
      <c r="N286" s="301"/>
      <c r="O286" s="301"/>
      <c r="P286" s="301"/>
      <c r="Q286" s="301"/>
      <c r="R286" s="301"/>
      <c r="S286" s="301"/>
      <c r="T286" s="301"/>
      <c r="U286" s="301"/>
      <c r="V286" s="301"/>
      <c r="W286" s="301"/>
      <c r="X286" s="301"/>
    </row>
    <row r="287" spans="1:24" ht="12.95" customHeight="1">
      <c r="A287" s="300"/>
      <c r="B287" s="300"/>
      <c r="C287" s="300"/>
      <c r="D287" s="300"/>
      <c r="E287" s="300"/>
      <c r="F287" s="300"/>
      <c r="G287" s="300"/>
      <c r="H287" s="300"/>
      <c r="I287" s="300"/>
      <c r="J287" s="301"/>
      <c r="K287" s="301"/>
      <c r="L287" s="301"/>
      <c r="M287" s="301"/>
      <c r="N287" s="301"/>
      <c r="O287" s="301"/>
      <c r="P287" s="301"/>
      <c r="Q287" s="301"/>
      <c r="R287" s="301"/>
      <c r="S287" s="301"/>
      <c r="T287" s="301"/>
      <c r="U287" s="301"/>
      <c r="V287" s="301"/>
      <c r="W287" s="301"/>
      <c r="X287" s="301"/>
    </row>
    <row r="288" spans="1:24" ht="12.95" customHeight="1">
      <c r="A288" s="300"/>
      <c r="B288" s="300"/>
      <c r="C288" s="300"/>
      <c r="D288" s="300"/>
      <c r="E288" s="300"/>
      <c r="F288" s="300"/>
      <c r="G288" s="300"/>
      <c r="H288" s="300"/>
      <c r="I288" s="300"/>
      <c r="J288" s="301"/>
      <c r="K288" s="301"/>
      <c r="L288" s="301"/>
      <c r="M288" s="301"/>
      <c r="N288" s="301"/>
      <c r="O288" s="301"/>
      <c r="P288" s="301"/>
      <c r="Q288" s="301"/>
      <c r="R288" s="301"/>
      <c r="S288" s="301"/>
      <c r="T288" s="301"/>
      <c r="U288" s="301"/>
      <c r="V288" s="301"/>
      <c r="W288" s="301"/>
      <c r="X288" s="301"/>
    </row>
    <row r="289" spans="1:24" ht="12.95" customHeight="1">
      <c r="A289" s="300"/>
      <c r="B289" s="300"/>
      <c r="C289" s="300"/>
      <c r="D289" s="300"/>
      <c r="E289" s="300"/>
      <c r="F289" s="300"/>
      <c r="G289" s="300"/>
      <c r="H289" s="300"/>
      <c r="I289" s="300"/>
      <c r="J289" s="301"/>
      <c r="K289" s="301"/>
      <c r="L289" s="301"/>
      <c r="M289" s="301"/>
      <c r="N289" s="301"/>
      <c r="O289" s="301"/>
      <c r="P289" s="301"/>
      <c r="Q289" s="301"/>
      <c r="R289" s="301"/>
      <c r="S289" s="301"/>
      <c r="T289" s="301"/>
      <c r="U289" s="301"/>
      <c r="V289" s="301"/>
      <c r="W289" s="301"/>
      <c r="X289" s="301"/>
    </row>
    <row r="290" spans="1:24" ht="12.95" customHeight="1">
      <c r="A290" s="300"/>
      <c r="B290" s="300"/>
      <c r="C290" s="300"/>
      <c r="D290" s="300"/>
      <c r="E290" s="300"/>
      <c r="F290" s="300"/>
      <c r="G290" s="300"/>
      <c r="H290" s="300"/>
      <c r="I290" s="300"/>
      <c r="J290" s="301"/>
      <c r="K290" s="301"/>
      <c r="L290" s="301"/>
      <c r="M290" s="301"/>
      <c r="N290" s="301"/>
      <c r="O290" s="301"/>
      <c r="P290" s="301"/>
      <c r="Q290" s="301"/>
      <c r="R290" s="301"/>
      <c r="S290" s="301"/>
      <c r="T290" s="301"/>
      <c r="U290" s="301"/>
      <c r="V290" s="301"/>
      <c r="W290" s="301"/>
      <c r="X290" s="301"/>
    </row>
    <row r="291" spans="1:24" ht="12.95" customHeight="1">
      <c r="A291" s="300"/>
      <c r="B291" s="300"/>
      <c r="C291" s="300"/>
      <c r="D291" s="300"/>
      <c r="E291" s="300"/>
      <c r="F291" s="300"/>
      <c r="G291" s="300"/>
      <c r="H291" s="300"/>
      <c r="I291" s="300"/>
      <c r="J291" s="301"/>
      <c r="K291" s="301"/>
      <c r="L291" s="301"/>
      <c r="M291" s="301"/>
      <c r="N291" s="301"/>
      <c r="O291" s="301"/>
      <c r="P291" s="301"/>
      <c r="Q291" s="301"/>
      <c r="R291" s="301"/>
      <c r="S291" s="301"/>
      <c r="T291" s="301"/>
      <c r="U291" s="301"/>
      <c r="V291" s="301"/>
      <c r="W291" s="301"/>
      <c r="X291" s="301"/>
    </row>
    <row r="292" spans="1:24" ht="12.95" customHeight="1">
      <c r="A292" s="300"/>
      <c r="B292" s="300"/>
      <c r="C292" s="300"/>
      <c r="D292" s="300"/>
      <c r="E292" s="300"/>
      <c r="F292" s="300"/>
      <c r="G292" s="300"/>
      <c r="H292" s="300"/>
      <c r="I292" s="300"/>
      <c r="J292" s="301"/>
      <c r="K292" s="301"/>
      <c r="L292" s="301"/>
      <c r="M292" s="301"/>
      <c r="N292" s="301"/>
      <c r="O292" s="301"/>
      <c r="P292" s="301"/>
      <c r="Q292" s="301"/>
      <c r="R292" s="301"/>
      <c r="S292" s="301"/>
      <c r="T292" s="301"/>
      <c r="U292" s="301"/>
      <c r="V292" s="301"/>
      <c r="W292" s="301"/>
      <c r="X292" s="301"/>
    </row>
    <row r="293" spans="1:24" ht="12.95" customHeight="1">
      <c r="A293" s="300"/>
      <c r="B293" s="300"/>
      <c r="C293" s="300"/>
      <c r="D293" s="300"/>
      <c r="E293" s="300"/>
      <c r="F293" s="300"/>
      <c r="G293" s="300"/>
      <c r="H293" s="300"/>
      <c r="I293" s="300"/>
      <c r="J293" s="301"/>
      <c r="K293" s="301"/>
      <c r="L293" s="301"/>
      <c r="M293" s="301"/>
      <c r="N293" s="301"/>
      <c r="O293" s="301"/>
      <c r="P293" s="301"/>
      <c r="Q293" s="301"/>
      <c r="R293" s="301"/>
      <c r="S293" s="301"/>
      <c r="T293" s="301"/>
      <c r="U293" s="301"/>
      <c r="V293" s="301"/>
      <c r="W293" s="301"/>
      <c r="X293" s="301"/>
    </row>
    <row r="294" spans="1:24" ht="12.95" customHeight="1">
      <c r="A294" s="300"/>
      <c r="B294" s="300"/>
      <c r="C294" s="300"/>
      <c r="D294" s="300"/>
      <c r="E294" s="300"/>
      <c r="F294" s="300"/>
      <c r="G294" s="300"/>
      <c r="H294" s="300"/>
      <c r="I294" s="300"/>
      <c r="J294" s="301"/>
      <c r="K294" s="301"/>
      <c r="L294" s="301"/>
      <c r="M294" s="301"/>
      <c r="N294" s="301"/>
      <c r="O294" s="301"/>
      <c r="P294" s="301"/>
      <c r="Q294" s="301"/>
      <c r="R294" s="301"/>
      <c r="S294" s="301"/>
      <c r="T294" s="301"/>
      <c r="U294" s="301"/>
      <c r="V294" s="301"/>
      <c r="W294" s="301"/>
      <c r="X294" s="301"/>
    </row>
    <row r="295" spans="1:24" ht="12.95" customHeight="1">
      <c r="A295" s="300"/>
      <c r="B295" s="300"/>
      <c r="C295" s="300"/>
      <c r="D295" s="300"/>
      <c r="E295" s="300"/>
      <c r="F295" s="300"/>
      <c r="G295" s="300"/>
      <c r="H295" s="300"/>
      <c r="I295" s="300"/>
      <c r="J295" s="301"/>
      <c r="K295" s="301"/>
      <c r="L295" s="301"/>
      <c r="M295" s="301"/>
      <c r="N295" s="301"/>
      <c r="O295" s="301"/>
      <c r="P295" s="301"/>
      <c r="Q295" s="301"/>
      <c r="R295" s="301"/>
      <c r="S295" s="301"/>
      <c r="T295" s="301"/>
      <c r="U295" s="301"/>
      <c r="V295" s="301"/>
      <c r="W295" s="301"/>
      <c r="X295" s="301"/>
    </row>
    <row r="296" spans="1:24" ht="12.95" customHeight="1">
      <c r="A296" s="300"/>
      <c r="B296" s="300"/>
      <c r="C296" s="300"/>
      <c r="D296" s="300"/>
      <c r="E296" s="300"/>
      <c r="F296" s="300"/>
      <c r="G296" s="300"/>
      <c r="H296" s="300"/>
      <c r="I296" s="300"/>
      <c r="J296" s="301"/>
      <c r="K296" s="301"/>
      <c r="L296" s="301"/>
      <c r="M296" s="301"/>
      <c r="N296" s="301"/>
      <c r="O296" s="301"/>
      <c r="P296" s="301"/>
      <c r="Q296" s="301"/>
      <c r="R296" s="301"/>
      <c r="S296" s="301"/>
      <c r="T296" s="301"/>
      <c r="U296" s="301"/>
      <c r="V296" s="301"/>
      <c r="W296" s="301"/>
      <c r="X296" s="301"/>
    </row>
    <row r="297" spans="1:24" ht="12.95" customHeight="1">
      <c r="A297" s="300"/>
      <c r="B297" s="300"/>
      <c r="C297" s="300"/>
      <c r="D297" s="300"/>
      <c r="E297" s="300"/>
      <c r="F297" s="300"/>
      <c r="G297" s="300"/>
      <c r="H297" s="300"/>
      <c r="I297" s="300"/>
      <c r="J297" s="301"/>
      <c r="K297" s="301"/>
      <c r="L297" s="301"/>
      <c r="M297" s="301"/>
      <c r="N297" s="301"/>
      <c r="O297" s="301"/>
      <c r="P297" s="301"/>
      <c r="Q297" s="301"/>
      <c r="R297" s="301"/>
      <c r="S297" s="301"/>
      <c r="T297" s="301"/>
      <c r="U297" s="301"/>
      <c r="V297" s="301"/>
      <c r="W297" s="301"/>
      <c r="X297" s="301"/>
    </row>
    <row r="298" spans="1:24" ht="12.95" customHeight="1">
      <c r="A298" s="300"/>
      <c r="B298" s="300"/>
      <c r="C298" s="300"/>
      <c r="D298" s="300"/>
      <c r="E298" s="300"/>
      <c r="F298" s="300"/>
      <c r="G298" s="300"/>
      <c r="H298" s="300"/>
      <c r="I298" s="300"/>
      <c r="J298" s="301"/>
      <c r="K298" s="301"/>
      <c r="L298" s="301"/>
      <c r="M298" s="301"/>
      <c r="N298" s="301"/>
      <c r="O298" s="301"/>
      <c r="P298" s="301"/>
      <c r="Q298" s="301"/>
      <c r="R298" s="301"/>
      <c r="S298" s="301"/>
      <c r="T298" s="301"/>
      <c r="U298" s="301"/>
      <c r="V298" s="301"/>
      <c r="W298" s="301"/>
      <c r="X298" s="301"/>
    </row>
    <row r="299" spans="1:24" ht="12.95" customHeight="1">
      <c r="A299" s="300"/>
      <c r="B299" s="300"/>
      <c r="C299" s="300"/>
      <c r="D299" s="300"/>
      <c r="E299" s="300"/>
      <c r="F299" s="300"/>
      <c r="G299" s="300"/>
      <c r="H299" s="300"/>
      <c r="I299" s="300"/>
      <c r="J299" s="301"/>
      <c r="K299" s="301"/>
      <c r="L299" s="301"/>
      <c r="M299" s="301"/>
      <c r="N299" s="301"/>
      <c r="O299" s="301"/>
      <c r="P299" s="301"/>
      <c r="Q299" s="301"/>
      <c r="R299" s="301"/>
      <c r="S299" s="301"/>
      <c r="T299" s="301"/>
      <c r="U299" s="301"/>
      <c r="V299" s="301"/>
      <c r="W299" s="301"/>
      <c r="X299" s="301"/>
    </row>
    <row r="300" spans="1:24" ht="12.95" customHeight="1">
      <c r="A300" s="300"/>
      <c r="B300" s="300"/>
      <c r="C300" s="300"/>
      <c r="D300" s="300"/>
      <c r="E300" s="300"/>
      <c r="F300" s="300"/>
      <c r="G300" s="300"/>
      <c r="H300" s="300"/>
      <c r="I300" s="300"/>
      <c r="J300" s="301"/>
      <c r="K300" s="301"/>
      <c r="L300" s="301"/>
      <c r="M300" s="301"/>
      <c r="N300" s="301"/>
      <c r="O300" s="301"/>
      <c r="P300" s="301"/>
      <c r="Q300" s="301"/>
      <c r="R300" s="301"/>
      <c r="S300" s="301"/>
      <c r="T300" s="301"/>
      <c r="U300" s="301"/>
      <c r="V300" s="301"/>
      <c r="W300" s="301"/>
      <c r="X300" s="301"/>
    </row>
    <row r="301" spans="1:24" ht="12.95" customHeight="1">
      <c r="A301" s="300"/>
      <c r="B301" s="300"/>
      <c r="C301" s="300"/>
      <c r="D301" s="300"/>
      <c r="E301" s="300"/>
      <c r="F301" s="300"/>
      <c r="G301" s="300"/>
      <c r="H301" s="300"/>
      <c r="I301" s="300"/>
      <c r="J301" s="301"/>
      <c r="K301" s="301"/>
      <c r="L301" s="301"/>
      <c r="M301" s="301"/>
      <c r="N301" s="301"/>
      <c r="O301" s="301"/>
      <c r="P301" s="301"/>
      <c r="Q301" s="301"/>
      <c r="R301" s="301"/>
      <c r="S301" s="301"/>
      <c r="T301" s="301"/>
      <c r="U301" s="301"/>
      <c r="V301" s="301"/>
      <c r="W301" s="301"/>
      <c r="X301" s="301"/>
    </row>
    <row r="302" spans="1:24" ht="12.95" customHeight="1">
      <c r="A302" s="300"/>
      <c r="B302" s="300"/>
      <c r="C302" s="300"/>
      <c r="D302" s="300"/>
      <c r="E302" s="300"/>
      <c r="F302" s="300"/>
      <c r="G302" s="300"/>
      <c r="H302" s="300"/>
      <c r="I302" s="300"/>
      <c r="J302" s="301"/>
      <c r="K302" s="301"/>
      <c r="L302" s="301"/>
      <c r="M302" s="301"/>
      <c r="N302" s="301"/>
      <c r="O302" s="301"/>
      <c r="P302" s="301"/>
      <c r="Q302" s="301"/>
      <c r="R302" s="301"/>
      <c r="S302" s="301"/>
      <c r="T302" s="301"/>
      <c r="U302" s="301"/>
      <c r="V302" s="301"/>
      <c r="W302" s="301"/>
      <c r="X302" s="301"/>
    </row>
    <row r="303" spans="1:24" ht="12.95" customHeight="1">
      <c r="A303" s="300"/>
      <c r="B303" s="300"/>
      <c r="C303" s="300"/>
      <c r="D303" s="300"/>
      <c r="E303" s="300"/>
      <c r="F303" s="300"/>
      <c r="G303" s="300"/>
      <c r="H303" s="300"/>
      <c r="I303" s="300"/>
      <c r="J303" s="301"/>
      <c r="K303" s="301"/>
      <c r="L303" s="301"/>
      <c r="M303" s="301"/>
      <c r="N303" s="301"/>
      <c r="O303" s="301"/>
      <c r="P303" s="301"/>
      <c r="Q303" s="301"/>
      <c r="R303" s="301"/>
      <c r="S303" s="301"/>
      <c r="T303" s="301"/>
      <c r="U303" s="301"/>
      <c r="V303" s="301"/>
      <c r="W303" s="301"/>
      <c r="X303" s="301"/>
    </row>
    <row r="304" spans="1:24" ht="12.95" customHeight="1">
      <c r="A304" s="300"/>
      <c r="B304" s="300"/>
      <c r="C304" s="300"/>
      <c r="D304" s="300"/>
      <c r="E304" s="300"/>
      <c r="F304" s="300"/>
      <c r="G304" s="300"/>
      <c r="H304" s="300"/>
      <c r="I304" s="300"/>
      <c r="J304" s="301"/>
      <c r="K304" s="301"/>
      <c r="L304" s="301"/>
      <c r="M304" s="301"/>
      <c r="N304" s="301"/>
      <c r="O304" s="301"/>
      <c r="P304" s="301"/>
      <c r="Q304" s="301"/>
      <c r="R304" s="301"/>
      <c r="S304" s="301"/>
      <c r="T304" s="301"/>
      <c r="U304" s="301"/>
      <c r="V304" s="301"/>
      <c r="W304" s="301"/>
      <c r="X304" s="301"/>
    </row>
    <row r="305" spans="1:24" ht="12.95" customHeight="1">
      <c r="A305" s="300"/>
      <c r="B305" s="300"/>
      <c r="C305" s="300"/>
      <c r="D305" s="300"/>
      <c r="E305" s="300"/>
      <c r="F305" s="300"/>
      <c r="G305" s="300"/>
      <c r="H305" s="300"/>
      <c r="I305" s="300"/>
      <c r="J305" s="301"/>
      <c r="K305" s="301"/>
      <c r="L305" s="301"/>
      <c r="M305" s="301"/>
      <c r="N305" s="301"/>
      <c r="O305" s="301"/>
      <c r="P305" s="301"/>
      <c r="Q305" s="301"/>
      <c r="R305" s="301"/>
      <c r="S305" s="301"/>
      <c r="T305" s="301"/>
      <c r="U305" s="301"/>
      <c r="V305" s="301"/>
      <c r="W305" s="301"/>
      <c r="X305" s="301"/>
    </row>
    <row r="306" spans="1:24" ht="12.95" customHeight="1">
      <c r="A306" s="300"/>
      <c r="B306" s="300"/>
      <c r="C306" s="300"/>
      <c r="D306" s="300"/>
      <c r="E306" s="300"/>
      <c r="F306" s="300"/>
      <c r="G306" s="300"/>
      <c r="H306" s="300"/>
      <c r="I306" s="300"/>
      <c r="J306" s="301"/>
      <c r="K306" s="301"/>
      <c r="L306" s="301"/>
      <c r="M306" s="301"/>
      <c r="N306" s="301"/>
      <c r="O306" s="301"/>
      <c r="P306" s="301"/>
      <c r="Q306" s="301"/>
      <c r="R306" s="301"/>
      <c r="S306" s="301"/>
      <c r="T306" s="301"/>
      <c r="U306" s="301"/>
      <c r="V306" s="301"/>
      <c r="W306" s="301"/>
      <c r="X306" s="301"/>
    </row>
    <row r="307" spans="1:24" ht="12.95" customHeight="1">
      <c r="A307" s="300"/>
      <c r="B307" s="300"/>
      <c r="C307" s="300"/>
      <c r="D307" s="300"/>
      <c r="E307" s="300"/>
      <c r="F307" s="300"/>
      <c r="G307" s="300"/>
      <c r="H307" s="300"/>
      <c r="I307" s="300"/>
      <c r="J307" s="301"/>
      <c r="K307" s="301"/>
      <c r="L307" s="301"/>
      <c r="M307" s="301"/>
      <c r="N307" s="301"/>
      <c r="O307" s="301"/>
      <c r="P307" s="301"/>
      <c r="Q307" s="301"/>
      <c r="R307" s="301"/>
      <c r="S307" s="301"/>
      <c r="T307" s="301"/>
      <c r="U307" s="301"/>
      <c r="V307" s="301"/>
      <c r="W307" s="301"/>
      <c r="X307" s="301"/>
    </row>
    <row r="308" spans="1:24" ht="12.95" customHeight="1">
      <c r="A308" s="300"/>
      <c r="B308" s="300"/>
      <c r="C308" s="300"/>
      <c r="D308" s="300"/>
      <c r="E308" s="300"/>
      <c r="F308" s="300"/>
      <c r="G308" s="300"/>
      <c r="H308" s="300"/>
      <c r="I308" s="300"/>
      <c r="J308" s="301"/>
      <c r="K308" s="301"/>
      <c r="L308" s="301"/>
      <c r="M308" s="301"/>
      <c r="N308" s="301"/>
      <c r="O308" s="301"/>
      <c r="P308" s="301"/>
      <c r="Q308" s="301"/>
      <c r="R308" s="301"/>
      <c r="S308" s="301"/>
      <c r="T308" s="301"/>
      <c r="U308" s="301"/>
      <c r="V308" s="301"/>
      <c r="W308" s="301"/>
      <c r="X308" s="301"/>
    </row>
    <row r="309" spans="1:24" ht="12.95" customHeight="1">
      <c r="A309" s="300"/>
      <c r="B309" s="300"/>
      <c r="C309" s="300"/>
      <c r="D309" s="300"/>
      <c r="E309" s="300"/>
      <c r="F309" s="300"/>
      <c r="G309" s="300"/>
      <c r="H309" s="300"/>
      <c r="I309" s="300"/>
      <c r="J309" s="301"/>
      <c r="K309" s="301"/>
      <c r="L309" s="301"/>
      <c r="M309" s="301"/>
      <c r="N309" s="301"/>
      <c r="O309" s="301"/>
      <c r="P309" s="301"/>
      <c r="Q309" s="301"/>
      <c r="R309" s="301"/>
      <c r="S309" s="301"/>
      <c r="T309" s="301"/>
      <c r="U309" s="301"/>
      <c r="V309" s="301"/>
      <c r="W309" s="301"/>
      <c r="X309" s="301"/>
    </row>
    <row r="310" spans="1:24" ht="12.95" customHeight="1">
      <c r="A310" s="300"/>
      <c r="B310" s="300"/>
      <c r="C310" s="300"/>
      <c r="D310" s="300"/>
      <c r="E310" s="300"/>
      <c r="F310" s="300"/>
      <c r="G310" s="300"/>
      <c r="H310" s="300"/>
      <c r="I310" s="300"/>
      <c r="J310" s="301"/>
      <c r="K310" s="301"/>
      <c r="L310" s="301"/>
      <c r="M310" s="301"/>
      <c r="N310" s="301"/>
      <c r="O310" s="301"/>
      <c r="P310" s="301"/>
      <c r="Q310" s="301"/>
      <c r="R310" s="301"/>
      <c r="S310" s="301"/>
      <c r="T310" s="301"/>
      <c r="U310" s="301"/>
      <c r="V310" s="301"/>
      <c r="W310" s="301"/>
      <c r="X310" s="301"/>
    </row>
    <row r="311" spans="1:24" ht="12.95" customHeight="1">
      <c r="A311" s="300"/>
      <c r="B311" s="300"/>
      <c r="C311" s="300"/>
      <c r="D311" s="300"/>
      <c r="E311" s="300"/>
      <c r="F311" s="300"/>
      <c r="G311" s="300"/>
      <c r="H311" s="300"/>
      <c r="I311" s="300"/>
      <c r="J311" s="301"/>
      <c r="K311" s="301"/>
      <c r="L311" s="301"/>
      <c r="M311" s="301"/>
      <c r="N311" s="301"/>
      <c r="O311" s="301"/>
      <c r="P311" s="301"/>
      <c r="Q311" s="301"/>
      <c r="R311" s="301"/>
      <c r="S311" s="301"/>
      <c r="T311" s="301"/>
      <c r="U311" s="301"/>
      <c r="V311" s="301"/>
      <c r="W311" s="301"/>
      <c r="X311" s="301"/>
    </row>
    <row r="312" spans="1:24" ht="12.95" customHeight="1">
      <c r="A312" s="300"/>
      <c r="B312" s="300"/>
      <c r="C312" s="300"/>
      <c r="D312" s="300"/>
      <c r="E312" s="300"/>
      <c r="F312" s="300"/>
      <c r="G312" s="300"/>
      <c r="H312" s="300"/>
      <c r="I312" s="300"/>
      <c r="J312" s="301"/>
      <c r="K312" s="301"/>
      <c r="L312" s="301"/>
      <c r="M312" s="301"/>
      <c r="N312" s="301"/>
      <c r="O312" s="301"/>
      <c r="P312" s="301"/>
      <c r="Q312" s="301"/>
      <c r="R312" s="301"/>
      <c r="S312" s="301"/>
      <c r="T312" s="301"/>
      <c r="U312" s="301"/>
      <c r="V312" s="301"/>
      <c r="W312" s="301"/>
      <c r="X312" s="301"/>
    </row>
    <row r="313" spans="1:24" ht="12.95" customHeight="1">
      <c r="A313" s="300"/>
      <c r="B313" s="300"/>
      <c r="C313" s="300"/>
      <c r="D313" s="300"/>
      <c r="E313" s="300"/>
      <c r="F313" s="300"/>
      <c r="G313" s="300"/>
      <c r="H313" s="300"/>
      <c r="I313" s="300"/>
      <c r="J313" s="301"/>
      <c r="K313" s="301"/>
      <c r="L313" s="301"/>
      <c r="M313" s="301"/>
      <c r="N313" s="301"/>
      <c r="O313" s="301"/>
      <c r="P313" s="301"/>
      <c r="Q313" s="301"/>
      <c r="R313" s="301"/>
      <c r="S313" s="301"/>
      <c r="T313" s="301"/>
      <c r="U313" s="301"/>
      <c r="V313" s="301"/>
      <c r="W313" s="301"/>
      <c r="X313" s="301"/>
    </row>
    <row r="314" spans="1:24" ht="12.95" customHeight="1">
      <c r="A314" s="300"/>
      <c r="B314" s="300"/>
      <c r="C314" s="300"/>
      <c r="D314" s="300"/>
      <c r="E314" s="300"/>
      <c r="F314" s="300"/>
      <c r="G314" s="300"/>
      <c r="H314" s="300"/>
      <c r="I314" s="300"/>
      <c r="J314" s="301"/>
      <c r="K314" s="301"/>
      <c r="L314" s="301"/>
      <c r="M314" s="301"/>
      <c r="N314" s="301"/>
      <c r="O314" s="301"/>
      <c r="P314" s="301"/>
      <c r="Q314" s="301"/>
      <c r="R314" s="301"/>
      <c r="S314" s="301"/>
      <c r="T314" s="301"/>
      <c r="U314" s="301"/>
      <c r="V314" s="301"/>
      <c r="W314" s="301"/>
      <c r="X314" s="301"/>
    </row>
    <row r="315" spans="1:24" ht="12.95" customHeight="1">
      <c r="A315" s="300"/>
      <c r="B315" s="300"/>
      <c r="C315" s="300"/>
      <c r="D315" s="300"/>
      <c r="E315" s="300"/>
      <c r="F315" s="300"/>
      <c r="G315" s="300"/>
      <c r="H315" s="300"/>
      <c r="I315" s="300"/>
      <c r="J315" s="301"/>
      <c r="K315" s="301"/>
      <c r="L315" s="301"/>
      <c r="M315" s="301"/>
      <c r="N315" s="301"/>
      <c r="O315" s="301"/>
      <c r="P315" s="301"/>
      <c r="Q315" s="301"/>
      <c r="R315" s="301"/>
      <c r="S315" s="301"/>
      <c r="T315" s="301"/>
      <c r="U315" s="301"/>
      <c r="V315" s="301"/>
      <c r="W315" s="301"/>
      <c r="X315" s="301"/>
    </row>
    <row r="316" spans="1:24" ht="12.95" customHeight="1">
      <c r="A316" s="300"/>
      <c r="B316" s="300"/>
      <c r="C316" s="300"/>
      <c r="D316" s="300"/>
      <c r="E316" s="300"/>
      <c r="F316" s="300"/>
      <c r="G316" s="300"/>
      <c r="H316" s="300"/>
      <c r="I316" s="300"/>
      <c r="J316" s="301"/>
      <c r="K316" s="301"/>
      <c r="L316" s="301"/>
      <c r="M316" s="301"/>
      <c r="N316" s="301"/>
      <c r="O316" s="301"/>
      <c r="P316" s="301"/>
      <c r="Q316" s="301"/>
      <c r="R316" s="301"/>
      <c r="S316" s="301"/>
      <c r="T316" s="301"/>
      <c r="U316" s="301"/>
      <c r="V316" s="301"/>
      <c r="W316" s="301"/>
      <c r="X316" s="301"/>
    </row>
    <row r="317" spans="1:24" ht="12.95" customHeight="1">
      <c r="A317" s="300"/>
      <c r="B317" s="300"/>
      <c r="C317" s="300"/>
      <c r="D317" s="300"/>
      <c r="E317" s="300"/>
      <c r="F317" s="300"/>
      <c r="G317" s="300"/>
      <c r="H317" s="300"/>
      <c r="I317" s="300"/>
      <c r="J317" s="301"/>
      <c r="K317" s="301"/>
      <c r="L317" s="301"/>
      <c r="M317" s="301"/>
      <c r="N317" s="301"/>
      <c r="O317" s="301"/>
      <c r="P317" s="301"/>
      <c r="Q317" s="301"/>
      <c r="R317" s="301"/>
      <c r="S317" s="301"/>
      <c r="T317" s="301"/>
      <c r="U317" s="301"/>
      <c r="V317" s="301"/>
      <c r="W317" s="301"/>
      <c r="X317" s="301"/>
    </row>
    <row r="318" spans="1:24" ht="12.95" customHeight="1">
      <c r="A318" s="300"/>
      <c r="B318" s="300"/>
      <c r="C318" s="300"/>
      <c r="D318" s="300"/>
      <c r="E318" s="300"/>
      <c r="F318" s="300"/>
      <c r="G318" s="300"/>
      <c r="H318" s="300"/>
      <c r="I318" s="300"/>
      <c r="J318" s="301"/>
      <c r="K318" s="301"/>
      <c r="L318" s="301"/>
      <c r="M318" s="301"/>
      <c r="N318" s="301"/>
      <c r="O318" s="301"/>
      <c r="P318" s="301"/>
      <c r="Q318" s="301"/>
      <c r="R318" s="301"/>
      <c r="S318" s="301"/>
      <c r="T318" s="301"/>
      <c r="U318" s="301"/>
      <c r="V318" s="301"/>
      <c r="W318" s="301"/>
      <c r="X318" s="301"/>
    </row>
    <row r="319" spans="1:24" ht="12.95" customHeight="1">
      <c r="A319" s="300"/>
      <c r="B319" s="300"/>
      <c r="C319" s="300"/>
      <c r="D319" s="300"/>
      <c r="E319" s="300"/>
      <c r="F319" s="300"/>
      <c r="G319" s="300"/>
      <c r="H319" s="300"/>
      <c r="I319" s="300"/>
      <c r="J319" s="301"/>
      <c r="K319" s="301"/>
      <c r="L319" s="301"/>
      <c r="M319" s="301"/>
      <c r="N319" s="301"/>
      <c r="O319" s="301"/>
      <c r="P319" s="301"/>
      <c r="Q319" s="301"/>
      <c r="R319" s="301"/>
      <c r="S319" s="301"/>
      <c r="T319" s="301"/>
      <c r="U319" s="301"/>
      <c r="V319" s="301"/>
      <c r="W319" s="301"/>
      <c r="X319" s="301"/>
    </row>
    <row r="320" spans="1:24" ht="12.95" customHeight="1">
      <c r="P320" s="301"/>
      <c r="Q320" s="301"/>
      <c r="R320" s="301"/>
      <c r="S320" s="301"/>
      <c r="T320" s="301"/>
      <c r="U320" s="301"/>
      <c r="V320" s="301"/>
      <c r="W320" s="301"/>
      <c r="X320" s="301"/>
    </row>
    <row r="321" spans="16:24" ht="12.95" customHeight="1">
      <c r="P321" s="301"/>
      <c r="Q321" s="301"/>
      <c r="R321" s="301"/>
      <c r="S321" s="301"/>
      <c r="T321" s="301"/>
      <c r="U321" s="301"/>
      <c r="V321" s="301"/>
      <c r="W321" s="301"/>
      <c r="X321" s="301"/>
    </row>
    <row r="322" spans="16:24" ht="12.95" customHeight="1">
      <c r="P322" s="301"/>
      <c r="Q322" s="301"/>
      <c r="R322" s="301"/>
      <c r="S322" s="301"/>
      <c r="T322" s="301"/>
      <c r="U322" s="301"/>
      <c r="V322" s="301"/>
      <c r="W322" s="301"/>
      <c r="X322" s="301"/>
    </row>
    <row r="323" spans="16:24" ht="12.95" customHeight="1">
      <c r="P323" s="301"/>
      <c r="Q323" s="301"/>
      <c r="R323" s="301"/>
      <c r="S323" s="301"/>
      <c r="T323" s="301"/>
      <c r="U323" s="301"/>
      <c r="V323" s="301"/>
      <c r="W323" s="301"/>
      <c r="X323" s="301"/>
    </row>
    <row r="324" spans="16:24" ht="12.95" customHeight="1">
      <c r="P324" s="301"/>
      <c r="Q324" s="301"/>
      <c r="R324" s="301"/>
      <c r="S324" s="301"/>
      <c r="T324" s="301"/>
      <c r="U324" s="301"/>
      <c r="V324" s="301"/>
      <c r="W324" s="301"/>
      <c r="X324" s="301"/>
    </row>
    <row r="325" spans="16:24" ht="12.95" customHeight="1">
      <c r="P325" s="301"/>
      <c r="Q325" s="301"/>
      <c r="R325" s="301"/>
      <c r="S325" s="301"/>
      <c r="T325" s="301"/>
      <c r="U325" s="301"/>
      <c r="V325" s="301"/>
      <c r="W325" s="301"/>
      <c r="X325" s="301"/>
    </row>
    <row r="326" spans="16:24" ht="12.95" customHeight="1">
      <c r="P326" s="301"/>
      <c r="Q326" s="301"/>
      <c r="R326" s="301"/>
      <c r="S326" s="301"/>
      <c r="T326" s="301"/>
      <c r="U326" s="301"/>
      <c r="V326" s="301"/>
      <c r="W326" s="301"/>
      <c r="X326" s="301"/>
    </row>
    <row r="327" spans="16:24" ht="12.95" customHeight="1">
      <c r="P327" s="301"/>
      <c r="Q327" s="301"/>
      <c r="R327" s="301"/>
      <c r="S327" s="301"/>
      <c r="T327" s="301"/>
      <c r="U327" s="301"/>
      <c r="V327" s="301"/>
      <c r="W327" s="301"/>
      <c r="X327" s="301"/>
    </row>
  </sheetData>
  <sheetProtection algorithmName="SHA-512" hashValue="b6T+Qj9l/8evw/1ebnH4dhFlL+rs/HlSFdQbwD1FrCefFJrsOaXLHkonVBZMhPDNIjhI5IaQxnrMQhwCzBKucw==" saltValue="VFI2bnyRkfRIjqPExZcNxQ==" spinCount="100000" sheet="1" objects="1" scenarios="1"/>
  <mergeCells count="55">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 ref="B65:E65"/>
    <mergeCell ref="B68:E68"/>
    <mergeCell ref="B70:E70"/>
    <mergeCell ref="G70:K70"/>
    <mergeCell ref="M70:Q70"/>
    <mergeCell ref="G71:H71"/>
    <mergeCell ref="M71:N71"/>
    <mergeCell ref="B66:E67"/>
    <mergeCell ref="G73:H73"/>
    <mergeCell ref="M74:N74"/>
    <mergeCell ref="G72:H72"/>
    <mergeCell ref="B13:E13"/>
    <mergeCell ref="B49:E49"/>
    <mergeCell ref="B14:E14"/>
    <mergeCell ref="B15:E15"/>
    <mergeCell ref="B38:F38"/>
    <mergeCell ref="B39:E39"/>
    <mergeCell ref="B40:E40"/>
    <mergeCell ref="B41:E41"/>
    <mergeCell ref="B42:E43"/>
    <mergeCell ref="B44:E44"/>
    <mergeCell ref="B45:E45"/>
    <mergeCell ref="B46:E46"/>
    <mergeCell ref="B47:E48"/>
    <mergeCell ref="B7:F7"/>
    <mergeCell ref="B8:E8"/>
    <mergeCell ref="B9:E9"/>
    <mergeCell ref="B10:E10"/>
    <mergeCell ref="B12:F12"/>
    <mergeCell ref="B50:E51"/>
    <mergeCell ref="B58:E59"/>
    <mergeCell ref="B60:E60"/>
    <mergeCell ref="B61:E61"/>
    <mergeCell ref="B62:E62"/>
    <mergeCell ref="B63:E64"/>
    <mergeCell ref="B52:E52"/>
    <mergeCell ref="B54:F54"/>
    <mergeCell ref="B55:E55"/>
    <mergeCell ref="B56:E56"/>
    <mergeCell ref="B57:E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111"/>
  <sheetViews>
    <sheetView showRowColHeaders="0" zoomScaleNormal="100" zoomScaleSheetLayoutView="40" zoomScalePageLayoutView="10" workbookViewId="0">
      <pane ySplit="2" topLeftCell="A18" activePane="bottomLeft" state="frozen"/>
      <selection activeCell="D50" sqref="D50"/>
      <selection pane="bottomLeft" activeCell="C62" sqref="C62"/>
    </sheetView>
  </sheetViews>
  <sheetFormatPr defaultRowHeight="15"/>
  <cols>
    <col min="1" max="1" width="5.5703125" bestFit="1" customWidth="1"/>
    <col min="2" max="2" width="81.5703125" style="529" bestFit="1" customWidth="1"/>
    <col min="3" max="3" width="15.28515625" bestFit="1" customWidth="1"/>
    <col min="4" max="11" width="13.85546875" bestFit="1" customWidth="1"/>
  </cols>
  <sheetData>
    <row r="1" spans="1:22" ht="19.5" customHeight="1">
      <c r="B1" s="543"/>
      <c r="C1" s="1569" t="str">
        <f>"CurrentCycle "&amp;CurrentCycle&amp;"       Cycle in Calculation "&amp;CycleInCalculation&amp;"        Cycle for Monte-Carlo Simulation "&amp;MCSCycleCurrent</f>
        <v xml:space="preserve">CurrentCycle 8       Cycle in Calculation 8        Cycle for Monte-Carlo Simulation </v>
      </c>
      <c r="D1" s="1569"/>
      <c r="E1" s="1569"/>
      <c r="F1" s="1569"/>
      <c r="G1" s="1569"/>
      <c r="H1" s="1569"/>
      <c r="I1" s="1569"/>
    </row>
    <row r="2" spans="1:22">
      <c r="B2" s="541" t="s">
        <v>614</v>
      </c>
      <c r="C2" s="532" t="s">
        <v>23</v>
      </c>
      <c r="D2" s="533" t="s">
        <v>22</v>
      </c>
      <c r="E2" s="534" t="s">
        <v>21</v>
      </c>
      <c r="F2" s="535" t="s">
        <v>20</v>
      </c>
      <c r="G2" s="536" t="s">
        <v>19</v>
      </c>
      <c r="H2" s="537" t="s">
        <v>18</v>
      </c>
      <c r="I2" s="538" t="s">
        <v>17</v>
      </c>
      <c r="J2" s="539" t="s">
        <v>16</v>
      </c>
    </row>
    <row r="3" spans="1:22" s="526" customFormat="1" ht="15.75" thickBot="1">
      <c r="A3" s="524"/>
      <c r="B3" s="1003"/>
      <c r="C3" s="542" t="s">
        <v>454</v>
      </c>
      <c r="D3" s="540">
        <v>0</v>
      </c>
      <c r="E3" s="525">
        <v>1</v>
      </c>
      <c r="F3" s="525">
        <v>2</v>
      </c>
      <c r="G3" s="525">
        <v>3</v>
      </c>
      <c r="H3" s="525">
        <v>4</v>
      </c>
      <c r="I3" s="525">
        <v>5</v>
      </c>
      <c r="J3" s="525">
        <v>6</v>
      </c>
      <c r="K3" s="526">
        <v>7</v>
      </c>
    </row>
    <row r="4" spans="1:22" s="605" customFormat="1">
      <c r="A4" s="607"/>
      <c r="B4" s="606"/>
      <c r="C4" s="78" t="s">
        <v>558</v>
      </c>
      <c r="D4" s="78" t="s">
        <v>1466</v>
      </c>
      <c r="E4" s="78" t="s">
        <v>1479</v>
      </c>
      <c r="F4" s="78" t="s">
        <v>1479</v>
      </c>
      <c r="G4" s="78" t="s">
        <v>1484</v>
      </c>
      <c r="H4" s="78" t="s">
        <v>1466</v>
      </c>
      <c r="I4" s="78" t="s">
        <v>1485</v>
      </c>
      <c r="J4" s="78" t="s">
        <v>1485</v>
      </c>
      <c r="K4" s="605" t="s">
        <v>1466</v>
      </c>
    </row>
    <row r="5" spans="1:22" s="1006" customFormat="1">
      <c r="A5" s="1004" t="s">
        <v>0</v>
      </c>
      <c r="B5" s="1007" t="s">
        <v>677</v>
      </c>
    </row>
    <row r="6" spans="1:22" s="769" customFormat="1">
      <c r="A6" s="550"/>
      <c r="B6" s="528" t="s">
        <v>598</v>
      </c>
      <c r="C6" s="1244">
        <v>1600668.9541</v>
      </c>
      <c r="D6" s="1244">
        <v>3084381.1406999999</v>
      </c>
      <c r="E6" s="1244">
        <v>3084381.1406999999</v>
      </c>
      <c r="F6" s="1244">
        <v>3084381.1406999999</v>
      </c>
      <c r="G6" s="1244">
        <v>3115697.5625999998</v>
      </c>
      <c r="H6" s="1244">
        <v>3150846.2550999997</v>
      </c>
      <c r="I6" s="1244">
        <v>3150846.2550999997</v>
      </c>
      <c r="J6" s="1244">
        <v>3150846.2550999997</v>
      </c>
      <c r="K6" s="1244">
        <v>3150846.2550999997</v>
      </c>
      <c r="L6" s="1244"/>
      <c r="M6" s="1244"/>
      <c r="N6" s="1244"/>
      <c r="O6" s="1244"/>
      <c r="P6" s="1244"/>
      <c r="Q6" s="1244"/>
    </row>
    <row r="7" spans="1:22" s="769" customFormat="1">
      <c r="A7" s="550"/>
      <c r="B7" s="528" t="s">
        <v>596</v>
      </c>
      <c r="C7" s="1244">
        <v>480757.57640000002</v>
      </c>
      <c r="D7" s="1244">
        <v>978226.71340000001</v>
      </c>
      <c r="E7" s="1244">
        <v>978226.71340000001</v>
      </c>
      <c r="F7" s="1244">
        <v>978226.71340000001</v>
      </c>
      <c r="G7" s="1244">
        <v>978226.71340000001</v>
      </c>
      <c r="H7" s="1244">
        <v>978226.71340000001</v>
      </c>
      <c r="I7" s="1244">
        <v>978226.71340000001</v>
      </c>
      <c r="J7" s="1244">
        <v>978226.71340000001</v>
      </c>
      <c r="K7" s="1244">
        <v>978226.71340000001</v>
      </c>
      <c r="L7" s="1244"/>
      <c r="M7" s="1244"/>
      <c r="N7" s="1244"/>
      <c r="O7" s="1244"/>
      <c r="P7" s="1244"/>
      <c r="Q7" s="1244"/>
    </row>
    <row r="8" spans="1:22" s="769" customFormat="1">
      <c r="A8" s="550"/>
      <c r="B8" s="528" t="s">
        <v>595</v>
      </c>
      <c r="C8" s="1244">
        <v>526159.62719999999</v>
      </c>
      <c r="D8" s="1244">
        <v>1016595.1501</v>
      </c>
      <c r="E8" s="1244">
        <v>1016595.1501</v>
      </c>
      <c r="F8" s="1244">
        <v>1016595.1501</v>
      </c>
      <c r="G8" s="1244">
        <v>1033472.2425000001</v>
      </c>
      <c r="H8" s="1244">
        <v>1033472.2425000001</v>
      </c>
      <c r="I8" s="1244">
        <v>1033472.2425000001</v>
      </c>
      <c r="J8" s="1244">
        <v>1033472.2425000001</v>
      </c>
      <c r="K8" s="1244">
        <v>1033472.2425000001</v>
      </c>
      <c r="L8" s="1244"/>
      <c r="M8" s="1244"/>
      <c r="N8" s="1244"/>
      <c r="O8" s="1244"/>
      <c r="P8" s="1244"/>
      <c r="Q8" s="1244"/>
    </row>
    <row r="9" spans="1:22" s="551" customFormat="1">
      <c r="A9" s="550"/>
      <c r="B9" s="528" t="s">
        <v>597</v>
      </c>
      <c r="C9" s="1244">
        <v>593751.75049999997</v>
      </c>
      <c r="D9" s="1244">
        <v>1089559.2771999999</v>
      </c>
      <c r="E9" s="1244">
        <v>1089559.2771999999</v>
      </c>
      <c r="F9" s="1244">
        <v>1089559.2771999999</v>
      </c>
      <c r="G9" s="1244">
        <v>1103998.6066999999</v>
      </c>
      <c r="H9" s="1244">
        <v>1139147.2992</v>
      </c>
      <c r="I9" s="1244">
        <v>1139147.2992</v>
      </c>
      <c r="J9" s="1244">
        <v>1139147.2992</v>
      </c>
      <c r="K9" s="1244">
        <v>1139147.2992</v>
      </c>
      <c r="L9" s="1244"/>
      <c r="M9" s="1244"/>
      <c r="N9" s="1244"/>
      <c r="O9" s="1244"/>
      <c r="P9" s="1244"/>
      <c r="Q9" s="1244"/>
      <c r="R9" s="769"/>
      <c r="S9" s="769"/>
      <c r="T9" s="769"/>
      <c r="U9" s="769"/>
      <c r="V9" s="769"/>
    </row>
    <row r="10" spans="1:22" s="551" customFormat="1">
      <c r="A10" s="550"/>
      <c r="B10" s="528"/>
      <c r="C10" s="1244"/>
      <c r="D10" s="1244"/>
      <c r="E10" s="1244"/>
      <c r="F10" s="1244"/>
      <c r="G10" s="1244"/>
      <c r="H10" s="1244"/>
      <c r="I10" s="1244"/>
      <c r="J10" s="1244"/>
      <c r="K10" s="1244"/>
      <c r="L10" s="1244"/>
      <c r="M10" s="1244"/>
      <c r="N10" s="1244"/>
      <c r="O10" s="1244"/>
      <c r="P10" s="1244"/>
      <c r="Q10" s="1244"/>
    </row>
    <row r="11" spans="1:22" s="999" customFormat="1">
      <c r="A11" s="550"/>
      <c r="B11" s="528" t="s">
        <v>600</v>
      </c>
      <c r="C11" s="1244">
        <v>-38884.297200000001</v>
      </c>
      <c r="D11" s="1244">
        <v>1370997.5671000001</v>
      </c>
      <c r="E11" s="1244">
        <v>1634334.7093000002</v>
      </c>
      <c r="F11" s="1244">
        <v>1419209.7093</v>
      </c>
      <c r="G11" s="1244">
        <v>1443517.2960000001</v>
      </c>
      <c r="H11" s="1244">
        <v>1470439.0122</v>
      </c>
      <c r="I11" s="1244">
        <v>1430719.0122</v>
      </c>
      <c r="J11" s="1244">
        <v>1430719.0122</v>
      </c>
      <c r="K11" s="1244">
        <v>1440635.8122</v>
      </c>
      <c r="L11" s="1244"/>
      <c r="M11" s="1244"/>
      <c r="N11" s="1244"/>
      <c r="O11" s="1244"/>
      <c r="P11" s="1244"/>
      <c r="Q11" s="1244"/>
    </row>
    <row r="12" spans="1:22" s="999" customFormat="1">
      <c r="A12" s="550"/>
      <c r="B12" s="528" t="s">
        <v>601</v>
      </c>
      <c r="C12" s="1244">
        <v>-678.56389999999999</v>
      </c>
      <c r="D12" s="1244">
        <v>465671.88219999999</v>
      </c>
      <c r="E12" s="1244">
        <v>537906.92960000003</v>
      </c>
      <c r="F12" s="1244">
        <v>475406.92959999997</v>
      </c>
      <c r="G12" s="1244">
        <v>475406.92959999997</v>
      </c>
      <c r="H12" s="1244">
        <v>475406.92959999997</v>
      </c>
      <c r="I12" s="1244">
        <v>463406.92959999997</v>
      </c>
      <c r="J12" s="1244">
        <v>463406.92959999997</v>
      </c>
      <c r="K12" s="1244">
        <v>463406.92959999997</v>
      </c>
      <c r="L12" s="1244"/>
      <c r="M12" s="1244"/>
      <c r="N12" s="1244"/>
      <c r="O12" s="1244"/>
      <c r="P12" s="1244"/>
      <c r="Q12" s="1244"/>
    </row>
    <row r="13" spans="1:22" s="999" customFormat="1">
      <c r="A13" s="550"/>
      <c r="B13" s="528" t="s">
        <v>602</v>
      </c>
      <c r="C13" s="1244">
        <v>-13576.6597</v>
      </c>
      <c r="D13" s="1244">
        <v>453178.8175</v>
      </c>
      <c r="E13" s="1244">
        <v>535373.86490000004</v>
      </c>
      <c r="F13" s="1244">
        <v>465998.86489999999</v>
      </c>
      <c r="G13" s="1244">
        <v>479371.86940000003</v>
      </c>
      <c r="H13" s="1244">
        <v>479371.86940000003</v>
      </c>
      <c r="I13" s="1244">
        <v>466171.86940000003</v>
      </c>
      <c r="J13" s="1244">
        <v>466171.86940000003</v>
      </c>
      <c r="K13" s="1244">
        <v>467040.86940000003</v>
      </c>
      <c r="L13" s="1244"/>
      <c r="M13" s="1244"/>
      <c r="N13" s="1244"/>
      <c r="O13" s="1244"/>
      <c r="P13" s="1244"/>
      <c r="Q13" s="1244"/>
    </row>
    <row r="14" spans="1:22" s="999" customFormat="1">
      <c r="A14" s="550"/>
      <c r="B14" s="528" t="s">
        <v>603</v>
      </c>
      <c r="C14" s="1244">
        <v>-24629.0736</v>
      </c>
      <c r="D14" s="1244">
        <v>452146.86739999999</v>
      </c>
      <c r="E14" s="1244">
        <v>561053.91480000003</v>
      </c>
      <c r="F14" s="1244">
        <v>477803.91480000003</v>
      </c>
      <c r="G14" s="1244">
        <v>488738.49699999997</v>
      </c>
      <c r="H14" s="1244">
        <v>515660.2132</v>
      </c>
      <c r="I14" s="1244">
        <v>501140.2132</v>
      </c>
      <c r="J14" s="1244">
        <v>501140.2132</v>
      </c>
      <c r="K14" s="1244">
        <v>510188.01319999999</v>
      </c>
      <c r="L14" s="1244"/>
      <c r="M14" s="1244"/>
      <c r="N14" s="1244"/>
      <c r="O14" s="1244"/>
      <c r="P14" s="1244"/>
      <c r="Q14" s="1244"/>
    </row>
    <row r="15" spans="1:22" s="999" customFormat="1">
      <c r="A15" s="550"/>
      <c r="B15" s="528"/>
      <c r="C15" s="1244"/>
      <c r="D15" s="1244"/>
      <c r="E15" s="1244"/>
      <c r="F15" s="1244"/>
      <c r="G15" s="1244"/>
      <c r="H15" s="1244"/>
      <c r="I15" s="1244"/>
      <c r="J15" s="1244"/>
      <c r="K15" s="1244"/>
      <c r="L15" s="1244"/>
      <c r="M15" s="1244"/>
      <c r="N15" s="1244"/>
      <c r="O15" s="1244"/>
      <c r="P15" s="1244"/>
      <c r="Q15" s="1244"/>
    </row>
    <row r="16" spans="1:22" s="999" customFormat="1">
      <c r="A16" s="550"/>
      <c r="B16" s="528" t="s">
        <v>599</v>
      </c>
      <c r="C16" s="1244">
        <v>-45024.825799999999</v>
      </c>
      <c r="D16" s="1244">
        <v>891148.41819999996</v>
      </c>
      <c r="E16" s="1244">
        <v>1225751.0318</v>
      </c>
      <c r="F16" s="1244">
        <v>1064407.2820000001</v>
      </c>
      <c r="G16" s="1244">
        <v>1082637.9719</v>
      </c>
      <c r="H16" s="1244">
        <v>1102829.2590999999</v>
      </c>
      <c r="I16" s="1244">
        <v>1073039.2590999999</v>
      </c>
      <c r="J16" s="1244">
        <v>1073039.2590999999</v>
      </c>
      <c r="K16" s="1244">
        <v>1080476.8594</v>
      </c>
      <c r="L16" s="1244"/>
      <c r="M16" s="1244"/>
      <c r="N16" s="1244"/>
      <c r="O16" s="1244"/>
      <c r="P16" s="1244"/>
      <c r="Q16" s="1244"/>
    </row>
    <row r="17" spans="1:22" s="999" customFormat="1">
      <c r="A17" s="550"/>
      <c r="B17" s="528" t="s">
        <v>604</v>
      </c>
      <c r="C17" s="1244">
        <v>-6256.7888000000003</v>
      </c>
      <c r="D17" s="1244">
        <v>302686.72330000001</v>
      </c>
      <c r="E17" s="1244">
        <v>403430.19709999999</v>
      </c>
      <c r="F17" s="1244">
        <v>356555.1973</v>
      </c>
      <c r="G17" s="1244">
        <v>356555.1973</v>
      </c>
      <c r="H17" s="1244">
        <v>356555.1973</v>
      </c>
      <c r="I17" s="1244">
        <v>347555.1973</v>
      </c>
      <c r="J17" s="1244">
        <v>347555.1973</v>
      </c>
      <c r="K17" s="1244">
        <v>347555.1973</v>
      </c>
      <c r="L17" s="1244"/>
      <c r="M17" s="1244"/>
      <c r="N17" s="1244"/>
      <c r="O17" s="1244"/>
      <c r="P17" s="1244"/>
      <c r="Q17" s="1244"/>
    </row>
    <row r="18" spans="1:22" s="999" customFormat="1">
      <c r="A18" s="550"/>
      <c r="B18" s="528" t="s">
        <v>605</v>
      </c>
      <c r="C18" s="1244">
        <v>-14138.9632</v>
      </c>
      <c r="D18" s="1244">
        <v>294566.23119999998</v>
      </c>
      <c r="E18" s="1244">
        <v>401530.39860000001</v>
      </c>
      <c r="F18" s="1244">
        <v>349499.14860000001</v>
      </c>
      <c r="G18" s="1244">
        <v>359528.902</v>
      </c>
      <c r="H18" s="1244">
        <v>359528.902</v>
      </c>
      <c r="I18" s="1244">
        <v>349628.902</v>
      </c>
      <c r="J18" s="1244">
        <v>349628.902</v>
      </c>
      <c r="K18" s="1244">
        <v>350280.65220000001</v>
      </c>
      <c r="L18" s="1244"/>
      <c r="M18" s="1244"/>
      <c r="N18" s="1244"/>
      <c r="O18" s="1244"/>
      <c r="P18" s="1244"/>
      <c r="Q18" s="1244"/>
    </row>
    <row r="19" spans="1:22" s="999" customFormat="1">
      <c r="A19" s="550"/>
      <c r="B19" s="528" t="s">
        <v>606</v>
      </c>
      <c r="C19" s="1244">
        <v>-24629.073799999998</v>
      </c>
      <c r="D19" s="1244">
        <v>293895.46370000002</v>
      </c>
      <c r="E19" s="1244">
        <v>420790.43609999999</v>
      </c>
      <c r="F19" s="1244">
        <v>358352.93609999999</v>
      </c>
      <c r="G19" s="1244">
        <v>366553.8726</v>
      </c>
      <c r="H19" s="1244">
        <v>386745.15980000002</v>
      </c>
      <c r="I19" s="1244">
        <v>375855.15980000002</v>
      </c>
      <c r="J19" s="1244">
        <v>375855.15980000002</v>
      </c>
      <c r="K19" s="1244">
        <v>382641.0099</v>
      </c>
      <c r="L19" s="1244"/>
      <c r="M19" s="1244"/>
      <c r="N19" s="1244"/>
      <c r="O19" s="1244"/>
      <c r="P19" s="1244"/>
      <c r="Q19" s="1244"/>
    </row>
    <row r="20" spans="1:22" s="999" customFormat="1">
      <c r="A20" s="550"/>
      <c r="B20" s="528"/>
      <c r="C20" s="1244"/>
      <c r="D20" s="1244"/>
      <c r="E20" s="1244"/>
      <c r="F20" s="1244"/>
      <c r="G20" s="1244"/>
      <c r="H20" s="1244"/>
      <c r="I20" s="1244"/>
      <c r="J20" s="1244"/>
      <c r="K20" s="1244"/>
      <c r="L20" s="1244"/>
      <c r="M20" s="1244"/>
      <c r="N20" s="1244"/>
      <c r="O20" s="1244"/>
      <c r="P20" s="1244"/>
      <c r="Q20" s="1244"/>
    </row>
    <row r="21" spans="1:22" s="999" customFormat="1">
      <c r="A21" s="550"/>
      <c r="B21" s="528" t="s">
        <v>623</v>
      </c>
      <c r="C21" s="1244">
        <v>-150000</v>
      </c>
      <c r="D21" s="1244">
        <v>-150000</v>
      </c>
      <c r="E21" s="1244">
        <v>-150000</v>
      </c>
      <c r="F21" s="1244">
        <v>-150000</v>
      </c>
      <c r="G21" s="1244">
        <v>-150000</v>
      </c>
      <c r="H21" s="1244">
        <v>-150000</v>
      </c>
      <c r="I21" s="1244">
        <v>-150000</v>
      </c>
      <c r="J21" s="1244">
        <v>-150000</v>
      </c>
      <c r="K21" s="1244">
        <v>-150000</v>
      </c>
      <c r="L21" s="1244"/>
      <c r="M21" s="1244"/>
      <c r="N21" s="1244"/>
      <c r="O21" s="1244"/>
      <c r="P21" s="1244"/>
      <c r="Q21" s="1244"/>
    </row>
    <row r="22" spans="1:22" s="551" customFormat="1">
      <c r="A22" s="550"/>
      <c r="B22" s="528"/>
    </row>
    <row r="23" spans="1:22" s="1000" customFormat="1">
      <c r="A23" s="550"/>
      <c r="B23" s="528" t="s">
        <v>607</v>
      </c>
      <c r="C23" s="1000">
        <f t="shared" ref="C23:H23" si="0">C11/C6</f>
        <v>-2.4292529133148132E-2</v>
      </c>
      <c r="D23" s="1000">
        <f t="shared" si="0"/>
        <v>0.44449680650973389</v>
      </c>
      <c r="E23" s="1000">
        <f t="shared" si="0"/>
        <v>0.52987443339414542</v>
      </c>
      <c r="F23" s="1000">
        <f t="shared" si="0"/>
        <v>0.46012786505947528</v>
      </c>
      <c r="G23" s="1000">
        <f t="shared" si="0"/>
        <v>0.46330469084278125</v>
      </c>
      <c r="H23" s="1000">
        <f t="shared" si="0"/>
        <v>0.46668066073358189</v>
      </c>
      <c r="I23" s="1000">
        <f>I11/I6</f>
        <v>0.45407452359321565</v>
      </c>
      <c r="J23" s="1000">
        <f>J11/J6</f>
        <v>0.45407452359321565</v>
      </c>
      <c r="K23" s="1000">
        <f>K11/K6</f>
        <v>0.45722186852759594</v>
      </c>
    </row>
    <row r="24" spans="1:22" s="1000" customFormat="1">
      <c r="A24" s="550"/>
      <c r="B24" s="528" t="s">
        <v>608</v>
      </c>
      <c r="C24" s="1000">
        <f t="shared" ref="C24:H24" si="1">C16/C6</f>
        <v>-2.8128755596010094E-2</v>
      </c>
      <c r="D24" s="1000">
        <f t="shared" si="1"/>
        <v>0.28892292409677811</v>
      </c>
      <c r="E24" s="1000">
        <f t="shared" si="1"/>
        <v>0.3974058249888715</v>
      </c>
      <c r="F24" s="1000">
        <f t="shared" si="1"/>
        <v>0.34509589880271185</v>
      </c>
      <c r="G24" s="1000">
        <f t="shared" si="1"/>
        <v>0.34747851809999042</v>
      </c>
      <c r="H24" s="1000">
        <f t="shared" si="1"/>
        <v>0.35001049553431762</v>
      </c>
      <c r="I24" s="1000">
        <f>I16/I6</f>
        <v>0.34055589267904296</v>
      </c>
      <c r="J24" s="1000">
        <f>J16/J6</f>
        <v>0.34055589267904296</v>
      </c>
      <c r="K24" s="1000">
        <f>K16/K6</f>
        <v>0.34291640147504071</v>
      </c>
    </row>
    <row r="25" spans="1:22" s="551" customFormat="1">
      <c r="A25" s="550"/>
      <c r="B25" s="528"/>
    </row>
    <row r="26" spans="1:22" s="999" customFormat="1">
      <c r="A26" s="550"/>
      <c r="B26" s="528" t="s">
        <v>609</v>
      </c>
      <c r="C26" s="1244">
        <v>11.642095669878294</v>
      </c>
      <c r="D26" s="1244">
        <v>4.3678177142070691</v>
      </c>
      <c r="E26" s="1244">
        <v>3.2026786163976739</v>
      </c>
      <c r="F26" s="1244">
        <v>4.2107930097993149</v>
      </c>
      <c r="G26" s="1244">
        <v>4.2107930097993149</v>
      </c>
      <c r="H26" s="1244">
        <v>4.2107930097993149</v>
      </c>
      <c r="I26" s="1244">
        <v>4.4043509733324306</v>
      </c>
      <c r="J26" s="1244">
        <v>4.4043509733324306</v>
      </c>
      <c r="K26" s="1244">
        <v>4.4043509733324306</v>
      </c>
      <c r="L26" s="1244"/>
      <c r="M26" s="1244"/>
      <c r="N26" s="1244"/>
      <c r="O26" s="1244"/>
      <c r="P26" s="1244"/>
      <c r="Q26" s="1244"/>
      <c r="R26" s="1244"/>
      <c r="S26" s="1244"/>
    </row>
    <row r="27" spans="1:22" s="999" customFormat="1">
      <c r="A27" s="550"/>
      <c r="B27" s="528" t="s">
        <v>610</v>
      </c>
      <c r="C27" s="1244">
        <v>466418.81</v>
      </c>
      <c r="D27" s="1244">
        <v>356059.67</v>
      </c>
      <c r="E27" s="1244">
        <v>261078.82</v>
      </c>
      <c r="F27" s="1244">
        <v>343259.19</v>
      </c>
      <c r="G27" s="1244">
        <v>343259.19</v>
      </c>
      <c r="H27" s="1244">
        <v>343259.19</v>
      </c>
      <c r="I27" s="1244">
        <v>359037.82</v>
      </c>
      <c r="J27" s="1244">
        <v>359037.82</v>
      </c>
      <c r="K27" s="1244">
        <v>359037.82</v>
      </c>
      <c r="L27" s="1244"/>
      <c r="M27" s="1244"/>
      <c r="N27" s="1244"/>
      <c r="O27" s="1244"/>
      <c r="P27" s="1244"/>
      <c r="Q27" s="1244"/>
      <c r="R27" s="1244"/>
      <c r="S27" s="1244"/>
    </row>
    <row r="28" spans="1:22" s="551" customFormat="1">
      <c r="A28" s="550"/>
      <c r="B28" s="528"/>
      <c r="C28" s="1244"/>
      <c r="D28" s="1244"/>
      <c r="E28" s="1244"/>
      <c r="F28" s="1244"/>
      <c r="G28" s="1244"/>
      <c r="H28" s="1244"/>
      <c r="I28" s="1244"/>
      <c r="J28" s="1244"/>
      <c r="K28" s="1244"/>
      <c r="L28" s="1244"/>
      <c r="M28" s="1244"/>
      <c r="N28" s="1244"/>
      <c r="O28" s="1244"/>
      <c r="P28" s="1244"/>
      <c r="Q28" s="1244"/>
      <c r="R28" s="1244"/>
      <c r="S28" s="1244"/>
    </row>
    <row r="29" spans="1:22" s="551" customFormat="1">
      <c r="A29" s="550"/>
      <c r="B29" s="528" t="s">
        <v>683</v>
      </c>
      <c r="C29" s="1244">
        <v>-156256.79</v>
      </c>
      <c r="D29" s="1244">
        <v>152686.72</v>
      </c>
      <c r="E29" s="1244">
        <v>253430.2</v>
      </c>
      <c r="F29" s="1244">
        <v>206555.2</v>
      </c>
      <c r="G29" s="1244">
        <v>206555.2</v>
      </c>
      <c r="H29" s="1244">
        <v>206555.2</v>
      </c>
      <c r="I29" s="1244">
        <v>197555.20000000001</v>
      </c>
      <c r="J29" s="1244">
        <v>197555.20000000001</v>
      </c>
      <c r="K29" s="1244">
        <v>197555.20000000001</v>
      </c>
      <c r="L29" s="1244"/>
      <c r="M29" s="1244"/>
      <c r="N29" s="1244"/>
      <c r="O29" s="1244"/>
      <c r="P29" s="1244"/>
      <c r="Q29" s="1244"/>
      <c r="R29" s="1244"/>
      <c r="S29" s="1244"/>
      <c r="T29" s="769"/>
      <c r="U29" s="769"/>
      <c r="V29" s="769"/>
    </row>
    <row r="30" spans="1:22" s="551" customFormat="1">
      <c r="A30" s="550"/>
      <c r="B30" s="528"/>
    </row>
    <row r="31" spans="1:22" s="1000" customFormat="1">
      <c r="A31" s="550"/>
      <c r="B31" s="528" t="s">
        <v>611</v>
      </c>
      <c r="C31" s="1000">
        <f t="shared" ref="C31:H31" si="2">C16/(-C21)</f>
        <v>-0.3001655053333333</v>
      </c>
      <c r="D31" s="1000">
        <f t="shared" si="2"/>
        <v>5.9409894546666662</v>
      </c>
      <c r="E31" s="1000">
        <f t="shared" si="2"/>
        <v>8.1716735453333325</v>
      </c>
      <c r="F31" s="1000">
        <f t="shared" si="2"/>
        <v>7.0960485466666672</v>
      </c>
      <c r="G31" s="1000">
        <f t="shared" si="2"/>
        <v>7.2175864793333337</v>
      </c>
      <c r="H31" s="1000">
        <f t="shared" si="2"/>
        <v>7.3521950606666664</v>
      </c>
      <c r="I31" s="1000">
        <f>I16/(-I21)</f>
        <v>7.1535950606666656</v>
      </c>
      <c r="J31" s="1000">
        <f>J16/(-J21)</f>
        <v>7.1535950606666656</v>
      </c>
      <c r="K31" s="1000">
        <f>K16/(-K21)</f>
        <v>7.2031790626666661</v>
      </c>
    </row>
    <row r="32" spans="1:22" s="583" customFormat="1">
      <c r="A32" s="550"/>
      <c r="B32" s="528" t="s">
        <v>620</v>
      </c>
      <c r="C32" s="583" t="e">
        <f>IRR((C21,C17:C19))</f>
        <v>#NUM!</v>
      </c>
      <c r="D32" s="583">
        <f>IRR((D21,D17:D19))</f>
        <v>1.9201655047832826</v>
      </c>
      <c r="E32" s="583">
        <f>IRR((E21,E17:E19))</f>
        <v>2.6374694596218538</v>
      </c>
      <c r="F32" s="583">
        <f>IRR((F21,F17:F19))</f>
        <v>2.3018348082795863</v>
      </c>
      <c r="G32" s="583">
        <f>IRR((G21,G17:G19))</f>
        <v>2.3205052982965868</v>
      </c>
      <c r="H32" s="583">
        <f>IRR((H21,H17:H19))</f>
        <v>2.3295015100045067</v>
      </c>
      <c r="I32" s="583">
        <f>IRR((I21,I17:I19))</f>
        <v>2.2657182740018147</v>
      </c>
      <c r="J32" s="583">
        <f>IRR((J21,J17:J19))</f>
        <v>2.2657182740018147</v>
      </c>
      <c r="K32" s="583">
        <f>IRR((K21,K17:K19))</f>
        <v>2.269800877267476</v>
      </c>
    </row>
    <row r="33" spans="1:25" s="551" customFormat="1">
      <c r="A33" s="550"/>
      <c r="B33" s="528"/>
    </row>
    <row r="34" spans="1:25" s="583" customFormat="1">
      <c r="A34" s="550"/>
      <c r="B34" s="528" t="s">
        <v>612</v>
      </c>
      <c r="C34" s="583">
        <f>FindNameFinM("Investment",0)</f>
        <v>0.05</v>
      </c>
      <c r="D34" s="583">
        <f>FindNameFinM("Investment",1)</f>
        <v>0.05</v>
      </c>
      <c r="E34" s="583">
        <f>FindNameFinM("Investment",2)</f>
        <v>0.05</v>
      </c>
      <c r="F34" s="583">
        <f>FindNameFinM("Investment",3)</f>
        <v>0.05</v>
      </c>
      <c r="G34" s="583">
        <f>FindNameFinM("Investment",4)</f>
        <v>0.05</v>
      </c>
      <c r="H34" s="583">
        <f>FindNameFinM("Investment",5)</f>
        <v>0.05</v>
      </c>
      <c r="I34" s="583">
        <f>FindNameFinM("Investment",6)</f>
        <v>0.05</v>
      </c>
      <c r="J34" s="583">
        <f>FindNameFinM("Investment",7)</f>
        <v>0.05</v>
      </c>
      <c r="K34" s="583">
        <f>FindNameFinM("Investment",8)</f>
        <v>0.05</v>
      </c>
    </row>
    <row r="35" spans="1:25" s="583" customFormat="1">
      <c r="A35" s="550"/>
      <c r="B35" s="528" t="s">
        <v>631</v>
      </c>
      <c r="C35" s="583">
        <f>FindNameFinM("Risk-Free",0)</f>
        <v>0.01</v>
      </c>
      <c r="D35" s="583">
        <f>FindNameFinM("Risk-Free",1)</f>
        <v>0.01</v>
      </c>
      <c r="E35" s="583">
        <f>FindNameFinM("Risk-Free",2)</f>
        <v>0.01</v>
      </c>
      <c r="F35" s="583">
        <f>FindNameFinM("Risk-Free",3)</f>
        <v>0.01</v>
      </c>
      <c r="G35" s="583">
        <f>FindNameFinM("Risk-Free",4)</f>
        <v>0.01</v>
      </c>
      <c r="H35" s="583">
        <f>FindNameFinM("Risk-Free",5)</f>
        <v>0.01</v>
      </c>
      <c r="I35" s="583">
        <f>FindNameFinM("Risk-Free",6)</f>
        <v>0.01</v>
      </c>
      <c r="J35" s="583">
        <f>FindNameFinM("Risk-Free",7)</f>
        <v>0.01</v>
      </c>
      <c r="K35" s="583">
        <f>FindNameFinM("Risk-Free",8)</f>
        <v>0.01</v>
      </c>
    </row>
    <row r="36" spans="1:25" s="583" customFormat="1">
      <c r="A36" s="550"/>
      <c r="B36" s="528"/>
    </row>
    <row r="37" spans="1:25" s="999" customFormat="1">
      <c r="A37" s="550"/>
      <c r="B37" s="528" t="s">
        <v>613</v>
      </c>
      <c r="C37" s="1244">
        <f t="shared" ref="C37:H37" si="3">(C17/(1+C34)+C18/(1+C34)^2+C19/(1+C34)^3)+C21</f>
        <v>-190058.82285887052</v>
      </c>
      <c r="D37" s="1244">
        <f t="shared" si="3"/>
        <v>659331.27644811571</v>
      </c>
      <c r="E37" s="1244">
        <f t="shared" si="3"/>
        <v>961913.74316618079</v>
      </c>
      <c r="F37" s="1244">
        <f t="shared" si="3"/>
        <v>816141.14860447031</v>
      </c>
      <c r="G37" s="1244">
        <f t="shared" si="3"/>
        <v>832322.70789180417</v>
      </c>
      <c r="H37" s="1244">
        <f t="shared" si="3"/>
        <v>849764.70093791152</v>
      </c>
      <c r="I37" s="1244">
        <f>(I17/(1+I34)+I18/(1+I34)^2+I19/(1+I34)^3)+I21</f>
        <v>822806.48908174061</v>
      </c>
      <c r="J37" s="1244">
        <f>(J17/(1+J34)+J18/(1+J34)^2+J19/(1+J34)^3)+J21</f>
        <v>822806.48908174061</v>
      </c>
      <c r="K37" s="1244">
        <f>(K17/(1+K34)+K18/(1+K34)^2+K19/(1+K34)^3)+K21</f>
        <v>829259.51818011014</v>
      </c>
      <c r="L37" s="1244"/>
      <c r="M37" s="1244"/>
      <c r="N37" s="1244"/>
      <c r="O37" s="1244"/>
    </row>
    <row r="38" spans="1:25" s="1016" customFormat="1">
      <c r="A38" s="550"/>
      <c r="B38" s="528" t="s">
        <v>624</v>
      </c>
      <c r="C38" s="1016">
        <f t="shared" ref="C38:H38" si="4">DURATION(DATE(2014,12,31),DATE(2017,12,31),0.1,C36,1)</f>
        <v>2.7692307692307692</v>
      </c>
      <c r="D38" s="1016">
        <f t="shared" si="4"/>
        <v>2.7692307692307692</v>
      </c>
      <c r="E38" s="1016">
        <f t="shared" si="4"/>
        <v>2.7692307692307692</v>
      </c>
      <c r="F38" s="1016">
        <f t="shared" si="4"/>
        <v>2.7692307692307692</v>
      </c>
      <c r="G38" s="1016">
        <f t="shared" si="4"/>
        <v>2.7692307692307692</v>
      </c>
      <c r="H38" s="1016">
        <f t="shared" si="4"/>
        <v>2.7692307692307692</v>
      </c>
      <c r="I38" s="1016">
        <f>DURATION(DATE(2014,12,31),DATE(2017,12,31),0.1,I36,1)</f>
        <v>2.7692307692307692</v>
      </c>
      <c r="J38" s="1016">
        <f>DURATION(DATE(2014,12,31),DATE(2017,12,31),0.1,J36,1)</f>
        <v>2.7692307692307692</v>
      </c>
      <c r="K38" s="1016">
        <f>DURATION(DATE(2014,12,31),DATE(2017,12,31),0.1,K36,1)</f>
        <v>2.7692307692307692</v>
      </c>
    </row>
    <row r="39" spans="1:25" s="1000" customFormat="1">
      <c r="A39" s="550"/>
      <c r="B39" s="528" t="s">
        <v>621</v>
      </c>
      <c r="C39" s="1015">
        <f t="shared" ref="C39:H39" si="5">DurationProject(C17,C18,C19,C34)</f>
        <v>2.3823545575270026</v>
      </c>
      <c r="D39" s="1015">
        <f t="shared" si="5"/>
        <v>1.9575018052205153</v>
      </c>
      <c r="E39" s="1015">
        <f t="shared" si="5"/>
        <v>1.981361292047094</v>
      </c>
      <c r="F39" s="1015">
        <f t="shared" si="5"/>
        <v>1.9689303797100626</v>
      </c>
      <c r="G39" s="1015">
        <f t="shared" si="5"/>
        <v>1.9766539435996817</v>
      </c>
      <c r="H39" s="1015">
        <f t="shared" si="5"/>
        <v>1.9945073392864376</v>
      </c>
      <c r="I39" s="1015">
        <f>DurationProject(I17,I18,I19,I34)</f>
        <v>1.9934960022951738</v>
      </c>
      <c r="J39" s="1015">
        <f>DurationProject(J17,J18,J19,J34)</f>
        <v>1.9934960022951738</v>
      </c>
      <c r="K39" s="1015">
        <f>DurationProject(K17,K18,K19,K34)</f>
        <v>1.9995248872140516</v>
      </c>
      <c r="L39" s="1015" t="str">
        <f t="shared" ref="K39:Y39" si="6">IF(L34="","",DURATION(DATE(2014,12,31),DATE(2017,12,31),0.1,L34,1))</f>
        <v/>
      </c>
      <c r="M39" s="1015" t="str">
        <f t="shared" si="6"/>
        <v/>
      </c>
      <c r="N39" s="1015" t="str">
        <f t="shared" si="6"/>
        <v/>
      </c>
      <c r="O39" s="1015" t="str">
        <f t="shared" si="6"/>
        <v/>
      </c>
      <c r="P39" s="1015" t="str">
        <f t="shared" si="6"/>
        <v/>
      </c>
      <c r="Q39" s="1015" t="str">
        <f t="shared" si="6"/>
        <v/>
      </c>
      <c r="R39" s="1015" t="str">
        <f t="shared" si="6"/>
        <v/>
      </c>
      <c r="S39" s="1015" t="str">
        <f t="shared" si="6"/>
        <v/>
      </c>
      <c r="T39" s="1015" t="str">
        <f t="shared" si="6"/>
        <v/>
      </c>
      <c r="U39" s="1015" t="str">
        <f t="shared" si="6"/>
        <v/>
      </c>
      <c r="V39" s="1015" t="str">
        <f t="shared" si="6"/>
        <v/>
      </c>
      <c r="W39" s="1015" t="str">
        <f t="shared" si="6"/>
        <v/>
      </c>
      <c r="X39" s="1015" t="str">
        <f t="shared" si="6"/>
        <v/>
      </c>
      <c r="Y39" s="1015" t="str">
        <f t="shared" si="6"/>
        <v/>
      </c>
    </row>
    <row r="40" spans="1:25" s="551" customFormat="1">
      <c r="A40" s="550"/>
      <c r="B40" s="528"/>
    </row>
    <row r="41" spans="1:25" s="999" customFormat="1">
      <c r="A41" s="550"/>
      <c r="B41" s="528" t="s">
        <v>693</v>
      </c>
    </row>
    <row r="42" spans="1:25" s="583" customFormat="1">
      <c r="A42" s="550"/>
      <c r="B42" s="528" t="s">
        <v>622</v>
      </c>
    </row>
    <row r="43" spans="1:25" s="1000" customFormat="1">
      <c r="A43" s="550"/>
      <c r="B43" s="528" t="s">
        <v>694</v>
      </c>
    </row>
    <row r="44" spans="1:25" s="1000" customFormat="1">
      <c r="A44" s="550"/>
      <c r="B44" s="528" t="s">
        <v>630</v>
      </c>
      <c r="C44" s="1000" t="str">
        <f>IFERROR((C32-C34)/C43,"")</f>
        <v/>
      </c>
    </row>
    <row r="45" spans="1:25" s="1000" customFormat="1">
      <c r="A45" s="550"/>
      <c r="B45" s="528" t="s">
        <v>629</v>
      </c>
    </row>
    <row r="46" spans="1:25" s="1000" customFormat="1">
      <c r="A46" s="550"/>
      <c r="B46" s="528" t="s">
        <v>715</v>
      </c>
    </row>
    <row r="47" spans="1:25" s="1000" customFormat="1">
      <c r="A47" s="550"/>
      <c r="B47" s="528" t="s">
        <v>716</v>
      </c>
    </row>
    <row r="48" spans="1:25" s="583" customFormat="1">
      <c r="A48" s="550"/>
      <c r="B48" s="528"/>
    </row>
    <row r="49" spans="1:11" s="1006" customFormat="1">
      <c r="A49" s="1004" t="s">
        <v>0</v>
      </c>
      <c r="B49" s="1005" t="s">
        <v>24</v>
      </c>
      <c r="C49" s="1014"/>
      <c r="D49" s="1014"/>
    </row>
    <row r="50" spans="1:11">
      <c r="A50" s="159">
        <v>1.1000000000000001</v>
      </c>
      <c r="B50" s="527" t="s">
        <v>15</v>
      </c>
    </row>
    <row r="51" spans="1:11">
      <c r="A51" s="159"/>
      <c r="B51" s="527" t="s">
        <v>722</v>
      </c>
      <c r="C51">
        <v>0.55551168750000013</v>
      </c>
      <c r="D51" s="1294">
        <v>0.55551168750000013</v>
      </c>
      <c r="E51" s="1294">
        <v>0.55551168750000013</v>
      </c>
      <c r="F51" s="1294">
        <v>0.55551168750000013</v>
      </c>
      <c r="G51" s="1294">
        <v>0.55551168750000013</v>
      </c>
      <c r="H51" s="1294">
        <v>0.55551168750000013</v>
      </c>
      <c r="I51" s="1294">
        <v>0.55551168750000013</v>
      </c>
      <c r="J51" s="1294">
        <v>0.55551168750000013</v>
      </c>
      <c r="K51" s="1294">
        <v>0.55551168750000013</v>
      </c>
    </row>
    <row r="52" spans="1:11">
      <c r="A52" s="159"/>
      <c r="B52" s="527" t="s">
        <v>723</v>
      </c>
      <c r="C52">
        <v>0.59135115120967763</v>
      </c>
      <c r="D52" s="1294">
        <v>0.59135115120967763</v>
      </c>
      <c r="E52" s="1294">
        <v>0.59135115120967763</v>
      </c>
      <c r="F52" s="1294">
        <v>0.59135115120967763</v>
      </c>
      <c r="G52" s="1294">
        <v>0.59135115120967763</v>
      </c>
      <c r="H52" s="1294">
        <v>0.59135115120967763</v>
      </c>
      <c r="I52" s="1294">
        <v>0.59135115120967763</v>
      </c>
      <c r="J52" s="1294">
        <v>0.59135115120967763</v>
      </c>
      <c r="K52" s="1294">
        <v>0.59135115120967763</v>
      </c>
    </row>
    <row r="53" spans="1:11">
      <c r="A53" s="159"/>
      <c r="B53" s="527" t="s">
        <v>724</v>
      </c>
      <c r="C53">
        <v>0.64511034677419365</v>
      </c>
      <c r="D53" s="1294">
        <v>0.64511034677419365</v>
      </c>
      <c r="E53" s="1294">
        <v>0.64511034677419365</v>
      </c>
      <c r="F53" s="1294">
        <v>0.64511034677419365</v>
      </c>
      <c r="G53" s="1294">
        <v>0.64511034677419365</v>
      </c>
      <c r="H53" s="1294">
        <v>0.64511034677419365</v>
      </c>
      <c r="I53" s="1294">
        <v>0.64511034677419365</v>
      </c>
      <c r="J53" s="1294">
        <v>0.64511034677419365</v>
      </c>
      <c r="K53" s="1294">
        <v>0.64511034677419365</v>
      </c>
    </row>
    <row r="54" spans="1:11">
      <c r="A54" s="159"/>
      <c r="B54" s="527" t="s">
        <v>725</v>
      </c>
      <c r="C54">
        <v>1</v>
      </c>
      <c r="D54" s="1294">
        <v>1</v>
      </c>
      <c r="E54" s="1294">
        <v>1</v>
      </c>
      <c r="F54" s="1294">
        <v>1</v>
      </c>
      <c r="G54" s="1294">
        <v>1</v>
      </c>
      <c r="H54" s="1294">
        <v>1</v>
      </c>
      <c r="I54" s="1294">
        <v>1</v>
      </c>
      <c r="J54" s="1294">
        <v>1</v>
      </c>
      <c r="K54" s="1294">
        <v>1</v>
      </c>
    </row>
    <row r="55" spans="1:11">
      <c r="A55" s="159"/>
      <c r="B55" s="527" t="s">
        <v>726</v>
      </c>
      <c r="C55">
        <v>1</v>
      </c>
      <c r="D55" s="1294">
        <v>1</v>
      </c>
      <c r="E55" s="1294">
        <v>1</v>
      </c>
      <c r="F55" s="1294">
        <v>1</v>
      </c>
      <c r="G55" s="1294">
        <v>1</v>
      </c>
      <c r="H55" s="1294">
        <v>1</v>
      </c>
      <c r="I55" s="1294">
        <v>1</v>
      </c>
      <c r="J55" s="1294">
        <v>1</v>
      </c>
      <c r="K55" s="1294">
        <v>1</v>
      </c>
    </row>
    <row r="56" spans="1:11">
      <c r="A56" s="159"/>
      <c r="B56" s="527" t="s">
        <v>727</v>
      </c>
      <c r="C56">
        <v>1</v>
      </c>
      <c r="D56" s="1294">
        <v>1</v>
      </c>
      <c r="E56" s="1294">
        <v>1</v>
      </c>
      <c r="F56" s="1294">
        <v>1</v>
      </c>
      <c r="G56" s="1294">
        <v>1</v>
      </c>
      <c r="H56" s="1294">
        <v>1</v>
      </c>
      <c r="I56" s="1294">
        <v>1</v>
      </c>
      <c r="J56" s="1294">
        <v>1</v>
      </c>
      <c r="K56" s="1294">
        <v>1</v>
      </c>
    </row>
    <row r="57" spans="1:11">
      <c r="A57" s="159"/>
      <c r="B57" s="527" t="s">
        <v>728</v>
      </c>
      <c r="C57">
        <v>1</v>
      </c>
      <c r="D57" s="1294">
        <v>1</v>
      </c>
      <c r="E57" s="1294">
        <v>1</v>
      </c>
      <c r="F57" s="1294">
        <v>1</v>
      </c>
      <c r="G57" s="1294">
        <v>1</v>
      </c>
      <c r="H57" s="1294">
        <v>1</v>
      </c>
      <c r="I57" s="1294">
        <v>1</v>
      </c>
      <c r="J57" s="1294">
        <v>1</v>
      </c>
      <c r="K57" s="1294">
        <v>1</v>
      </c>
    </row>
    <row r="58" spans="1:11">
      <c r="A58" s="159"/>
      <c r="B58" s="527" t="s">
        <v>729</v>
      </c>
      <c r="C58">
        <v>1</v>
      </c>
      <c r="D58" s="1294">
        <v>1</v>
      </c>
      <c r="E58" s="1294">
        <v>1</v>
      </c>
      <c r="F58" s="1294">
        <v>1</v>
      </c>
      <c r="G58" s="1294">
        <v>1</v>
      </c>
      <c r="H58" s="1294">
        <v>1</v>
      </c>
      <c r="I58" s="1294">
        <v>1</v>
      </c>
      <c r="J58" s="1294">
        <v>1</v>
      </c>
      <c r="K58" s="1294">
        <v>1</v>
      </c>
    </row>
    <row r="59" spans="1:11">
      <c r="A59" s="159"/>
      <c r="B59" s="527" t="s">
        <v>730</v>
      </c>
      <c r="C59">
        <v>1</v>
      </c>
      <c r="D59" s="1294">
        <v>1</v>
      </c>
      <c r="E59" s="1294">
        <v>1</v>
      </c>
      <c r="F59" s="1294">
        <v>1</v>
      </c>
      <c r="G59" s="1294">
        <v>1</v>
      </c>
      <c r="H59" s="1294">
        <v>1</v>
      </c>
      <c r="I59" s="1294">
        <v>1</v>
      </c>
      <c r="J59" s="1294">
        <v>1</v>
      </c>
      <c r="K59" s="1294">
        <v>1</v>
      </c>
    </row>
    <row r="60" spans="1:11" s="523" customFormat="1">
      <c r="A60" s="544"/>
      <c r="B60" s="545" t="s">
        <v>1486</v>
      </c>
      <c r="I60" s="1419">
        <v>0.25</v>
      </c>
      <c r="J60" s="1419">
        <v>0.25</v>
      </c>
      <c r="K60" s="1419">
        <v>0.25</v>
      </c>
    </row>
    <row r="61" spans="1:11" s="523" customFormat="1">
      <c r="A61" s="544"/>
      <c r="B61" s="545" t="s">
        <v>1487</v>
      </c>
      <c r="I61" s="1419">
        <v>0.26179999999999998</v>
      </c>
      <c r="J61" s="1419">
        <v>0.26179999999999998</v>
      </c>
      <c r="K61" s="1419">
        <v>0.26179999999999998</v>
      </c>
    </row>
    <row r="62" spans="1:11" s="523" customFormat="1">
      <c r="A62" s="544"/>
      <c r="B62" s="545" t="s">
        <v>1488</v>
      </c>
      <c r="I62" s="1419">
        <v>0.27400000000000002</v>
      </c>
      <c r="J62" s="1419">
        <v>0.27400000000000002</v>
      </c>
      <c r="K62" s="1419">
        <v>0.27400000000000002</v>
      </c>
    </row>
    <row r="63" spans="1:11" s="523" customFormat="1">
      <c r="A63" s="544"/>
      <c r="B63" s="545" t="s">
        <v>1489</v>
      </c>
      <c r="I63" s="1419">
        <v>0.25</v>
      </c>
      <c r="J63" s="1419">
        <v>0.25</v>
      </c>
      <c r="K63" s="1419">
        <v>0.25</v>
      </c>
    </row>
    <row r="64" spans="1:11" s="523" customFormat="1">
      <c r="A64" s="544"/>
      <c r="B64" s="545" t="s">
        <v>1490</v>
      </c>
      <c r="I64" s="1419">
        <v>0.26179999999999998</v>
      </c>
      <c r="J64" s="1419">
        <v>0.26179999999999998</v>
      </c>
      <c r="K64" s="1419">
        <v>0.26179999999999998</v>
      </c>
    </row>
    <row r="65" spans="1:11" s="523" customFormat="1">
      <c r="A65" s="544"/>
      <c r="B65" s="545" t="s">
        <v>1491</v>
      </c>
      <c r="I65" s="1419">
        <v>0.27400000000000002</v>
      </c>
      <c r="J65" s="1419">
        <v>0.27400000000000002</v>
      </c>
      <c r="K65" s="1419">
        <v>0.27400000000000002</v>
      </c>
    </row>
    <row r="66" spans="1:11" s="523" customFormat="1">
      <c r="A66" s="544"/>
      <c r="B66" s="545" t="s">
        <v>1486</v>
      </c>
      <c r="J66" s="1427">
        <v>0.25</v>
      </c>
      <c r="K66" s="1427">
        <v>0.25</v>
      </c>
    </row>
    <row r="67" spans="1:11" s="523" customFormat="1">
      <c r="A67" s="544"/>
      <c r="B67" s="545" t="s">
        <v>1487</v>
      </c>
      <c r="J67" s="1427">
        <v>0.26179999999999998</v>
      </c>
      <c r="K67" s="1427">
        <v>0.26179999999999998</v>
      </c>
    </row>
    <row r="68" spans="1:11" s="523" customFormat="1">
      <c r="A68" s="544"/>
      <c r="B68" s="545" t="s">
        <v>1488</v>
      </c>
      <c r="J68" s="1427">
        <v>0.27400000000000002</v>
      </c>
      <c r="K68" s="1427">
        <v>0.27400000000000002</v>
      </c>
    </row>
    <row r="69" spans="1:11" s="523" customFormat="1">
      <c r="A69" s="544"/>
      <c r="B69" s="545" t="s">
        <v>1489</v>
      </c>
      <c r="J69" s="1427">
        <v>0.25</v>
      </c>
      <c r="K69" s="1427">
        <v>0.25</v>
      </c>
    </row>
    <row r="70" spans="1:11" s="523" customFormat="1">
      <c r="A70" s="544"/>
      <c r="B70" s="545" t="s">
        <v>1490</v>
      </c>
      <c r="J70" s="1427">
        <v>0.26179999999999998</v>
      </c>
      <c r="K70" s="1427">
        <v>0.26179999999999998</v>
      </c>
    </row>
    <row r="71" spans="1:11" s="523" customFormat="1">
      <c r="A71" s="544"/>
      <c r="B71" s="545" t="s">
        <v>1491</v>
      </c>
      <c r="J71" s="1427">
        <v>0.27400000000000002</v>
      </c>
      <c r="K71" s="1427">
        <v>0.27400000000000002</v>
      </c>
    </row>
    <row r="72" spans="1:11" s="543" customFormat="1">
      <c r="B72" s="527"/>
    </row>
    <row r="73" spans="1:11">
      <c r="A73" s="159">
        <v>1.2</v>
      </c>
      <c r="B73" s="527" t="s">
        <v>14</v>
      </c>
      <c r="D73" s="1294"/>
      <c r="E73" s="1294"/>
      <c r="F73" s="1294"/>
      <c r="G73" s="1294"/>
      <c r="H73" s="1294"/>
      <c r="I73" s="1294"/>
      <c r="J73" s="1294"/>
      <c r="K73" s="1294"/>
    </row>
    <row r="74" spans="1:11">
      <c r="A74" s="159"/>
      <c r="B74" s="527" t="s">
        <v>731</v>
      </c>
      <c r="C74">
        <v>15000000</v>
      </c>
      <c r="D74" s="1294">
        <v>15000000</v>
      </c>
      <c r="E74" s="1294">
        <v>15000000</v>
      </c>
      <c r="F74" s="1294">
        <v>15000000</v>
      </c>
      <c r="G74" s="1294">
        <v>15000000</v>
      </c>
      <c r="H74" s="1294">
        <v>15000000</v>
      </c>
      <c r="I74" s="1294">
        <v>15000000</v>
      </c>
      <c r="J74" s="1294">
        <v>15000000</v>
      </c>
      <c r="K74" s="1294">
        <v>15000000</v>
      </c>
    </row>
    <row r="75" spans="1:11">
      <c r="A75" s="159"/>
      <c r="B75" s="527" t="s">
        <v>732</v>
      </c>
      <c r="C75">
        <v>1.03</v>
      </c>
      <c r="D75" s="1294">
        <v>1.03</v>
      </c>
      <c r="E75" s="1294">
        <v>1.03</v>
      </c>
      <c r="F75" s="1294">
        <v>1.03</v>
      </c>
      <c r="G75" s="1294">
        <v>1.03</v>
      </c>
      <c r="H75" s="1294">
        <v>1.03</v>
      </c>
      <c r="I75" s="1294">
        <v>1.03</v>
      </c>
      <c r="J75" s="1294">
        <v>1.03</v>
      </c>
      <c r="K75" s="1294">
        <v>1.03</v>
      </c>
    </row>
    <row r="76" spans="1:11">
      <c r="A76" s="159"/>
      <c r="B76" s="527" t="s">
        <v>733</v>
      </c>
      <c r="C76">
        <v>1.06</v>
      </c>
      <c r="D76" s="1294">
        <v>1.06</v>
      </c>
      <c r="E76" s="1294">
        <v>1.06</v>
      </c>
      <c r="F76" s="1294">
        <v>1.06</v>
      </c>
      <c r="G76" s="1294">
        <v>1.06</v>
      </c>
      <c r="H76" s="1294">
        <v>1.06</v>
      </c>
      <c r="I76" s="1294">
        <v>1.06</v>
      </c>
      <c r="J76" s="1294">
        <v>1.06</v>
      </c>
      <c r="K76" s="1294">
        <v>1.06</v>
      </c>
    </row>
    <row r="77" spans="1:11">
      <c r="A77" s="159"/>
      <c r="B77" s="527" t="s">
        <v>734</v>
      </c>
      <c r="C77">
        <v>1.1000000000000001</v>
      </c>
      <c r="D77" s="1294">
        <v>1.1000000000000001</v>
      </c>
      <c r="E77" s="1294">
        <v>1.1000000000000001</v>
      </c>
      <c r="F77" s="1294">
        <v>1.1000000000000001</v>
      </c>
      <c r="G77" s="1294">
        <v>1.1000000000000001</v>
      </c>
      <c r="H77" s="1294">
        <v>1.1000000000000001</v>
      </c>
      <c r="I77" s="1294">
        <v>1.1000000000000001</v>
      </c>
      <c r="J77" s="1294">
        <v>1.1000000000000001</v>
      </c>
      <c r="K77" s="1294">
        <v>1.1000000000000001</v>
      </c>
    </row>
    <row r="78" spans="1:11">
      <c r="A78" s="159"/>
      <c r="B78" s="527" t="s">
        <v>735</v>
      </c>
      <c r="D78" s="1294"/>
      <c r="E78" s="1294"/>
      <c r="F78" s="1294"/>
      <c r="G78" s="1294"/>
      <c r="H78" s="1294"/>
      <c r="I78" s="1294"/>
      <c r="J78" s="1294"/>
      <c r="K78" s="1294"/>
    </row>
    <row r="79" spans="1:11">
      <c r="A79" s="159"/>
      <c r="B79" s="527" t="s">
        <v>736</v>
      </c>
      <c r="C79">
        <v>73920</v>
      </c>
      <c r="D79" s="1294">
        <v>73920</v>
      </c>
      <c r="E79" s="1294">
        <v>73920</v>
      </c>
      <c r="F79" s="1294">
        <v>73920</v>
      </c>
      <c r="G79" s="1294">
        <v>73920</v>
      </c>
      <c r="H79" s="1294">
        <v>73920</v>
      </c>
      <c r="I79" s="1294">
        <v>73920</v>
      </c>
      <c r="J79" s="1294">
        <v>73920</v>
      </c>
      <c r="K79" s="1294">
        <v>73920</v>
      </c>
    </row>
    <row r="80" spans="1:11">
      <c r="A80" s="159"/>
      <c r="B80" s="527" t="s">
        <v>737</v>
      </c>
      <c r="D80" s="1294"/>
      <c r="E80" s="1294"/>
      <c r="F80" s="1294"/>
      <c r="G80" s="1294"/>
      <c r="H80" s="1294"/>
      <c r="I80" s="1294"/>
      <c r="J80" s="1294"/>
      <c r="K80" s="1294"/>
    </row>
    <row r="81" spans="1:11">
      <c r="A81" s="159"/>
      <c r="B81" s="527" t="s">
        <v>738</v>
      </c>
      <c r="D81" s="1294"/>
      <c r="E81" s="1294"/>
      <c r="F81" s="1294"/>
      <c r="G81" s="1294"/>
      <c r="H81" s="1294"/>
      <c r="I81" s="1294"/>
      <c r="J81" s="1294"/>
      <c r="K81" s="1294"/>
    </row>
    <row r="82" spans="1:11">
      <c r="A82" s="159"/>
      <c r="B82" s="527" t="s">
        <v>739</v>
      </c>
      <c r="D82" s="1294"/>
      <c r="E82" s="1294"/>
      <c r="F82" s="1294"/>
      <c r="G82" s="1294"/>
      <c r="H82" s="1294"/>
      <c r="I82" s="1294"/>
      <c r="J82" s="1294"/>
      <c r="K82" s="1294"/>
    </row>
    <row r="83" spans="1:11">
      <c r="A83" s="159"/>
      <c r="B83" s="527" t="s">
        <v>740</v>
      </c>
      <c r="D83" s="1294"/>
      <c r="E83" s="1294"/>
      <c r="F83" s="1294"/>
      <c r="G83" s="1294"/>
      <c r="H83" s="1294"/>
      <c r="I83" s="1294"/>
      <c r="J83" s="1294"/>
      <c r="K83" s="1294"/>
    </row>
    <row r="84" spans="1:11">
      <c r="A84" s="159"/>
      <c r="B84" s="527" t="s">
        <v>741</v>
      </c>
      <c r="C84">
        <v>1.5</v>
      </c>
      <c r="D84" s="1294">
        <v>1.5</v>
      </c>
      <c r="E84" s="1294">
        <v>1.5</v>
      </c>
      <c r="F84" s="1294">
        <v>1.5</v>
      </c>
      <c r="G84" s="1294">
        <v>1.5</v>
      </c>
      <c r="H84" s="1294">
        <v>1.5</v>
      </c>
      <c r="I84" s="1294">
        <v>1.5</v>
      </c>
      <c r="J84" s="1294">
        <v>1.5</v>
      </c>
      <c r="K84" s="1294">
        <v>1.5</v>
      </c>
    </row>
    <row r="85" spans="1:11">
      <c r="A85" s="159"/>
      <c r="B85" s="527" t="s">
        <v>742</v>
      </c>
      <c r="D85" s="1294"/>
      <c r="E85" s="1294"/>
      <c r="F85" s="1294"/>
      <c r="G85" s="1294"/>
      <c r="H85" s="1294"/>
      <c r="I85" s="1294"/>
      <c r="J85" s="1294"/>
      <c r="K85" s="1294"/>
    </row>
    <row r="86" spans="1:11">
      <c r="A86" s="159"/>
      <c r="B86" s="527" t="s">
        <v>743</v>
      </c>
      <c r="D86" s="1294"/>
      <c r="E86" s="1294"/>
      <c r="F86" s="1294"/>
      <c r="G86" s="1294"/>
      <c r="H86" s="1294"/>
      <c r="I86" s="1294"/>
      <c r="J86" s="1294"/>
      <c r="K86" s="1294"/>
    </row>
    <row r="87" spans="1:11">
      <c r="A87" s="159"/>
      <c r="B87" s="527" t="s">
        <v>744</v>
      </c>
      <c r="D87" s="1294"/>
      <c r="E87" s="1294"/>
      <c r="F87" s="1294"/>
      <c r="G87" s="1294"/>
      <c r="H87" s="1294"/>
      <c r="I87" s="1294"/>
      <c r="J87" s="1294"/>
      <c r="K87" s="1294"/>
    </row>
    <row r="88" spans="1:11">
      <c r="A88" s="159"/>
      <c r="B88" s="527" t="s">
        <v>745</v>
      </c>
      <c r="D88" s="1294"/>
      <c r="E88" s="1294"/>
      <c r="F88" s="1294"/>
      <c r="G88" s="1294"/>
      <c r="H88" s="1294"/>
      <c r="I88" s="1294"/>
      <c r="J88" s="1294"/>
      <c r="K88" s="1294"/>
    </row>
    <row r="89" spans="1:11">
      <c r="A89" s="159"/>
      <c r="B89" s="527" t="s">
        <v>746</v>
      </c>
      <c r="D89" s="1294"/>
      <c r="E89" s="1294"/>
      <c r="F89" s="1294"/>
      <c r="G89" s="1294"/>
      <c r="H89" s="1294"/>
      <c r="I89" s="1294"/>
      <c r="J89" s="1294"/>
      <c r="K89" s="1294"/>
    </row>
    <row r="90" spans="1:11">
      <c r="A90" s="159"/>
      <c r="B90" s="527" t="s">
        <v>747</v>
      </c>
      <c r="C90">
        <v>1.1000000000000001</v>
      </c>
      <c r="D90" s="1294">
        <v>1.1000000000000001</v>
      </c>
      <c r="E90" s="1294">
        <v>1.1000000000000001</v>
      </c>
      <c r="F90" s="1294">
        <v>1.1000000000000001</v>
      </c>
      <c r="G90" s="1294">
        <v>1.1000000000000001</v>
      </c>
      <c r="H90" s="1294">
        <v>1.1000000000000001</v>
      </c>
      <c r="I90" s="1294">
        <v>1.1000000000000001</v>
      </c>
      <c r="J90" s="1294">
        <v>1.1000000000000001</v>
      </c>
      <c r="K90" s="1294">
        <v>1.1000000000000001</v>
      </c>
    </row>
    <row r="91" spans="1:11">
      <c r="A91" s="159"/>
      <c r="B91" s="527" t="s">
        <v>748</v>
      </c>
      <c r="C91">
        <v>1.18</v>
      </c>
      <c r="D91" s="1294">
        <v>1.18</v>
      </c>
      <c r="E91" s="1294">
        <v>1.18</v>
      </c>
      <c r="F91" s="1294">
        <v>1.18</v>
      </c>
      <c r="G91" s="1294">
        <v>1.18</v>
      </c>
      <c r="H91" s="1294">
        <v>1.18</v>
      </c>
      <c r="I91" s="1294">
        <v>1.18</v>
      </c>
      <c r="J91" s="1294">
        <v>1.18</v>
      </c>
      <c r="K91" s="1294">
        <v>1.18</v>
      </c>
    </row>
    <row r="92" spans="1:11">
      <c r="A92" s="159"/>
      <c r="B92" s="527" t="s">
        <v>749</v>
      </c>
      <c r="C92">
        <v>1.25</v>
      </c>
      <c r="D92" s="1294">
        <v>1.25</v>
      </c>
      <c r="E92" s="1294">
        <v>1.25</v>
      </c>
      <c r="F92" s="1294">
        <v>1.25</v>
      </c>
      <c r="G92" s="1294">
        <v>1.25</v>
      </c>
      <c r="H92" s="1294">
        <v>1.25</v>
      </c>
      <c r="I92" s="1294">
        <v>1.25</v>
      </c>
      <c r="J92" s="1294">
        <v>1.25</v>
      </c>
      <c r="K92" s="1294">
        <v>1.25</v>
      </c>
    </row>
    <row r="93" spans="1:11">
      <c r="A93" s="159"/>
      <c r="B93" s="527" t="s">
        <v>750</v>
      </c>
      <c r="D93" s="1294"/>
      <c r="E93" s="1294"/>
      <c r="F93" s="1294"/>
      <c r="G93" s="1294"/>
      <c r="H93" s="1294"/>
      <c r="I93" s="1294"/>
      <c r="J93" s="1294"/>
      <c r="K93" s="1294"/>
    </row>
    <row r="94" spans="1:11">
      <c r="A94" s="159"/>
      <c r="B94" s="527" t="s">
        <v>751</v>
      </c>
      <c r="C94">
        <v>110880</v>
      </c>
      <c r="D94" s="1294">
        <v>110880</v>
      </c>
      <c r="E94" s="1294">
        <v>110880</v>
      </c>
      <c r="F94" s="1294">
        <v>110880</v>
      </c>
      <c r="G94" s="1294">
        <v>110880</v>
      </c>
      <c r="H94" s="1294">
        <v>110880</v>
      </c>
      <c r="I94" s="1294">
        <v>110880</v>
      </c>
      <c r="J94" s="1294">
        <v>110880</v>
      </c>
      <c r="K94" s="1294">
        <v>110880</v>
      </c>
    </row>
    <row r="95" spans="1:11">
      <c r="A95" s="159"/>
      <c r="B95" s="527" t="s">
        <v>752</v>
      </c>
      <c r="C95">
        <v>121968.00000000001</v>
      </c>
      <c r="D95" s="1294">
        <v>121968.00000000001</v>
      </c>
      <c r="E95" s="1294">
        <v>121968.00000000001</v>
      </c>
      <c r="F95" s="1294">
        <v>121968.00000000001</v>
      </c>
      <c r="G95" s="1294">
        <v>121968.00000000001</v>
      </c>
      <c r="H95" s="1294">
        <v>121968.00000000001</v>
      </c>
      <c r="I95" s="1294">
        <v>121968.00000000001</v>
      </c>
      <c r="J95" s="1294">
        <v>121968.00000000001</v>
      </c>
      <c r="K95" s="1294">
        <v>121968.00000000001</v>
      </c>
    </row>
    <row r="96" spans="1:11">
      <c r="A96" s="159"/>
      <c r="B96" s="527" t="s">
        <v>753</v>
      </c>
      <c r="C96">
        <v>130838.39999999999</v>
      </c>
      <c r="D96" s="1294">
        <v>130838.39999999999</v>
      </c>
      <c r="E96" s="1294">
        <v>130838.39999999999</v>
      </c>
      <c r="F96" s="1294">
        <v>130838.39999999999</v>
      </c>
      <c r="G96" s="1294">
        <v>130838.39999999999</v>
      </c>
      <c r="H96" s="1294">
        <v>130838.39999999999</v>
      </c>
      <c r="I96" s="1294">
        <v>130838.39999999999</v>
      </c>
      <c r="J96" s="1294">
        <v>130838.39999999999</v>
      </c>
      <c r="K96" s="1294">
        <v>130838.39999999999</v>
      </c>
    </row>
    <row r="97" spans="1:11">
      <c r="A97" s="159"/>
      <c r="B97" s="527" t="s">
        <v>754</v>
      </c>
      <c r="C97">
        <v>138600</v>
      </c>
      <c r="D97" s="1294">
        <v>138600</v>
      </c>
      <c r="E97" s="1294">
        <v>138600</v>
      </c>
      <c r="F97" s="1294">
        <v>138600</v>
      </c>
      <c r="G97" s="1294">
        <v>138600</v>
      </c>
      <c r="H97" s="1294">
        <v>138600</v>
      </c>
      <c r="I97" s="1294">
        <v>138600</v>
      </c>
      <c r="J97" s="1294">
        <v>138600</v>
      </c>
      <c r="K97" s="1294">
        <v>138600</v>
      </c>
    </row>
    <row r="98" spans="1:11">
      <c r="A98" s="159"/>
      <c r="B98" s="527" t="s">
        <v>755</v>
      </c>
      <c r="C98">
        <v>391406.4</v>
      </c>
      <c r="D98" s="1294">
        <v>391406.4</v>
      </c>
      <c r="E98" s="1294">
        <v>391406.4</v>
      </c>
      <c r="F98" s="1294">
        <v>391406.4</v>
      </c>
      <c r="G98" s="1294">
        <v>391406.4</v>
      </c>
      <c r="H98" s="1294">
        <v>391406.4</v>
      </c>
      <c r="I98" s="1294">
        <v>391406.4</v>
      </c>
      <c r="J98" s="1294">
        <v>391406.4</v>
      </c>
      <c r="K98" s="1294">
        <v>391406.4</v>
      </c>
    </row>
    <row r="99" spans="1:11">
      <c r="A99" s="159"/>
      <c r="B99" s="527" t="s">
        <v>756</v>
      </c>
      <c r="D99" s="1294"/>
      <c r="E99" s="1294"/>
      <c r="F99" s="1294"/>
      <c r="G99" s="1294"/>
      <c r="H99" s="1294"/>
      <c r="I99" s="1294"/>
      <c r="J99" s="1294"/>
      <c r="K99" s="1294"/>
    </row>
    <row r="100" spans="1:11">
      <c r="A100" s="159"/>
      <c r="B100" s="527" t="s">
        <v>757</v>
      </c>
      <c r="D100" s="1294"/>
      <c r="E100" s="1294"/>
      <c r="F100" s="1294"/>
      <c r="G100" s="1294"/>
      <c r="H100" s="1294"/>
      <c r="I100" s="1294"/>
      <c r="J100" s="1294"/>
      <c r="K100" s="1294"/>
    </row>
    <row r="101" spans="1:11">
      <c r="A101" s="159"/>
      <c r="B101" s="527" t="s">
        <v>758</v>
      </c>
      <c r="D101" s="1294"/>
      <c r="E101" s="1294"/>
      <c r="F101" s="1294"/>
      <c r="G101" s="1294"/>
      <c r="H101" s="1294"/>
      <c r="I101" s="1294"/>
      <c r="J101" s="1294"/>
      <c r="K101" s="1294"/>
    </row>
    <row r="102" spans="1:11">
      <c r="A102" s="159"/>
      <c r="B102" s="527" t="s">
        <v>759</v>
      </c>
      <c r="D102" s="1294"/>
      <c r="E102" s="1294"/>
      <c r="F102" s="1294"/>
      <c r="G102" s="1294"/>
      <c r="H102" s="1294"/>
      <c r="I102" s="1294"/>
      <c r="J102" s="1294"/>
      <c r="K102" s="1294"/>
    </row>
    <row r="103" spans="1:11">
      <c r="A103" s="159"/>
      <c r="B103" s="527" t="s">
        <v>760</v>
      </c>
      <c r="C103">
        <v>2.1800000000000002</v>
      </c>
      <c r="D103" s="1294">
        <v>2.1800000000000002</v>
      </c>
      <c r="E103" s="1294">
        <v>2.1800000000000002</v>
      </c>
      <c r="F103" s="1294">
        <v>2.1800000000000002</v>
      </c>
      <c r="G103" s="1294">
        <v>2.1800000000000002</v>
      </c>
      <c r="H103" s="1294">
        <v>2.1800000000000002</v>
      </c>
      <c r="I103" s="1294">
        <v>2.1800000000000002</v>
      </c>
      <c r="J103" s="1294">
        <v>2.1800000000000002</v>
      </c>
      <c r="K103" s="1294">
        <v>2.1800000000000002</v>
      </c>
    </row>
    <row r="104" spans="1:11">
      <c r="A104" s="159"/>
      <c r="B104" s="527" t="s">
        <v>761</v>
      </c>
      <c r="D104" s="1294"/>
      <c r="E104" s="1294"/>
      <c r="F104" s="1294"/>
      <c r="G104" s="1294"/>
      <c r="H104" s="1294"/>
      <c r="I104" s="1294"/>
      <c r="J104" s="1294"/>
      <c r="K104" s="1294"/>
    </row>
    <row r="105" spans="1:11">
      <c r="A105" s="159"/>
      <c r="B105" s="527" t="s">
        <v>762</v>
      </c>
      <c r="C105">
        <v>0.31</v>
      </c>
      <c r="D105" s="1294">
        <v>0.31</v>
      </c>
      <c r="E105" s="1294">
        <v>0.31</v>
      </c>
      <c r="F105" s="1294">
        <v>0.31</v>
      </c>
      <c r="G105" s="1294">
        <v>0.31</v>
      </c>
      <c r="H105" s="1294">
        <v>0.31</v>
      </c>
      <c r="I105" s="1294">
        <v>0.31</v>
      </c>
      <c r="J105" s="1294">
        <v>0.31</v>
      </c>
      <c r="K105" s="1294">
        <v>0.31</v>
      </c>
    </row>
    <row r="106" spans="1:11">
      <c r="A106" s="159"/>
      <c r="B106" s="527" t="s">
        <v>763</v>
      </c>
      <c r="C106">
        <v>0.33</v>
      </c>
      <c r="D106" s="1294">
        <v>0.33</v>
      </c>
      <c r="E106" s="1294">
        <v>0.33</v>
      </c>
      <c r="F106" s="1294">
        <v>0.33</v>
      </c>
      <c r="G106" s="1294">
        <v>0.33</v>
      </c>
      <c r="H106" s="1294">
        <v>0.33</v>
      </c>
      <c r="I106" s="1294">
        <v>0.33</v>
      </c>
      <c r="J106" s="1294">
        <v>0.33</v>
      </c>
      <c r="K106" s="1294">
        <v>0.33</v>
      </c>
    </row>
    <row r="107" spans="1:11">
      <c r="A107" s="159"/>
      <c r="B107" s="527" t="s">
        <v>764</v>
      </c>
      <c r="C107">
        <v>0.36</v>
      </c>
      <c r="D107" s="1294">
        <v>0.36</v>
      </c>
      <c r="E107" s="1294">
        <v>0.36</v>
      </c>
      <c r="F107" s="1294">
        <v>0.36</v>
      </c>
      <c r="G107" s="1294">
        <v>0.36</v>
      </c>
      <c r="H107" s="1294">
        <v>0.36</v>
      </c>
      <c r="I107" s="1294">
        <v>0.36</v>
      </c>
      <c r="J107" s="1294">
        <v>0.36</v>
      </c>
      <c r="K107" s="1294">
        <v>0.36</v>
      </c>
    </row>
    <row r="108" spans="1:11">
      <c r="A108" s="159"/>
      <c r="B108" s="527" t="s">
        <v>765</v>
      </c>
      <c r="C108">
        <v>1</v>
      </c>
      <c r="D108" s="1294">
        <v>1</v>
      </c>
      <c r="E108" s="1294">
        <v>1</v>
      </c>
      <c r="F108" s="1294">
        <v>1</v>
      </c>
      <c r="G108" s="1294">
        <v>1</v>
      </c>
      <c r="H108" s="1294">
        <v>1</v>
      </c>
      <c r="I108" s="1294">
        <v>1</v>
      </c>
      <c r="J108" s="1294">
        <v>1</v>
      </c>
      <c r="K108" s="1294">
        <v>1</v>
      </c>
    </row>
    <row r="109" spans="1:11">
      <c r="A109" s="159"/>
      <c r="B109" s="527" t="s">
        <v>766</v>
      </c>
      <c r="D109" s="1294"/>
      <c r="E109" s="1294"/>
      <c r="F109" s="1294"/>
      <c r="G109" s="1294"/>
      <c r="H109" s="1294"/>
      <c r="I109" s="1294"/>
      <c r="J109" s="1294"/>
      <c r="K109" s="1294"/>
    </row>
    <row r="110" spans="1:11">
      <c r="A110" s="159"/>
      <c r="B110" s="527" t="s">
        <v>767</v>
      </c>
      <c r="C110">
        <v>264512.44512000005</v>
      </c>
      <c r="D110" s="1294">
        <v>264512.44512000005</v>
      </c>
      <c r="E110" s="1294">
        <v>264512.44512000005</v>
      </c>
      <c r="F110" s="1294">
        <v>264512.44512000005</v>
      </c>
      <c r="G110" s="1294">
        <v>264512.44512000005</v>
      </c>
      <c r="H110" s="1294">
        <v>264512.44512000005</v>
      </c>
      <c r="I110" s="1294">
        <v>264512.44512000005</v>
      </c>
      <c r="J110" s="1294">
        <v>264512.44512000005</v>
      </c>
      <c r="K110" s="1294">
        <v>264512.44512000005</v>
      </c>
    </row>
    <row r="111" spans="1:11">
      <c r="A111" s="159"/>
      <c r="B111" s="527" t="s">
        <v>768</v>
      </c>
      <c r="C111">
        <v>281577.76416000008</v>
      </c>
      <c r="D111" s="1294">
        <v>281577.76416000008</v>
      </c>
      <c r="E111" s="1294">
        <v>281577.76416000008</v>
      </c>
      <c r="F111" s="1294">
        <v>281577.76416000008</v>
      </c>
      <c r="G111" s="1294">
        <v>281577.76416000008</v>
      </c>
      <c r="H111" s="1294">
        <v>281577.76416000008</v>
      </c>
      <c r="I111" s="1294">
        <v>281577.76416000008</v>
      </c>
      <c r="J111" s="1294">
        <v>281577.76416000008</v>
      </c>
      <c r="K111" s="1294">
        <v>281577.76416000008</v>
      </c>
    </row>
    <row r="112" spans="1:11">
      <c r="A112" s="159"/>
      <c r="B112" s="527" t="s">
        <v>769</v>
      </c>
      <c r="C112">
        <v>307175.74272000004</v>
      </c>
      <c r="D112" s="1294">
        <v>307175.74272000004</v>
      </c>
      <c r="E112" s="1294">
        <v>307175.74272000004</v>
      </c>
      <c r="F112" s="1294">
        <v>307175.74272000004</v>
      </c>
      <c r="G112" s="1294">
        <v>307175.74272000004</v>
      </c>
      <c r="H112" s="1294">
        <v>307175.74272000004</v>
      </c>
      <c r="I112" s="1294">
        <v>307175.74272000004</v>
      </c>
      <c r="J112" s="1294">
        <v>307175.74272000004</v>
      </c>
      <c r="K112" s="1294">
        <v>307175.74272000004</v>
      </c>
    </row>
    <row r="113" spans="1:11">
      <c r="A113" s="159"/>
      <c r="B113" s="527" t="s">
        <v>770</v>
      </c>
      <c r="C113">
        <v>853265.95200000016</v>
      </c>
      <c r="D113" s="1294">
        <v>853265.95200000016</v>
      </c>
      <c r="E113" s="1294">
        <v>853265.95200000016</v>
      </c>
      <c r="F113" s="1294">
        <v>853265.95200000016</v>
      </c>
      <c r="G113" s="1294">
        <v>853265.95200000016</v>
      </c>
      <c r="H113" s="1294">
        <v>853265.95200000016</v>
      </c>
      <c r="I113" s="1294">
        <v>853265.95200000016</v>
      </c>
      <c r="J113" s="1294">
        <v>853265.95200000016</v>
      </c>
      <c r="K113" s="1294">
        <v>853265.95200000016</v>
      </c>
    </row>
    <row r="114" spans="1:11">
      <c r="A114" s="159"/>
      <c r="B114" s="527" t="s">
        <v>771</v>
      </c>
      <c r="D114" s="1294"/>
      <c r="E114" s="1294"/>
      <c r="F114" s="1294"/>
      <c r="G114" s="1294"/>
      <c r="H114" s="1294"/>
      <c r="I114" s="1294"/>
      <c r="J114" s="1294"/>
      <c r="K114" s="1294"/>
    </row>
    <row r="115" spans="1:11">
      <c r="A115" s="159"/>
      <c r="B115" s="527" t="s">
        <v>772</v>
      </c>
      <c r="C115">
        <v>0.38</v>
      </c>
      <c r="D115" s="1294">
        <v>0.38</v>
      </c>
      <c r="E115" s="1294">
        <v>0.38</v>
      </c>
      <c r="F115" s="1294">
        <v>0.38</v>
      </c>
      <c r="G115" s="1294">
        <v>0.38</v>
      </c>
      <c r="H115" s="1294">
        <v>0.38</v>
      </c>
      <c r="I115" s="1294">
        <v>0.38</v>
      </c>
      <c r="J115" s="1294">
        <v>0.38</v>
      </c>
      <c r="K115" s="1294">
        <v>0.38</v>
      </c>
    </row>
    <row r="116" spans="1:11">
      <c r="A116" s="159"/>
      <c r="B116" s="527" t="s">
        <v>773</v>
      </c>
      <c r="C116">
        <v>0.38</v>
      </c>
      <c r="D116" s="1294">
        <v>0.38</v>
      </c>
      <c r="E116" s="1294">
        <v>0.38</v>
      </c>
      <c r="F116" s="1294">
        <v>0.38</v>
      </c>
      <c r="G116" s="1294">
        <v>0.38</v>
      </c>
      <c r="H116" s="1294">
        <v>0.38</v>
      </c>
      <c r="I116" s="1294">
        <v>0.38</v>
      </c>
      <c r="J116" s="1294">
        <v>0.38</v>
      </c>
      <c r="K116" s="1294">
        <v>0.38</v>
      </c>
    </row>
    <row r="117" spans="1:11">
      <c r="A117" s="159"/>
      <c r="B117" s="527" t="s">
        <v>774</v>
      </c>
      <c r="C117">
        <v>0.36</v>
      </c>
      <c r="D117" s="1294">
        <v>0.36</v>
      </c>
      <c r="E117" s="1294">
        <v>0.36</v>
      </c>
      <c r="F117" s="1294">
        <v>0.36</v>
      </c>
      <c r="G117" s="1294">
        <v>0.36</v>
      </c>
      <c r="H117" s="1294">
        <v>0.36</v>
      </c>
      <c r="I117" s="1294">
        <v>0.36</v>
      </c>
      <c r="J117" s="1294">
        <v>0.36</v>
      </c>
      <c r="K117" s="1294">
        <v>0.36</v>
      </c>
    </row>
    <row r="118" spans="1:11">
      <c r="A118" s="159"/>
      <c r="B118" s="527" t="s">
        <v>775</v>
      </c>
      <c r="C118">
        <v>0.37280000000000002</v>
      </c>
      <c r="D118" s="1294">
        <v>0.37280000000000002</v>
      </c>
      <c r="E118" s="1294">
        <v>0.37280000000000002</v>
      </c>
      <c r="F118" s="1294">
        <v>0.37280000000000002</v>
      </c>
      <c r="G118" s="1294">
        <v>0.37280000000000002</v>
      </c>
      <c r="H118" s="1294">
        <v>0.37280000000000002</v>
      </c>
      <c r="I118" s="1294">
        <v>0.37280000000000002</v>
      </c>
      <c r="J118" s="1294">
        <v>0.37280000000000002</v>
      </c>
      <c r="K118" s="1294">
        <v>0.37280000000000002</v>
      </c>
    </row>
    <row r="119" spans="1:11">
      <c r="A119" s="159"/>
      <c r="B119" s="527" t="s">
        <v>776</v>
      </c>
      <c r="D119" s="1294"/>
      <c r="E119" s="1294"/>
      <c r="F119" s="1294"/>
      <c r="G119" s="1294"/>
      <c r="H119" s="1294"/>
      <c r="I119" s="1294"/>
      <c r="J119" s="1294"/>
      <c r="K119" s="1294"/>
    </row>
    <row r="120" spans="1:11">
      <c r="A120" s="159"/>
      <c r="B120" s="527" t="s">
        <v>777</v>
      </c>
      <c r="C120">
        <v>100514.72914560002</v>
      </c>
      <c r="D120" s="1294">
        <v>100514.72914560002</v>
      </c>
      <c r="E120" s="1294">
        <v>100514.72914560002</v>
      </c>
      <c r="F120" s="1294">
        <v>100514.72914560002</v>
      </c>
      <c r="G120" s="1294">
        <v>100514.72914560002</v>
      </c>
      <c r="H120" s="1294">
        <v>100514.72914560002</v>
      </c>
      <c r="I120" s="1294">
        <v>100514.72914560002</v>
      </c>
      <c r="J120" s="1294">
        <v>100514.72914560002</v>
      </c>
      <c r="K120" s="1294">
        <v>100514.72914560002</v>
      </c>
    </row>
    <row r="121" spans="1:11">
      <c r="A121" s="159"/>
      <c r="B121" s="527" t="s">
        <v>778</v>
      </c>
      <c r="C121">
        <v>106999.55038080004</v>
      </c>
      <c r="D121" s="1294">
        <v>106999.55038080004</v>
      </c>
      <c r="E121" s="1294">
        <v>106999.55038080004</v>
      </c>
      <c r="F121" s="1294">
        <v>106999.55038080004</v>
      </c>
      <c r="G121" s="1294">
        <v>106999.55038080004</v>
      </c>
      <c r="H121" s="1294">
        <v>106999.55038080004</v>
      </c>
      <c r="I121" s="1294">
        <v>106999.55038080004</v>
      </c>
      <c r="J121" s="1294">
        <v>106999.55038080004</v>
      </c>
      <c r="K121" s="1294">
        <v>106999.55038080004</v>
      </c>
    </row>
    <row r="122" spans="1:11">
      <c r="A122" s="159"/>
      <c r="B122" s="527" t="s">
        <v>779</v>
      </c>
      <c r="C122">
        <v>110583.26737920001</v>
      </c>
      <c r="D122" s="1294">
        <v>110583.26737920001</v>
      </c>
      <c r="E122" s="1294">
        <v>110583.26737920001</v>
      </c>
      <c r="F122" s="1294">
        <v>110583.26737920001</v>
      </c>
      <c r="G122" s="1294">
        <v>110583.26737920001</v>
      </c>
      <c r="H122" s="1294">
        <v>110583.26737920001</v>
      </c>
      <c r="I122" s="1294">
        <v>110583.26737920001</v>
      </c>
      <c r="J122" s="1294">
        <v>110583.26737920001</v>
      </c>
      <c r="K122" s="1294">
        <v>110583.26737920001</v>
      </c>
    </row>
    <row r="123" spans="1:11">
      <c r="A123" s="159"/>
      <c r="B123" s="527" t="s">
        <v>780</v>
      </c>
      <c r="C123">
        <v>318097.54690560006</v>
      </c>
      <c r="D123" s="1294">
        <v>318097.54690560006</v>
      </c>
      <c r="E123" s="1294">
        <v>318097.54690560006</v>
      </c>
      <c r="F123" s="1294">
        <v>318097.54690560006</v>
      </c>
      <c r="G123" s="1294">
        <v>318097.54690560006</v>
      </c>
      <c r="H123" s="1294">
        <v>318097.54690560006</v>
      </c>
      <c r="I123" s="1294">
        <v>318097.54690560006</v>
      </c>
      <c r="J123" s="1294">
        <v>318097.54690560006</v>
      </c>
      <c r="K123" s="1294">
        <v>318097.54690560006</v>
      </c>
    </row>
    <row r="124" spans="1:11">
      <c r="A124" s="159"/>
      <c r="B124" s="527" t="s">
        <v>781</v>
      </c>
      <c r="D124" s="1294"/>
      <c r="E124" s="1294"/>
      <c r="F124" s="1294"/>
      <c r="G124" s="1294"/>
      <c r="H124" s="1294"/>
      <c r="I124" s="1294"/>
      <c r="J124" s="1294"/>
      <c r="K124" s="1294"/>
    </row>
    <row r="125" spans="1:11">
      <c r="A125" s="159"/>
      <c r="B125" s="527" t="s">
        <v>782</v>
      </c>
      <c r="C125">
        <v>0.82410738181818188</v>
      </c>
      <c r="D125" s="1294">
        <v>0.82410738181818188</v>
      </c>
      <c r="E125" s="1294">
        <v>0.82410738181818188</v>
      </c>
      <c r="F125" s="1294">
        <v>0.82410738181818188</v>
      </c>
      <c r="G125" s="1294">
        <v>0.82410738181818188</v>
      </c>
      <c r="H125" s="1294">
        <v>0.82410738181818188</v>
      </c>
      <c r="I125" s="1294">
        <v>0.82410738181818188</v>
      </c>
      <c r="J125" s="1294">
        <v>0.82410738181818188</v>
      </c>
      <c r="K125" s="1294">
        <v>0.82410738181818188</v>
      </c>
    </row>
    <row r="126" spans="1:11">
      <c r="A126" s="159"/>
      <c r="B126" s="527" t="s">
        <v>783</v>
      </c>
      <c r="C126">
        <v>0.81779928813559355</v>
      </c>
      <c r="D126" s="1294">
        <v>0.81779928813559355</v>
      </c>
      <c r="E126" s="1294">
        <v>0.81779928813559355</v>
      </c>
      <c r="F126" s="1294">
        <v>0.81779928813559355</v>
      </c>
      <c r="G126" s="1294">
        <v>0.81779928813559355</v>
      </c>
      <c r="H126" s="1294">
        <v>0.81779928813559355</v>
      </c>
      <c r="I126" s="1294">
        <v>0.81779928813559355</v>
      </c>
      <c r="J126" s="1294">
        <v>0.81779928813559355</v>
      </c>
      <c r="K126" s="1294">
        <v>0.81779928813559355</v>
      </c>
    </row>
    <row r="127" spans="1:11">
      <c r="A127" s="159"/>
      <c r="B127" s="527" t="s">
        <v>784</v>
      </c>
      <c r="C127">
        <v>0.79785907200000006</v>
      </c>
      <c r="D127" s="1294">
        <v>0.79785907200000006</v>
      </c>
      <c r="E127" s="1294">
        <v>0.79785907200000006</v>
      </c>
      <c r="F127" s="1294">
        <v>0.79785907200000006</v>
      </c>
      <c r="G127" s="1294">
        <v>0.79785907200000006</v>
      </c>
      <c r="H127" s="1294">
        <v>0.79785907200000006</v>
      </c>
      <c r="I127" s="1294">
        <v>0.79785907200000006</v>
      </c>
      <c r="J127" s="1294">
        <v>0.79785907200000006</v>
      </c>
      <c r="K127" s="1294">
        <v>0.79785907200000006</v>
      </c>
    </row>
    <row r="128" spans="1:11">
      <c r="A128" s="159"/>
      <c r="B128" s="527" t="s">
        <v>785</v>
      </c>
      <c r="D128" s="1294"/>
      <c r="E128" s="1294"/>
      <c r="F128" s="1294"/>
      <c r="G128" s="1294"/>
      <c r="H128" s="1294"/>
      <c r="I128" s="1294"/>
      <c r="J128" s="1294"/>
      <c r="K128" s="1294"/>
    </row>
    <row r="129" spans="1:11">
      <c r="A129" s="159"/>
      <c r="B129" s="527" t="s">
        <v>786</v>
      </c>
      <c r="D129" s="1294"/>
      <c r="E129" s="1294"/>
      <c r="F129" s="1294"/>
      <c r="G129" s="1294"/>
      <c r="H129" s="1294"/>
      <c r="I129" s="1294"/>
      <c r="J129" s="1294"/>
      <c r="K129" s="1294"/>
    </row>
    <row r="130" spans="1:11">
      <c r="A130" s="159"/>
      <c r="B130" s="527" t="s">
        <v>787</v>
      </c>
      <c r="C130">
        <v>0.62</v>
      </c>
      <c r="D130" s="1294">
        <v>0.62</v>
      </c>
      <c r="E130" s="1294">
        <v>0.62</v>
      </c>
      <c r="F130" s="1294">
        <v>0.62</v>
      </c>
      <c r="G130" s="1294">
        <v>0.62</v>
      </c>
      <c r="H130" s="1294">
        <v>0.62</v>
      </c>
      <c r="I130" s="1294">
        <v>0.62</v>
      </c>
      <c r="J130" s="1294">
        <v>0.62</v>
      </c>
      <c r="K130" s="1294">
        <v>0.62</v>
      </c>
    </row>
    <row r="131" spans="1:11">
      <c r="A131" s="159"/>
      <c r="B131" s="527" t="s">
        <v>788</v>
      </c>
      <c r="C131">
        <v>0.62</v>
      </c>
      <c r="D131" s="1294">
        <v>0.62</v>
      </c>
      <c r="E131" s="1294">
        <v>0.62</v>
      </c>
      <c r="F131" s="1294">
        <v>0.62</v>
      </c>
      <c r="G131" s="1294">
        <v>0.62</v>
      </c>
      <c r="H131" s="1294">
        <v>0.62</v>
      </c>
      <c r="I131" s="1294">
        <v>0.62</v>
      </c>
      <c r="J131" s="1294">
        <v>0.62</v>
      </c>
      <c r="K131" s="1294">
        <v>0.62</v>
      </c>
    </row>
    <row r="132" spans="1:11">
      <c r="A132" s="159"/>
      <c r="B132" s="527" t="s">
        <v>789</v>
      </c>
      <c r="C132">
        <v>0.64</v>
      </c>
      <c r="D132" s="1294">
        <v>0.64</v>
      </c>
      <c r="E132" s="1294">
        <v>0.64</v>
      </c>
      <c r="F132" s="1294">
        <v>0.64</v>
      </c>
      <c r="G132" s="1294">
        <v>0.64</v>
      </c>
      <c r="H132" s="1294">
        <v>0.64</v>
      </c>
      <c r="I132" s="1294">
        <v>0.64</v>
      </c>
      <c r="J132" s="1294">
        <v>0.64</v>
      </c>
      <c r="K132" s="1294">
        <v>0.64</v>
      </c>
    </row>
    <row r="133" spans="1:11">
      <c r="A133" s="159"/>
      <c r="B133" s="527" t="s">
        <v>790</v>
      </c>
      <c r="C133">
        <v>0.62719999999999998</v>
      </c>
      <c r="D133" s="1294">
        <v>0.62719999999999998</v>
      </c>
      <c r="E133" s="1294">
        <v>0.62719999999999998</v>
      </c>
      <c r="F133" s="1294">
        <v>0.62719999999999998</v>
      </c>
      <c r="G133" s="1294">
        <v>0.62719999999999998</v>
      </c>
      <c r="H133" s="1294">
        <v>0.62719999999999998</v>
      </c>
      <c r="I133" s="1294">
        <v>0.62719999999999998</v>
      </c>
      <c r="J133" s="1294">
        <v>0.62719999999999998</v>
      </c>
      <c r="K133" s="1294">
        <v>0.62719999999999998</v>
      </c>
    </row>
    <row r="134" spans="1:11">
      <c r="A134" s="159"/>
      <c r="B134" s="527" t="s">
        <v>791</v>
      </c>
      <c r="D134" s="1294"/>
      <c r="E134" s="1294"/>
      <c r="F134" s="1294"/>
      <c r="G134" s="1294"/>
      <c r="H134" s="1294"/>
      <c r="I134" s="1294"/>
      <c r="J134" s="1294"/>
      <c r="K134" s="1294"/>
    </row>
    <row r="135" spans="1:11">
      <c r="A135" s="159"/>
      <c r="B135" s="527" t="s">
        <v>792</v>
      </c>
      <c r="C135">
        <v>163997.71597440002</v>
      </c>
      <c r="D135" s="1294">
        <v>163997.71597440002</v>
      </c>
      <c r="E135" s="1294">
        <v>163997.71597440002</v>
      </c>
      <c r="F135" s="1294">
        <v>163997.71597440002</v>
      </c>
      <c r="G135" s="1294">
        <v>163997.71597440002</v>
      </c>
      <c r="H135" s="1294">
        <v>163997.71597440002</v>
      </c>
      <c r="I135" s="1294">
        <v>163997.71597440002</v>
      </c>
      <c r="J135" s="1294">
        <v>163997.71597440002</v>
      </c>
      <c r="K135" s="1294">
        <v>163997.71597440002</v>
      </c>
    </row>
    <row r="136" spans="1:11">
      <c r="A136" s="159"/>
      <c r="B136" s="527" t="s">
        <v>793</v>
      </c>
      <c r="C136">
        <v>174578.21377920004</v>
      </c>
      <c r="D136" s="1294">
        <v>174578.21377920004</v>
      </c>
      <c r="E136" s="1294">
        <v>174578.21377920004</v>
      </c>
      <c r="F136" s="1294">
        <v>174578.21377920004</v>
      </c>
      <c r="G136" s="1294">
        <v>174578.21377920004</v>
      </c>
      <c r="H136" s="1294">
        <v>174578.21377920004</v>
      </c>
      <c r="I136" s="1294">
        <v>174578.21377920004</v>
      </c>
      <c r="J136" s="1294">
        <v>174578.21377920004</v>
      </c>
      <c r="K136" s="1294">
        <v>174578.21377920004</v>
      </c>
    </row>
    <row r="137" spans="1:11">
      <c r="A137" s="159"/>
      <c r="B137" s="527" t="s">
        <v>794</v>
      </c>
      <c r="C137">
        <v>196592.47534080004</v>
      </c>
      <c r="D137" s="1294">
        <v>196592.47534080004</v>
      </c>
      <c r="E137" s="1294">
        <v>196592.47534080004</v>
      </c>
      <c r="F137" s="1294">
        <v>196592.47534080004</v>
      </c>
      <c r="G137" s="1294">
        <v>196592.47534080004</v>
      </c>
      <c r="H137" s="1294">
        <v>196592.47534080004</v>
      </c>
      <c r="I137" s="1294">
        <v>196592.47534080004</v>
      </c>
      <c r="J137" s="1294">
        <v>196592.47534080004</v>
      </c>
      <c r="K137" s="1294">
        <v>196592.47534080004</v>
      </c>
    </row>
    <row r="138" spans="1:11">
      <c r="A138" s="159"/>
      <c r="B138" s="527" t="s">
        <v>795</v>
      </c>
      <c r="C138">
        <v>535168.40509440005</v>
      </c>
      <c r="D138" s="1294">
        <v>535168.40509440005</v>
      </c>
      <c r="E138" s="1294">
        <v>535168.40509440005</v>
      </c>
      <c r="F138" s="1294">
        <v>535168.40509440005</v>
      </c>
      <c r="G138" s="1294">
        <v>535168.40509440005</v>
      </c>
      <c r="H138" s="1294">
        <v>535168.40509440005</v>
      </c>
      <c r="I138" s="1294">
        <v>535168.40509440005</v>
      </c>
      <c r="J138" s="1294">
        <v>535168.40509440005</v>
      </c>
      <c r="K138" s="1294">
        <v>535168.40509440005</v>
      </c>
    </row>
    <row r="139" spans="1:11">
      <c r="A139" s="159"/>
      <c r="B139" s="527" t="s">
        <v>796</v>
      </c>
      <c r="C139">
        <v>476160</v>
      </c>
      <c r="D139" s="1294">
        <v>476160</v>
      </c>
      <c r="E139" s="1294">
        <v>476160</v>
      </c>
      <c r="F139" s="1294">
        <v>476160</v>
      </c>
      <c r="G139" s="1294">
        <v>476160</v>
      </c>
      <c r="H139" s="1294">
        <v>476160</v>
      </c>
      <c r="I139" s="1294">
        <v>476160</v>
      </c>
      <c r="J139" s="1294">
        <v>476160</v>
      </c>
      <c r="K139" s="1294">
        <v>476160</v>
      </c>
    </row>
    <row r="140" spans="1:11">
      <c r="A140" s="159"/>
      <c r="B140" s="527" t="s">
        <v>797</v>
      </c>
      <c r="C140">
        <v>476160</v>
      </c>
      <c r="D140" s="1294">
        <v>476160</v>
      </c>
      <c r="E140" s="1294">
        <v>476160</v>
      </c>
      <c r="F140" s="1294">
        <v>476160</v>
      </c>
      <c r="G140" s="1294">
        <v>476160</v>
      </c>
      <c r="H140" s="1294">
        <v>476160</v>
      </c>
      <c r="I140" s="1294">
        <v>476160</v>
      </c>
      <c r="J140" s="1294">
        <v>476160</v>
      </c>
      <c r="K140" s="1294">
        <v>476160</v>
      </c>
    </row>
    <row r="141" spans="1:11">
      <c r="A141" s="159"/>
      <c r="B141" s="527" t="s">
        <v>798</v>
      </c>
      <c r="C141">
        <v>476160</v>
      </c>
      <c r="D141" s="1294">
        <v>476160</v>
      </c>
      <c r="E141" s="1294">
        <v>476160</v>
      </c>
      <c r="F141" s="1294">
        <v>476160</v>
      </c>
      <c r="G141" s="1294">
        <v>476160</v>
      </c>
      <c r="H141" s="1294">
        <v>476160</v>
      </c>
      <c r="I141" s="1294">
        <v>476160</v>
      </c>
      <c r="J141" s="1294">
        <v>476160</v>
      </c>
      <c r="K141" s="1294">
        <v>476160</v>
      </c>
    </row>
    <row r="142" spans="1:11">
      <c r="A142" s="159"/>
      <c r="B142" s="527" t="s">
        <v>799</v>
      </c>
      <c r="C142">
        <v>476160</v>
      </c>
      <c r="D142" s="1294">
        <v>476160</v>
      </c>
      <c r="E142" s="1294">
        <v>476160</v>
      </c>
      <c r="F142" s="1294">
        <v>476160</v>
      </c>
      <c r="G142" s="1294">
        <v>476160</v>
      </c>
      <c r="H142" s="1294">
        <v>476160</v>
      </c>
      <c r="I142" s="1294">
        <v>476160</v>
      </c>
      <c r="J142" s="1294">
        <v>476160</v>
      </c>
      <c r="K142" s="1294">
        <v>476160</v>
      </c>
    </row>
    <row r="143" spans="1:11">
      <c r="A143" s="159"/>
      <c r="B143" s="527" t="s">
        <v>800</v>
      </c>
      <c r="D143" s="1294"/>
      <c r="E143" s="1294"/>
      <c r="F143" s="1294"/>
      <c r="G143" s="1294"/>
      <c r="H143" s="1294"/>
      <c r="I143" s="1294"/>
      <c r="J143" s="1294"/>
      <c r="K143" s="1294"/>
    </row>
    <row r="144" spans="1:11">
      <c r="A144" s="159"/>
      <c r="B144" s="527"/>
    </row>
    <row r="145" spans="1:11">
      <c r="A145" s="1248">
        <v>2</v>
      </c>
      <c r="B145" s="527" t="s">
        <v>680</v>
      </c>
      <c r="C145" s="186">
        <v>150000</v>
      </c>
      <c r="D145" s="1295">
        <v>150000</v>
      </c>
      <c r="E145" s="1295">
        <v>150000</v>
      </c>
      <c r="F145" s="1295">
        <v>150000</v>
      </c>
      <c r="G145" s="1295">
        <v>150000</v>
      </c>
      <c r="H145" s="1295">
        <v>150000</v>
      </c>
      <c r="I145" s="1295">
        <v>150000</v>
      </c>
      <c r="J145" s="1295">
        <v>150000</v>
      </c>
      <c r="K145" s="1295">
        <v>150000</v>
      </c>
    </row>
    <row r="147" spans="1:11">
      <c r="A147" s="159">
        <v>2.1</v>
      </c>
      <c r="B147" s="527" t="s">
        <v>359</v>
      </c>
      <c r="D147" s="1294"/>
      <c r="E147" s="1294"/>
      <c r="F147" s="1294"/>
      <c r="G147" s="1294"/>
      <c r="H147" s="1294"/>
      <c r="I147" s="1294"/>
      <c r="J147" s="1294"/>
      <c r="K147" s="1294"/>
    </row>
    <row r="148" spans="1:11" s="551" customFormat="1">
      <c r="A148" s="550"/>
      <c r="B148" s="528" t="s">
        <v>801</v>
      </c>
      <c r="C148" s="186">
        <v>25000</v>
      </c>
      <c r="D148" s="1295">
        <v>25000</v>
      </c>
      <c r="E148" s="1332">
        <v>12000</v>
      </c>
      <c r="F148" s="1332">
        <v>12000</v>
      </c>
      <c r="G148" s="1332">
        <v>12000</v>
      </c>
      <c r="H148" s="1332">
        <v>12000</v>
      </c>
      <c r="I148" s="1420">
        <v>20000</v>
      </c>
      <c r="J148" s="1420">
        <v>20000</v>
      </c>
      <c r="K148" s="1420">
        <v>20000</v>
      </c>
    </row>
    <row r="149" spans="1:11" s="551" customFormat="1">
      <c r="A149" s="550"/>
      <c r="B149" s="528" t="s">
        <v>802</v>
      </c>
      <c r="C149" s="551">
        <v>1</v>
      </c>
      <c r="D149" s="1296">
        <v>1</v>
      </c>
      <c r="E149" s="1296">
        <v>1</v>
      </c>
      <c r="F149" s="1296">
        <v>1</v>
      </c>
      <c r="G149" s="1296">
        <v>1</v>
      </c>
      <c r="H149" s="1296">
        <v>1</v>
      </c>
      <c r="I149" s="1296">
        <v>1</v>
      </c>
      <c r="J149" s="1296">
        <v>1</v>
      </c>
      <c r="K149" s="1296">
        <v>1</v>
      </c>
    </row>
    <row r="150" spans="1:11" s="551" customFormat="1">
      <c r="A150" s="550"/>
      <c r="B150" s="528" t="s">
        <v>803</v>
      </c>
      <c r="C150" s="551">
        <v>1.1100000000000001</v>
      </c>
      <c r="D150" s="1296">
        <v>1.1100000000000001</v>
      </c>
      <c r="E150" s="1333">
        <v>1.1000000000000001</v>
      </c>
      <c r="F150" s="1333">
        <v>1.1000000000000001</v>
      </c>
      <c r="G150" s="1333">
        <v>1.1000000000000001</v>
      </c>
      <c r="H150" s="1333">
        <v>1.1000000000000001</v>
      </c>
      <c r="I150" s="1333">
        <v>1.1000000000000001</v>
      </c>
      <c r="J150" s="1333">
        <v>1.1000000000000001</v>
      </c>
      <c r="K150" s="1333">
        <v>1.1000000000000001</v>
      </c>
    </row>
    <row r="151" spans="1:11" s="551" customFormat="1">
      <c r="A151" s="550"/>
      <c r="B151" s="528" t="s">
        <v>804</v>
      </c>
      <c r="C151" s="551">
        <v>1.2</v>
      </c>
      <c r="D151" s="1296">
        <v>1.2</v>
      </c>
      <c r="E151" s="1333">
        <v>1.1000000000000001</v>
      </c>
      <c r="F151" s="1333">
        <v>1.1000000000000001</v>
      </c>
      <c r="G151" s="1333">
        <v>1.1000000000000001</v>
      </c>
      <c r="H151" s="1333">
        <v>1.1000000000000001</v>
      </c>
      <c r="I151" s="1333">
        <v>1.1000000000000001</v>
      </c>
      <c r="J151" s="1333">
        <v>1.1000000000000001</v>
      </c>
      <c r="K151" s="1333">
        <v>1.1000000000000001</v>
      </c>
    </row>
    <row r="152" spans="1:11" s="551" customFormat="1">
      <c r="A152" s="550"/>
      <c r="B152" s="528" t="s">
        <v>805</v>
      </c>
      <c r="C152" s="186">
        <v>67500</v>
      </c>
      <c r="D152" s="1295">
        <v>67500</v>
      </c>
      <c r="E152" s="1332">
        <v>45000</v>
      </c>
      <c r="F152" s="1332">
        <v>45000</v>
      </c>
      <c r="G152" s="1332">
        <v>45000</v>
      </c>
      <c r="H152" s="1332">
        <v>45000</v>
      </c>
      <c r="I152" s="1332">
        <v>45000</v>
      </c>
      <c r="J152" s="1332">
        <v>45000</v>
      </c>
      <c r="K152" s="1332">
        <v>45000</v>
      </c>
    </row>
    <row r="153" spans="1:11" s="551" customFormat="1">
      <c r="A153" s="550"/>
      <c r="B153" s="528" t="s">
        <v>806</v>
      </c>
      <c r="C153" s="551">
        <v>1.5</v>
      </c>
      <c r="D153" s="1296">
        <v>1.5</v>
      </c>
      <c r="E153" s="1333">
        <v>1</v>
      </c>
      <c r="F153" s="1333">
        <v>1</v>
      </c>
      <c r="G153" s="1333">
        <v>1</v>
      </c>
      <c r="H153" s="1333">
        <v>1</v>
      </c>
      <c r="I153" s="1333">
        <v>1</v>
      </c>
      <c r="J153" s="1333">
        <v>1</v>
      </c>
      <c r="K153" s="1333">
        <v>1</v>
      </c>
    </row>
    <row r="154" spans="1:11" s="551" customFormat="1">
      <c r="A154" s="550"/>
      <c r="B154" s="528" t="s">
        <v>807</v>
      </c>
      <c r="C154" s="551">
        <v>1.1100000000000001</v>
      </c>
      <c r="D154" s="1296">
        <v>1.1100000000000001</v>
      </c>
      <c r="E154" s="1333">
        <v>1.1000000000000001</v>
      </c>
      <c r="F154" s="1333">
        <v>1.1000000000000001</v>
      </c>
      <c r="G154" s="1333">
        <v>1.1000000000000001</v>
      </c>
      <c r="H154" s="1333">
        <v>1.1000000000000001</v>
      </c>
      <c r="I154" s="1333">
        <v>1.1000000000000001</v>
      </c>
      <c r="J154" s="1333">
        <v>1.1000000000000001</v>
      </c>
      <c r="K154" s="1333">
        <v>1.1000000000000001</v>
      </c>
    </row>
    <row r="155" spans="1:11" s="551" customFormat="1">
      <c r="A155" s="550"/>
      <c r="B155" s="528" t="s">
        <v>808</v>
      </c>
      <c r="C155" s="551">
        <v>1.2</v>
      </c>
      <c r="D155" s="1296">
        <v>1.2</v>
      </c>
      <c r="E155" s="1333">
        <v>1.1000000000000001</v>
      </c>
      <c r="F155" s="1333">
        <v>1.1000000000000001</v>
      </c>
      <c r="G155" s="1333">
        <v>1.1000000000000001</v>
      </c>
      <c r="H155" s="1333">
        <v>1.1000000000000001</v>
      </c>
      <c r="I155" s="1333">
        <v>1.1000000000000001</v>
      </c>
      <c r="J155" s="1333">
        <v>1.1000000000000001</v>
      </c>
      <c r="K155" s="1333">
        <v>1.1000000000000001</v>
      </c>
    </row>
    <row r="156" spans="1:11" s="551" customFormat="1">
      <c r="A156" s="550"/>
      <c r="B156" s="528" t="s">
        <v>809</v>
      </c>
      <c r="C156" s="186">
        <v>32500</v>
      </c>
      <c r="D156" s="1295">
        <v>32500</v>
      </c>
      <c r="E156" s="1332">
        <v>12000</v>
      </c>
      <c r="F156" s="1332">
        <v>12000</v>
      </c>
      <c r="G156" s="1332">
        <v>12000</v>
      </c>
      <c r="H156" s="1332">
        <v>12000</v>
      </c>
      <c r="I156" s="1332">
        <v>12000</v>
      </c>
      <c r="J156" s="1332">
        <v>12000</v>
      </c>
      <c r="K156" s="1332">
        <v>12000</v>
      </c>
    </row>
    <row r="157" spans="1:11" s="551" customFormat="1">
      <c r="A157" s="550"/>
      <c r="B157" s="528" t="s">
        <v>810</v>
      </c>
      <c r="C157" s="551">
        <v>0.5</v>
      </c>
      <c r="D157" s="1296">
        <v>0.5</v>
      </c>
      <c r="E157" s="1333">
        <v>0.25</v>
      </c>
      <c r="F157" s="1333">
        <v>0.25</v>
      </c>
      <c r="G157" s="1333">
        <v>0.25</v>
      </c>
      <c r="H157" s="1333">
        <v>0.25</v>
      </c>
      <c r="I157" s="1333">
        <v>0.25</v>
      </c>
      <c r="J157" s="1333">
        <v>0.25</v>
      </c>
      <c r="K157" s="1333">
        <v>0.25</v>
      </c>
    </row>
    <row r="158" spans="1:11" s="551" customFormat="1">
      <c r="A158" s="550"/>
      <c r="B158" s="528" t="s">
        <v>811</v>
      </c>
      <c r="C158" s="551">
        <v>1.1100000000000001</v>
      </c>
      <c r="D158" s="1296">
        <v>1.1100000000000001</v>
      </c>
      <c r="E158" s="1333">
        <v>1.1000000000000001</v>
      </c>
      <c r="F158" s="1333">
        <v>1.1000000000000001</v>
      </c>
      <c r="G158" s="1333">
        <v>1.1000000000000001</v>
      </c>
      <c r="H158" s="1333">
        <v>1.1000000000000001</v>
      </c>
      <c r="I158" s="1333">
        <v>1.1000000000000001</v>
      </c>
      <c r="J158" s="1333">
        <v>1.1000000000000001</v>
      </c>
      <c r="K158" s="1333">
        <v>1.1000000000000001</v>
      </c>
    </row>
    <row r="159" spans="1:11" s="551" customFormat="1">
      <c r="A159" s="550"/>
      <c r="B159" s="528" t="s">
        <v>812</v>
      </c>
      <c r="C159" s="551">
        <v>1.2</v>
      </c>
      <c r="D159" s="1296">
        <v>1.2</v>
      </c>
      <c r="E159" s="1333">
        <v>1.1000000000000001</v>
      </c>
      <c r="F159" s="1333">
        <v>1.1000000000000001</v>
      </c>
      <c r="G159" s="1333">
        <v>1.1000000000000001</v>
      </c>
      <c r="H159" s="1333">
        <v>1.1000000000000001</v>
      </c>
      <c r="I159" s="1333">
        <v>1.1000000000000001</v>
      </c>
      <c r="J159" s="1333">
        <v>1.1000000000000001</v>
      </c>
      <c r="K159" s="1333">
        <v>1.1000000000000001</v>
      </c>
    </row>
    <row r="160" spans="1:11" s="551" customFormat="1">
      <c r="A160" s="550"/>
      <c r="B160" s="528" t="s">
        <v>813</v>
      </c>
      <c r="C160" s="186">
        <v>5000</v>
      </c>
      <c r="D160" s="1295">
        <v>5000</v>
      </c>
      <c r="E160" s="1332">
        <v>3000</v>
      </c>
      <c r="F160" s="1332">
        <v>3000</v>
      </c>
      <c r="G160" s="1332">
        <v>3000</v>
      </c>
      <c r="H160" s="1332">
        <v>3000</v>
      </c>
      <c r="I160" s="1420">
        <v>7000</v>
      </c>
      <c r="J160" s="1420">
        <v>7000</v>
      </c>
      <c r="K160" s="1420">
        <v>7000</v>
      </c>
    </row>
    <row r="161" spans="1:11" s="551" customFormat="1">
      <c r="A161" s="550"/>
      <c r="B161" s="528" t="s">
        <v>814</v>
      </c>
      <c r="C161" s="551">
        <v>1.1100000000000001</v>
      </c>
      <c r="D161" s="1296">
        <v>1.1100000000000001</v>
      </c>
      <c r="E161" s="1333">
        <v>1.1000000000000001</v>
      </c>
      <c r="F161" s="1333">
        <v>1.1000000000000001</v>
      </c>
      <c r="G161" s="1333">
        <v>1.1000000000000001</v>
      </c>
      <c r="H161" s="1333">
        <v>1.1000000000000001</v>
      </c>
      <c r="I161" s="1333">
        <v>1.1000000000000001</v>
      </c>
      <c r="J161" s="1333">
        <v>1.1000000000000001</v>
      </c>
      <c r="K161" s="1333">
        <v>1.1000000000000001</v>
      </c>
    </row>
    <row r="162" spans="1:11" s="551" customFormat="1">
      <c r="A162" s="550"/>
      <c r="B162" s="528" t="s">
        <v>815</v>
      </c>
      <c r="C162" s="551">
        <v>1.2</v>
      </c>
      <c r="D162" s="1296">
        <v>1.2</v>
      </c>
      <c r="E162" s="1333">
        <v>1.1000000000000001</v>
      </c>
      <c r="F162" s="1333">
        <v>1.1000000000000001</v>
      </c>
      <c r="G162" s="1333">
        <v>1.1000000000000001</v>
      </c>
      <c r="H162" s="1333">
        <v>1.1000000000000001</v>
      </c>
      <c r="I162" s="1333">
        <v>1.1000000000000001</v>
      </c>
      <c r="J162" s="1333">
        <v>1.1000000000000001</v>
      </c>
      <c r="K162" s="1333">
        <v>1.1000000000000001</v>
      </c>
    </row>
    <row r="163" spans="1:11">
      <c r="A163" s="159"/>
      <c r="B163" s="527"/>
    </row>
    <row r="164" spans="1:11">
      <c r="A164" s="159">
        <v>2.11</v>
      </c>
      <c r="B164" s="527" t="s">
        <v>372</v>
      </c>
      <c r="C164" s="186">
        <v>130000</v>
      </c>
      <c r="D164" s="1295">
        <v>130000</v>
      </c>
      <c r="E164" s="1332">
        <v>72000</v>
      </c>
      <c r="F164" s="1332">
        <v>72000</v>
      </c>
      <c r="G164" s="1332">
        <v>72000</v>
      </c>
      <c r="H164" s="1332">
        <v>72000</v>
      </c>
      <c r="I164" s="1420">
        <v>84000</v>
      </c>
      <c r="J164" s="1420">
        <v>84000</v>
      </c>
      <c r="K164" s="1420">
        <v>84000</v>
      </c>
    </row>
    <row r="165" spans="1:11">
      <c r="A165" s="159">
        <v>2.12</v>
      </c>
      <c r="B165" s="527" t="s">
        <v>374</v>
      </c>
      <c r="C165" s="186">
        <v>144300</v>
      </c>
      <c r="D165" s="1295">
        <v>144300</v>
      </c>
      <c r="E165" s="1332">
        <v>79200</v>
      </c>
      <c r="F165" s="1332">
        <v>79200</v>
      </c>
      <c r="G165" s="1332">
        <v>79200</v>
      </c>
      <c r="H165" s="1332">
        <v>79200</v>
      </c>
      <c r="I165" s="1420">
        <v>92400</v>
      </c>
      <c r="J165" s="1420">
        <v>92400</v>
      </c>
      <c r="K165" s="1420">
        <v>92400</v>
      </c>
    </row>
    <row r="166" spans="1:11">
      <c r="A166" s="159">
        <v>2.13</v>
      </c>
      <c r="B166" s="527" t="s">
        <v>375</v>
      </c>
      <c r="C166" s="186">
        <v>173160</v>
      </c>
      <c r="D166" s="1295">
        <v>173160</v>
      </c>
      <c r="E166" s="1332">
        <v>87120</v>
      </c>
      <c r="F166" s="1332">
        <v>87120</v>
      </c>
      <c r="G166" s="1332">
        <v>87120</v>
      </c>
      <c r="H166" s="1332">
        <v>87120</v>
      </c>
      <c r="I166" s="1420">
        <v>101640</v>
      </c>
      <c r="J166" s="1420">
        <v>101640</v>
      </c>
      <c r="K166" s="1420">
        <v>101640</v>
      </c>
    </row>
    <row r="167" spans="1:11">
      <c r="A167" s="159"/>
      <c r="B167" s="527"/>
      <c r="C167" s="186"/>
      <c r="D167" s="186"/>
      <c r="E167" s="186"/>
      <c r="F167" s="186"/>
      <c r="G167" s="186"/>
      <c r="H167" s="186"/>
    </row>
    <row r="168" spans="1:11">
      <c r="A168" s="159">
        <v>2.2000000000000002</v>
      </c>
      <c r="B168" s="547" t="s">
        <v>559</v>
      </c>
      <c r="C168" s="186"/>
      <c r="D168" s="1295"/>
      <c r="E168" s="1295"/>
      <c r="F168" s="1295"/>
      <c r="G168" s="1295"/>
      <c r="H168" s="1295"/>
      <c r="I168" s="1294"/>
      <c r="J168" s="1294"/>
      <c r="K168" s="1294"/>
    </row>
    <row r="169" spans="1:11" s="551" customFormat="1">
      <c r="A169" s="550"/>
      <c r="B169" s="547" t="s">
        <v>816</v>
      </c>
      <c r="C169" s="186">
        <v>26000</v>
      </c>
      <c r="D169" s="1295">
        <v>26000</v>
      </c>
      <c r="E169" s="1295">
        <v>26000</v>
      </c>
      <c r="F169" s="1295">
        <v>26000</v>
      </c>
      <c r="G169" s="1295">
        <v>26000</v>
      </c>
      <c r="H169" s="1295">
        <v>26000</v>
      </c>
      <c r="I169" s="1420">
        <v>33000</v>
      </c>
      <c r="J169" s="1420">
        <v>33000</v>
      </c>
      <c r="K169" s="1420">
        <v>33000</v>
      </c>
    </row>
    <row r="170" spans="1:11" s="551" customFormat="1">
      <c r="A170" s="550"/>
      <c r="B170" s="547" t="s">
        <v>817</v>
      </c>
      <c r="C170" s="186">
        <v>30000</v>
      </c>
      <c r="D170" s="1295">
        <v>30000</v>
      </c>
      <c r="E170" s="1295">
        <v>30000</v>
      </c>
      <c r="F170" s="1295">
        <v>30000</v>
      </c>
      <c r="G170" s="1295">
        <v>30000</v>
      </c>
      <c r="H170" s="1295">
        <v>30000</v>
      </c>
      <c r="I170" s="1420">
        <v>39000</v>
      </c>
      <c r="J170" s="1420">
        <v>39000</v>
      </c>
      <c r="K170" s="1420">
        <v>39000</v>
      </c>
    </row>
    <row r="171" spans="1:11" s="551" customFormat="1">
      <c r="A171" s="550"/>
      <c r="B171" s="547" t="s">
        <v>818</v>
      </c>
      <c r="C171" s="186">
        <v>28000</v>
      </c>
      <c r="D171" s="1295">
        <v>28000</v>
      </c>
      <c r="E171" s="1295">
        <v>28000</v>
      </c>
      <c r="F171" s="1295">
        <v>28000</v>
      </c>
      <c r="G171" s="1295">
        <v>28000</v>
      </c>
      <c r="H171" s="1295">
        <v>28000</v>
      </c>
      <c r="I171" s="1420">
        <v>47000</v>
      </c>
      <c r="J171" s="1420">
        <v>47000</v>
      </c>
      <c r="K171" s="1420">
        <v>47000</v>
      </c>
    </row>
    <row r="172" spans="1:11" s="551" customFormat="1">
      <c r="A172" s="550"/>
      <c r="B172" s="547" t="s">
        <v>819</v>
      </c>
      <c r="C172" s="186">
        <v>32000</v>
      </c>
      <c r="D172" s="1295">
        <v>32000</v>
      </c>
      <c r="E172" s="1295">
        <v>32000</v>
      </c>
      <c r="F172" s="1295">
        <v>32000</v>
      </c>
      <c r="G172" s="1295">
        <v>32000</v>
      </c>
      <c r="H172" s="1295">
        <v>32000</v>
      </c>
      <c r="I172" s="1420">
        <v>69000</v>
      </c>
      <c r="J172" s="1420">
        <v>69000</v>
      </c>
      <c r="K172" s="1420">
        <v>69000</v>
      </c>
    </row>
    <row r="173" spans="1:11" s="551" customFormat="1">
      <c r="A173" s="550"/>
      <c r="B173" s="547" t="s">
        <v>820</v>
      </c>
      <c r="C173" s="186">
        <v>23000</v>
      </c>
      <c r="D173" s="1295">
        <v>23000</v>
      </c>
      <c r="E173" s="1295">
        <v>23000</v>
      </c>
      <c r="F173" s="1295">
        <v>23000</v>
      </c>
      <c r="G173" s="1295">
        <v>23000</v>
      </c>
      <c r="H173" s="1295">
        <v>23000</v>
      </c>
      <c r="I173" s="1295">
        <v>23000</v>
      </c>
      <c r="J173" s="1295">
        <v>23000</v>
      </c>
      <c r="K173" s="1295">
        <v>23000</v>
      </c>
    </row>
    <row r="174" spans="1:11" s="551" customFormat="1">
      <c r="A174" s="550"/>
      <c r="B174" s="547" t="s">
        <v>821</v>
      </c>
      <c r="C174" s="186">
        <v>24000</v>
      </c>
      <c r="D174" s="1295">
        <v>24000</v>
      </c>
      <c r="E174" s="1295">
        <v>24000</v>
      </c>
      <c r="F174" s="1295">
        <v>24000</v>
      </c>
      <c r="G174" s="1295">
        <v>24000</v>
      </c>
      <c r="H174" s="1295">
        <v>24000</v>
      </c>
      <c r="I174" s="1295">
        <v>24000</v>
      </c>
      <c r="J174" s="1295">
        <v>24000</v>
      </c>
      <c r="K174" s="1295">
        <v>24000</v>
      </c>
    </row>
    <row r="175" spans="1:11" s="551" customFormat="1">
      <c r="A175" s="550"/>
      <c r="B175" s="547" t="s">
        <v>822</v>
      </c>
      <c r="C175" s="186">
        <v>25000</v>
      </c>
      <c r="D175" s="1295">
        <v>25000</v>
      </c>
      <c r="E175" s="1295">
        <v>25000</v>
      </c>
      <c r="F175" s="1295">
        <v>25000</v>
      </c>
      <c r="G175" s="1295">
        <v>25000</v>
      </c>
      <c r="H175" s="1295">
        <v>25000</v>
      </c>
      <c r="I175" s="1295">
        <v>25000</v>
      </c>
      <c r="J175" s="1295">
        <v>25000</v>
      </c>
      <c r="K175" s="1295">
        <v>25000</v>
      </c>
    </row>
    <row r="176" spans="1:11" s="551" customFormat="1">
      <c r="A176" s="550"/>
      <c r="B176" s="547" t="s">
        <v>823</v>
      </c>
      <c r="C176" s="186">
        <v>27000</v>
      </c>
      <c r="D176" s="1295">
        <v>27000</v>
      </c>
      <c r="E176" s="1295">
        <v>27000</v>
      </c>
      <c r="F176" s="1295">
        <v>27000</v>
      </c>
      <c r="G176" s="1295">
        <v>27000</v>
      </c>
      <c r="H176" s="1295">
        <v>27000</v>
      </c>
      <c r="I176" s="1420">
        <v>33000</v>
      </c>
      <c r="J176" s="1420">
        <v>33000</v>
      </c>
      <c r="K176" s="1420">
        <v>33000</v>
      </c>
    </row>
    <row r="177" spans="1:11" s="551" customFormat="1">
      <c r="A177" s="550"/>
      <c r="B177" s="547" t="s">
        <v>824</v>
      </c>
      <c r="C177" s="186">
        <v>25000</v>
      </c>
      <c r="D177" s="1295">
        <v>25000</v>
      </c>
      <c r="E177" s="1295">
        <v>25000</v>
      </c>
      <c r="F177" s="1295">
        <v>25000</v>
      </c>
      <c r="G177" s="1295">
        <v>25000</v>
      </c>
      <c r="H177" s="1295">
        <v>25000</v>
      </c>
      <c r="I177" s="1421"/>
      <c r="J177" s="1421"/>
      <c r="K177" s="1421"/>
    </row>
    <row r="178" spans="1:11" s="551" customFormat="1">
      <c r="A178" s="550"/>
      <c r="B178" s="547" t="s">
        <v>825</v>
      </c>
      <c r="C178" s="186">
        <v>30000</v>
      </c>
      <c r="D178" s="1295">
        <v>30000</v>
      </c>
      <c r="E178" s="1295">
        <v>30000</v>
      </c>
      <c r="F178" s="1295">
        <v>30000</v>
      </c>
      <c r="G178" s="1295">
        <v>30000</v>
      </c>
      <c r="H178" s="1295">
        <v>30000</v>
      </c>
      <c r="I178" s="1421"/>
      <c r="J178" s="1421"/>
      <c r="K178" s="1421"/>
    </row>
    <row r="179" spans="1:11" s="551" customFormat="1">
      <c r="A179" s="550"/>
      <c r="B179" s="547" t="s">
        <v>826</v>
      </c>
      <c r="C179" s="186">
        <v>29000</v>
      </c>
      <c r="D179" s="1295">
        <v>29000</v>
      </c>
      <c r="E179" s="1295">
        <v>29000</v>
      </c>
      <c r="F179" s="1295">
        <v>29000</v>
      </c>
      <c r="G179" s="1295">
        <v>29000</v>
      </c>
      <c r="H179" s="1295">
        <v>29000</v>
      </c>
      <c r="I179" s="1421"/>
      <c r="J179" s="1421"/>
      <c r="K179" s="1421"/>
    </row>
    <row r="180" spans="1:11" s="551" customFormat="1">
      <c r="A180" s="550"/>
      <c r="B180" s="547" t="s">
        <v>827</v>
      </c>
      <c r="C180" s="186">
        <v>32000</v>
      </c>
      <c r="D180" s="1295">
        <v>32000</v>
      </c>
      <c r="E180" s="1295">
        <v>32000</v>
      </c>
      <c r="F180" s="1295">
        <v>32000</v>
      </c>
      <c r="G180" s="1295">
        <v>32000</v>
      </c>
      <c r="H180" s="1295">
        <v>32000</v>
      </c>
      <c r="I180" s="1421"/>
      <c r="J180" s="1421"/>
      <c r="K180" s="1421"/>
    </row>
    <row r="181" spans="1:11" s="551" customFormat="1">
      <c r="A181" s="550"/>
      <c r="B181" s="547" t="s">
        <v>828</v>
      </c>
      <c r="C181" s="186">
        <v>15000</v>
      </c>
      <c r="D181" s="1295">
        <v>15000</v>
      </c>
      <c r="E181" s="1295">
        <v>15000</v>
      </c>
      <c r="F181" s="1295">
        <v>15000</v>
      </c>
      <c r="G181" s="1295">
        <v>15000</v>
      </c>
      <c r="H181" s="1295">
        <v>15000</v>
      </c>
      <c r="I181" s="1421"/>
      <c r="J181" s="1421"/>
      <c r="K181" s="1421"/>
    </row>
    <row r="182" spans="1:11" s="551" customFormat="1">
      <c r="A182" s="550"/>
      <c r="B182" s="547" t="s">
        <v>829</v>
      </c>
      <c r="C182" s="186">
        <v>20000</v>
      </c>
      <c r="D182" s="1295">
        <v>20000</v>
      </c>
      <c r="E182" s="1295">
        <v>20000</v>
      </c>
      <c r="F182" s="1295">
        <v>20000</v>
      </c>
      <c r="G182" s="1295">
        <v>20000</v>
      </c>
      <c r="H182" s="1295">
        <v>20000</v>
      </c>
      <c r="I182" s="1421"/>
      <c r="J182" s="1421"/>
      <c r="K182" s="1421"/>
    </row>
    <row r="183" spans="1:11" s="551" customFormat="1">
      <c r="A183" s="550"/>
      <c r="B183" s="547" t="s">
        <v>830</v>
      </c>
      <c r="C183" s="186">
        <v>20000</v>
      </c>
      <c r="D183" s="1295">
        <v>20000</v>
      </c>
      <c r="E183" s="1295">
        <v>20000</v>
      </c>
      <c r="F183" s="1295">
        <v>20000</v>
      </c>
      <c r="G183" s="1295">
        <v>20000</v>
      </c>
      <c r="H183" s="1295">
        <v>20000</v>
      </c>
      <c r="I183" s="1421"/>
      <c r="J183" s="1421"/>
      <c r="K183" s="1421"/>
    </row>
    <row r="184" spans="1:11" s="551" customFormat="1">
      <c r="A184" s="550"/>
      <c r="B184" s="547" t="s">
        <v>831</v>
      </c>
      <c r="C184" s="186">
        <v>22000</v>
      </c>
      <c r="D184" s="1295">
        <v>22000</v>
      </c>
      <c r="E184" s="1295">
        <v>22000</v>
      </c>
      <c r="F184" s="1295">
        <v>22000</v>
      </c>
      <c r="G184" s="1295">
        <v>22000</v>
      </c>
      <c r="H184" s="1295">
        <v>22000</v>
      </c>
      <c r="I184" s="1421"/>
      <c r="J184" s="1421"/>
      <c r="K184" s="1421"/>
    </row>
    <row r="185" spans="1:11">
      <c r="A185" s="159"/>
      <c r="B185" s="527"/>
    </row>
    <row r="186" spans="1:11">
      <c r="A186" s="159">
        <v>2.2999999999999998</v>
      </c>
      <c r="B186" s="527" t="s">
        <v>360</v>
      </c>
      <c r="D186" s="1294"/>
      <c r="E186" s="1294"/>
      <c r="F186" s="1294"/>
      <c r="G186" s="1294"/>
      <c r="H186" s="1294"/>
      <c r="I186" s="1294"/>
      <c r="J186" s="1294"/>
      <c r="K186" s="1294"/>
    </row>
    <row r="187" spans="1:11" s="551" customFormat="1">
      <c r="A187" s="550"/>
      <c r="B187" s="528" t="s">
        <v>832</v>
      </c>
      <c r="C187" s="186">
        <v>8000</v>
      </c>
      <c r="D187" s="1295">
        <v>8000</v>
      </c>
      <c r="E187" s="1332">
        <v>2000</v>
      </c>
      <c r="F187" s="1332">
        <v>2000</v>
      </c>
      <c r="G187" s="1332">
        <v>2000</v>
      </c>
      <c r="H187" s="1332">
        <v>2000</v>
      </c>
      <c r="I187" s="1332">
        <v>2000</v>
      </c>
      <c r="J187" s="1332">
        <v>2000</v>
      </c>
      <c r="K187" s="1332">
        <v>2000</v>
      </c>
    </row>
    <row r="188" spans="1:11" s="551" customFormat="1">
      <c r="A188" s="550"/>
      <c r="B188" s="528" t="s">
        <v>833</v>
      </c>
      <c r="C188" s="551">
        <v>1.1100000000000001</v>
      </c>
      <c r="D188" s="1296">
        <v>1.1100000000000001</v>
      </c>
      <c r="E188" s="1333">
        <v>1</v>
      </c>
      <c r="F188" s="1333">
        <v>1</v>
      </c>
      <c r="G188" s="1333">
        <v>1</v>
      </c>
      <c r="H188" s="1333">
        <v>1</v>
      </c>
      <c r="I188" s="1333">
        <v>1</v>
      </c>
      <c r="J188" s="1333">
        <v>1</v>
      </c>
      <c r="K188" s="1333">
        <v>1</v>
      </c>
    </row>
    <row r="189" spans="1:11" s="551" customFormat="1">
      <c r="A189" s="550"/>
      <c r="B189" s="528" t="s">
        <v>834</v>
      </c>
      <c r="C189" s="551">
        <v>1.2</v>
      </c>
      <c r="D189" s="1296">
        <v>1.2</v>
      </c>
      <c r="E189" s="1333">
        <v>1</v>
      </c>
      <c r="F189" s="1333">
        <v>1</v>
      </c>
      <c r="G189" s="1333">
        <v>1</v>
      </c>
      <c r="H189" s="1333">
        <v>1</v>
      </c>
      <c r="I189" s="1333">
        <v>1</v>
      </c>
      <c r="J189" s="1333">
        <v>1</v>
      </c>
      <c r="K189" s="1333">
        <v>1</v>
      </c>
    </row>
    <row r="190" spans="1:11" s="551" customFormat="1">
      <c r="A190" s="550"/>
      <c r="B190" s="528" t="s">
        <v>835</v>
      </c>
      <c r="C190" s="186">
        <v>4000</v>
      </c>
      <c r="D190" s="1295">
        <v>4000</v>
      </c>
      <c r="E190" s="1332">
        <v>3000</v>
      </c>
      <c r="F190" s="1332">
        <v>3000</v>
      </c>
      <c r="G190" s="1332">
        <v>3000</v>
      </c>
      <c r="H190" s="1332">
        <v>3000</v>
      </c>
      <c r="I190" s="1332">
        <v>3000</v>
      </c>
      <c r="J190" s="1332">
        <v>3000</v>
      </c>
      <c r="K190" s="1332">
        <v>3000</v>
      </c>
    </row>
    <row r="191" spans="1:11" s="551" customFormat="1">
      <c r="A191" s="550"/>
      <c r="B191" s="528" t="s">
        <v>836</v>
      </c>
      <c r="C191" s="551">
        <v>1.1100000000000001</v>
      </c>
      <c r="D191" s="1296">
        <v>1.1100000000000001</v>
      </c>
      <c r="E191" s="1333">
        <v>1</v>
      </c>
      <c r="F191" s="1333">
        <v>1</v>
      </c>
      <c r="G191" s="1333">
        <v>1</v>
      </c>
      <c r="H191" s="1333">
        <v>1</v>
      </c>
      <c r="I191" s="1333">
        <v>1</v>
      </c>
      <c r="J191" s="1333">
        <v>1</v>
      </c>
      <c r="K191" s="1333">
        <v>1</v>
      </c>
    </row>
    <row r="192" spans="1:11" s="551" customFormat="1">
      <c r="A192" s="550"/>
      <c r="B192" s="528" t="s">
        <v>837</v>
      </c>
      <c r="C192" s="551">
        <v>1.2</v>
      </c>
      <c r="D192" s="1296">
        <v>1.2</v>
      </c>
      <c r="E192" s="1333">
        <v>1</v>
      </c>
      <c r="F192" s="1333">
        <v>1</v>
      </c>
      <c r="G192" s="1333">
        <v>1</v>
      </c>
      <c r="H192" s="1333">
        <v>1</v>
      </c>
      <c r="I192" s="1333">
        <v>1</v>
      </c>
      <c r="J192" s="1333">
        <v>1</v>
      </c>
      <c r="K192" s="1333">
        <v>1</v>
      </c>
    </row>
    <row r="193" spans="1:11" s="551" customFormat="1">
      <c r="A193" s="550"/>
      <c r="B193" s="528" t="s">
        <v>838</v>
      </c>
      <c r="C193" s="186">
        <v>7000</v>
      </c>
      <c r="D193" s="1295">
        <v>7000</v>
      </c>
      <c r="E193" s="1332">
        <v>4000</v>
      </c>
      <c r="F193" s="1332">
        <v>4000</v>
      </c>
      <c r="G193" s="1332">
        <v>4000</v>
      </c>
      <c r="H193" s="1332">
        <v>4000</v>
      </c>
      <c r="I193" s="1332">
        <v>4000</v>
      </c>
      <c r="J193" s="1332">
        <v>4000</v>
      </c>
      <c r="K193" s="1332">
        <v>4000</v>
      </c>
    </row>
    <row r="194" spans="1:11" s="551" customFormat="1">
      <c r="A194" s="550"/>
      <c r="B194" s="528" t="s">
        <v>839</v>
      </c>
      <c r="C194" s="551">
        <v>1.1100000000000001</v>
      </c>
      <c r="D194" s="1296">
        <v>1.1100000000000001</v>
      </c>
      <c r="E194" s="1333">
        <v>1</v>
      </c>
      <c r="F194" s="1333">
        <v>1</v>
      </c>
      <c r="G194" s="1333">
        <v>1</v>
      </c>
      <c r="H194" s="1333">
        <v>1</v>
      </c>
      <c r="I194" s="1333">
        <v>1</v>
      </c>
      <c r="J194" s="1333">
        <v>1</v>
      </c>
      <c r="K194" s="1333">
        <v>1</v>
      </c>
    </row>
    <row r="195" spans="1:11" s="551" customFormat="1">
      <c r="A195" s="550"/>
      <c r="B195" s="528" t="s">
        <v>840</v>
      </c>
      <c r="C195" s="551">
        <v>1.2</v>
      </c>
      <c r="D195" s="1296">
        <v>1.2</v>
      </c>
      <c r="E195" s="1333">
        <v>1</v>
      </c>
      <c r="F195" s="1333">
        <v>1</v>
      </c>
      <c r="G195" s="1333">
        <v>1</v>
      </c>
      <c r="H195" s="1333">
        <v>1</v>
      </c>
      <c r="I195" s="1333">
        <v>1</v>
      </c>
      <c r="J195" s="1333">
        <v>1</v>
      </c>
      <c r="K195" s="1333">
        <v>1</v>
      </c>
    </row>
    <row r="196" spans="1:11" s="551" customFormat="1">
      <c r="A196" s="550"/>
      <c r="B196" s="528" t="s">
        <v>841</v>
      </c>
      <c r="C196" s="186">
        <v>7000</v>
      </c>
      <c r="D196" s="1295">
        <v>7000</v>
      </c>
      <c r="E196" s="1332">
        <v>4000</v>
      </c>
      <c r="F196" s="1332">
        <v>4000</v>
      </c>
      <c r="G196" s="1332">
        <v>4000</v>
      </c>
      <c r="H196" s="1332">
        <v>4000</v>
      </c>
      <c r="I196" s="1332">
        <v>4000</v>
      </c>
      <c r="J196" s="1332">
        <v>4000</v>
      </c>
      <c r="K196" s="1332">
        <v>4000</v>
      </c>
    </row>
    <row r="197" spans="1:11" s="551" customFormat="1">
      <c r="A197" s="550"/>
      <c r="B197" s="528" t="s">
        <v>842</v>
      </c>
      <c r="C197" s="551">
        <v>1.1100000000000001</v>
      </c>
      <c r="D197" s="1296">
        <v>1.1100000000000001</v>
      </c>
      <c r="E197" s="1333">
        <v>1</v>
      </c>
      <c r="F197" s="1333">
        <v>1</v>
      </c>
      <c r="G197" s="1333">
        <v>1</v>
      </c>
      <c r="H197" s="1333">
        <v>1</v>
      </c>
      <c r="I197" s="1333">
        <v>1</v>
      </c>
      <c r="J197" s="1333">
        <v>1</v>
      </c>
      <c r="K197" s="1333">
        <v>1</v>
      </c>
    </row>
    <row r="198" spans="1:11" s="551" customFormat="1">
      <c r="A198" s="550"/>
      <c r="B198" s="528" t="s">
        <v>843</v>
      </c>
      <c r="C198" s="551">
        <v>1.2</v>
      </c>
      <c r="D198" s="1296">
        <v>1.2</v>
      </c>
      <c r="E198" s="1333">
        <v>1</v>
      </c>
      <c r="F198" s="1333">
        <v>1</v>
      </c>
      <c r="G198" s="1333">
        <v>1</v>
      </c>
      <c r="H198" s="1333">
        <v>1</v>
      </c>
      <c r="I198" s="1333">
        <v>1</v>
      </c>
      <c r="J198" s="1333">
        <v>1</v>
      </c>
      <c r="K198" s="1333">
        <v>1</v>
      </c>
    </row>
    <row r="199" spans="1:11" s="551" customFormat="1">
      <c r="A199" s="550"/>
      <c r="B199" s="528" t="s">
        <v>844</v>
      </c>
      <c r="C199" s="186">
        <v>7500</v>
      </c>
      <c r="D199" s="1295">
        <v>7500</v>
      </c>
      <c r="E199" s="1295">
        <v>7500</v>
      </c>
      <c r="F199" s="1295">
        <v>7500</v>
      </c>
      <c r="G199" s="1295">
        <v>7500</v>
      </c>
      <c r="H199" s="1295">
        <v>7500</v>
      </c>
      <c r="I199" s="1295">
        <v>7500</v>
      </c>
      <c r="J199" s="1295">
        <v>7500</v>
      </c>
      <c r="K199" s="1295">
        <v>7500</v>
      </c>
    </row>
    <row r="200" spans="1:11" s="551" customFormat="1">
      <c r="A200" s="550"/>
      <c r="B200" s="528" t="s">
        <v>845</v>
      </c>
      <c r="C200" s="551">
        <v>1.9</v>
      </c>
      <c r="D200" s="1296">
        <v>1.9</v>
      </c>
      <c r="E200" s="1296">
        <v>1.9</v>
      </c>
      <c r="F200" s="1296">
        <v>1.9</v>
      </c>
      <c r="G200" s="1296">
        <v>1.9</v>
      </c>
      <c r="H200" s="1296">
        <v>1.9</v>
      </c>
      <c r="I200" s="1296">
        <v>1.9</v>
      </c>
      <c r="J200" s="1296">
        <v>1.9</v>
      </c>
      <c r="K200" s="1296">
        <v>1.9</v>
      </c>
    </row>
    <row r="201" spans="1:11" s="551" customFormat="1">
      <c r="A201" s="550"/>
      <c r="B201" s="528" t="s">
        <v>846</v>
      </c>
      <c r="C201" s="551">
        <v>0.9</v>
      </c>
      <c r="D201" s="1296">
        <v>0.9</v>
      </c>
      <c r="E201" s="1296">
        <v>0.9</v>
      </c>
      <c r="F201" s="1296">
        <v>0.9</v>
      </c>
      <c r="G201" s="1296">
        <v>0.9</v>
      </c>
      <c r="H201" s="1296">
        <v>0.9</v>
      </c>
      <c r="I201" s="1296">
        <v>0.9</v>
      </c>
      <c r="J201" s="1296">
        <v>0.9</v>
      </c>
      <c r="K201" s="1296">
        <v>0.9</v>
      </c>
    </row>
    <row r="202" spans="1:11">
      <c r="A202" s="159"/>
      <c r="B202" s="527"/>
    </row>
    <row r="203" spans="1:11">
      <c r="A203" s="159">
        <v>2.31</v>
      </c>
      <c r="B203" s="527" t="s">
        <v>373</v>
      </c>
      <c r="C203" s="186">
        <v>33500</v>
      </c>
      <c r="D203" s="1295">
        <v>33500</v>
      </c>
      <c r="E203" s="1332">
        <v>20500</v>
      </c>
      <c r="F203" s="1332">
        <v>20500</v>
      </c>
      <c r="G203" s="1332">
        <v>20500</v>
      </c>
      <c r="H203" s="1332">
        <v>20500</v>
      </c>
      <c r="I203" s="1332">
        <v>20500</v>
      </c>
      <c r="J203" s="1332">
        <v>20500</v>
      </c>
      <c r="K203" s="1332">
        <v>20500</v>
      </c>
    </row>
    <row r="204" spans="1:11">
      <c r="A204" s="159">
        <v>2.3199999999999998</v>
      </c>
      <c r="B204" s="527" t="s">
        <v>376</v>
      </c>
      <c r="C204" s="186">
        <v>43110</v>
      </c>
      <c r="D204" s="1295">
        <v>43110</v>
      </c>
      <c r="E204" s="1332">
        <v>27250</v>
      </c>
      <c r="F204" s="1332">
        <v>27250</v>
      </c>
      <c r="G204" s="1332">
        <v>27250</v>
      </c>
      <c r="H204" s="1332">
        <v>27250</v>
      </c>
      <c r="I204" s="1332">
        <v>27250</v>
      </c>
      <c r="J204" s="1332">
        <v>27250</v>
      </c>
      <c r="K204" s="1332">
        <v>27250</v>
      </c>
    </row>
    <row r="205" spans="1:11">
      <c r="A205" s="159">
        <v>2.33</v>
      </c>
      <c r="B205" s="527" t="s">
        <v>377</v>
      </c>
      <c r="C205" s="186">
        <v>47457</v>
      </c>
      <c r="D205" s="1295">
        <v>47457</v>
      </c>
      <c r="E205" s="1332">
        <v>25825</v>
      </c>
      <c r="F205" s="1332">
        <v>25825</v>
      </c>
      <c r="G205" s="1332">
        <v>25825</v>
      </c>
      <c r="H205" s="1332">
        <v>25825</v>
      </c>
      <c r="I205" s="1332">
        <v>25825</v>
      </c>
      <c r="J205" s="1332">
        <v>25825</v>
      </c>
      <c r="K205" s="1332">
        <v>25825</v>
      </c>
    </row>
    <row r="206" spans="1:11">
      <c r="A206" s="159"/>
      <c r="B206" s="527"/>
    </row>
    <row r="207" spans="1:11">
      <c r="A207" s="159">
        <v>2.4</v>
      </c>
      <c r="B207" s="527" t="s">
        <v>366</v>
      </c>
      <c r="D207" s="1294"/>
      <c r="E207" s="1294"/>
      <c r="F207" s="1294"/>
      <c r="G207" s="1294"/>
      <c r="H207" s="1294"/>
      <c r="I207" s="1294"/>
      <c r="J207" s="1294"/>
      <c r="K207" s="1294"/>
    </row>
    <row r="208" spans="1:11" s="551" customFormat="1">
      <c r="A208" s="550"/>
      <c r="B208" s="528" t="s">
        <v>847</v>
      </c>
      <c r="C208" s="186">
        <v>35000</v>
      </c>
      <c r="D208" s="1295">
        <v>35000</v>
      </c>
      <c r="E208" s="1295">
        <v>35000</v>
      </c>
      <c r="F208" s="1295">
        <v>35000</v>
      </c>
      <c r="G208" s="1295">
        <v>35000</v>
      </c>
      <c r="H208" s="1295">
        <v>35000</v>
      </c>
      <c r="I208" s="1295">
        <v>35000</v>
      </c>
      <c r="J208" s="1295">
        <v>35000</v>
      </c>
      <c r="K208" s="1295">
        <v>35000</v>
      </c>
    </row>
    <row r="209" spans="1:11" s="551" customFormat="1">
      <c r="A209" s="550"/>
      <c r="B209" s="528" t="s">
        <v>848</v>
      </c>
      <c r="C209" s="551">
        <v>1.1100000000000001</v>
      </c>
      <c r="D209" s="1296">
        <v>1.1100000000000001</v>
      </c>
      <c r="E209" s="1296">
        <v>1.1100000000000001</v>
      </c>
      <c r="F209" s="1296">
        <v>1.1100000000000001</v>
      </c>
      <c r="G209" s="1296">
        <v>1.1100000000000001</v>
      </c>
      <c r="H209" s="1296">
        <v>1.1100000000000001</v>
      </c>
      <c r="I209" s="1296">
        <v>1.1100000000000001</v>
      </c>
      <c r="J209" s="1296">
        <v>1.1100000000000001</v>
      </c>
      <c r="K209" s="1587">
        <v>1.1000000000000001</v>
      </c>
    </row>
    <row r="210" spans="1:11" s="551" customFormat="1">
      <c r="A210" s="550"/>
      <c r="B210" s="528" t="s">
        <v>849</v>
      </c>
      <c r="C210" s="551">
        <v>1.2</v>
      </c>
      <c r="D210" s="1296">
        <v>1.2</v>
      </c>
      <c r="E210" s="1296">
        <v>1.2</v>
      </c>
      <c r="F210" s="1296">
        <v>1.2</v>
      </c>
      <c r="G210" s="1296">
        <v>1.2</v>
      </c>
      <c r="H210" s="1296">
        <v>1.2</v>
      </c>
      <c r="I210" s="1296">
        <v>1.2</v>
      </c>
      <c r="J210" s="1296">
        <v>1.2</v>
      </c>
      <c r="K210" s="1587">
        <v>1.1000000000000001</v>
      </c>
    </row>
    <row r="211" spans="1:11" s="551" customFormat="1">
      <c r="A211" s="550"/>
      <c r="B211" s="528" t="s">
        <v>850</v>
      </c>
      <c r="C211" s="186">
        <v>3000</v>
      </c>
      <c r="D211" s="1295">
        <v>3000</v>
      </c>
      <c r="E211" s="1295">
        <v>3000</v>
      </c>
      <c r="F211" s="1295">
        <v>3000</v>
      </c>
      <c r="G211" s="1295">
        <v>3000</v>
      </c>
      <c r="H211" s="1295">
        <v>3000</v>
      </c>
      <c r="I211" s="1295">
        <v>3000</v>
      </c>
      <c r="J211" s="1295">
        <v>3000</v>
      </c>
      <c r="K211" s="1295">
        <v>3000</v>
      </c>
    </row>
    <row r="212" spans="1:11" s="551" customFormat="1">
      <c r="A212" s="550"/>
      <c r="B212" s="528" t="s">
        <v>851</v>
      </c>
      <c r="C212" s="551">
        <v>1.1100000000000001</v>
      </c>
      <c r="D212" s="1296">
        <v>1.1100000000000001</v>
      </c>
      <c r="E212" s="1296">
        <v>1.1100000000000001</v>
      </c>
      <c r="F212" s="1296">
        <v>1.1100000000000001</v>
      </c>
      <c r="G212" s="1296">
        <v>1.1100000000000001</v>
      </c>
      <c r="H212" s="1296">
        <v>1.1100000000000001</v>
      </c>
      <c r="I212" s="1296">
        <v>1.1100000000000001</v>
      </c>
      <c r="J212" s="1296">
        <v>1.1100000000000001</v>
      </c>
      <c r="K212" s="1587">
        <v>1.1000000000000001</v>
      </c>
    </row>
    <row r="213" spans="1:11" s="551" customFormat="1">
      <c r="A213" s="550"/>
      <c r="B213" s="528" t="s">
        <v>852</v>
      </c>
      <c r="C213" s="551">
        <v>1.2</v>
      </c>
      <c r="D213" s="1296">
        <v>1.2</v>
      </c>
      <c r="E213" s="1296">
        <v>1.2</v>
      </c>
      <c r="F213" s="1296">
        <v>1.2</v>
      </c>
      <c r="G213" s="1296">
        <v>1.2</v>
      </c>
      <c r="H213" s="1296">
        <v>1.2</v>
      </c>
      <c r="I213" s="1296">
        <v>1.2</v>
      </c>
      <c r="J213" s="1296">
        <v>1.2</v>
      </c>
      <c r="K213" s="1587">
        <v>1.1000000000000001</v>
      </c>
    </row>
    <row r="214" spans="1:11" s="1284" customFormat="1">
      <c r="A214" s="1283"/>
      <c r="B214" s="596" t="s">
        <v>1467</v>
      </c>
      <c r="D214" s="1297">
        <v>28000</v>
      </c>
      <c r="E214" s="1297">
        <v>28000</v>
      </c>
      <c r="F214" s="1297">
        <v>28000</v>
      </c>
      <c r="G214" s="1297">
        <v>28000</v>
      </c>
      <c r="H214" s="1297">
        <v>28000</v>
      </c>
      <c r="I214" s="1297">
        <v>28000</v>
      </c>
      <c r="J214" s="1297">
        <v>28000</v>
      </c>
      <c r="K214" s="1297">
        <v>28000</v>
      </c>
    </row>
    <row r="215" spans="1:11" s="1284" customFormat="1">
      <c r="A215" s="1283"/>
      <c r="B215" s="596" t="s">
        <v>1468</v>
      </c>
      <c r="D215" s="1297">
        <v>1.1100000000000001</v>
      </c>
      <c r="E215" s="1297">
        <v>1.1100000000000001</v>
      </c>
      <c r="F215" s="1297">
        <v>1.1100000000000001</v>
      </c>
      <c r="G215" s="1297">
        <v>1.1100000000000001</v>
      </c>
      <c r="H215" s="1297">
        <v>1.1100000000000001</v>
      </c>
      <c r="I215" s="1297">
        <v>1.1100000000000001</v>
      </c>
      <c r="J215" s="1297">
        <v>1.1100000000000001</v>
      </c>
      <c r="K215" s="1587">
        <v>1.1000000000000001</v>
      </c>
    </row>
    <row r="216" spans="1:11" s="1284" customFormat="1">
      <c r="A216" s="1283"/>
      <c r="B216" s="596" t="s">
        <v>1469</v>
      </c>
      <c r="D216" s="1297">
        <v>1.1499999999999999</v>
      </c>
      <c r="E216" s="1297">
        <v>1.1499999999999999</v>
      </c>
      <c r="F216" s="1297">
        <v>1.1499999999999999</v>
      </c>
      <c r="G216" s="1297">
        <v>1.1499999999999999</v>
      </c>
      <c r="H216" s="1297">
        <v>1.1499999999999999</v>
      </c>
      <c r="I216" s="1297">
        <v>1.1499999999999999</v>
      </c>
      <c r="J216" s="1297">
        <v>1.1499999999999999</v>
      </c>
      <c r="K216" s="1587">
        <v>1.1000000000000001</v>
      </c>
    </row>
    <row r="217" spans="1:11" s="1284" customFormat="1">
      <c r="A217" s="1283"/>
      <c r="B217" s="596" t="s">
        <v>1470</v>
      </c>
      <c r="D217" s="1297">
        <v>15000</v>
      </c>
      <c r="E217" s="1297">
        <v>15000</v>
      </c>
      <c r="F217" s="1297">
        <v>15000</v>
      </c>
      <c r="G217" s="1297">
        <v>15000</v>
      </c>
      <c r="H217" s="1297">
        <v>15000</v>
      </c>
      <c r="I217" s="1297">
        <v>15000</v>
      </c>
      <c r="J217" s="1297">
        <v>15000</v>
      </c>
      <c r="K217" s="1297">
        <v>15000</v>
      </c>
    </row>
    <row r="218" spans="1:11" s="1284" customFormat="1">
      <c r="A218" s="1283"/>
      <c r="B218" s="596" t="s">
        <v>1471</v>
      </c>
      <c r="D218" s="1297">
        <v>1.1100000000000001</v>
      </c>
      <c r="E218" s="1297">
        <v>1.1100000000000001</v>
      </c>
      <c r="F218" s="1297">
        <v>1.1100000000000001</v>
      </c>
      <c r="G218" s="1297">
        <v>1.1100000000000001</v>
      </c>
      <c r="H218" s="1297">
        <v>1.1100000000000001</v>
      </c>
      <c r="I218" s="1297">
        <v>1.1100000000000001</v>
      </c>
      <c r="J218" s="1297">
        <v>1.1100000000000001</v>
      </c>
      <c r="K218" s="1587">
        <v>1.1000000000000001</v>
      </c>
    </row>
    <row r="219" spans="1:11" s="1284" customFormat="1">
      <c r="A219" s="1283"/>
      <c r="B219" s="596" t="s">
        <v>1472</v>
      </c>
      <c r="D219" s="1297">
        <v>1.2</v>
      </c>
      <c r="E219" s="1297">
        <v>1.2</v>
      </c>
      <c r="F219" s="1297">
        <v>1.2</v>
      </c>
      <c r="G219" s="1297">
        <v>1.2</v>
      </c>
      <c r="H219" s="1297">
        <v>1.2</v>
      </c>
      <c r="I219" s="1297">
        <v>1.2</v>
      </c>
      <c r="J219" s="1297">
        <v>1.2</v>
      </c>
      <c r="K219" s="1587">
        <v>1.1000000000000001</v>
      </c>
    </row>
    <row r="220" spans="1:11" s="1284" customFormat="1">
      <c r="A220" s="1283"/>
      <c r="B220" s="596" t="s">
        <v>1473</v>
      </c>
      <c r="D220" s="1297">
        <v>3000</v>
      </c>
      <c r="E220" s="1297">
        <v>3000</v>
      </c>
      <c r="F220" s="1297">
        <v>3000</v>
      </c>
      <c r="G220" s="1297">
        <v>3000</v>
      </c>
      <c r="H220" s="1297">
        <v>3000</v>
      </c>
      <c r="I220" s="1297">
        <v>3000</v>
      </c>
      <c r="J220" s="1297">
        <v>3000</v>
      </c>
      <c r="K220" s="1297">
        <v>3000</v>
      </c>
    </row>
    <row r="221" spans="1:11" s="1284" customFormat="1">
      <c r="A221" s="1283"/>
      <c r="B221" s="596" t="s">
        <v>1474</v>
      </c>
      <c r="D221" s="1297">
        <v>1.1100000000000001</v>
      </c>
      <c r="E221" s="1297">
        <v>1.1100000000000001</v>
      </c>
      <c r="F221" s="1297">
        <v>1.1100000000000001</v>
      </c>
      <c r="G221" s="1297">
        <v>1.1100000000000001</v>
      </c>
      <c r="H221" s="1297">
        <v>1.1100000000000001</v>
      </c>
      <c r="I221" s="1297">
        <v>1.1100000000000001</v>
      </c>
      <c r="J221" s="1297">
        <v>1.1100000000000001</v>
      </c>
      <c r="K221" s="1587">
        <v>1.1000000000000001</v>
      </c>
    </row>
    <row r="222" spans="1:11" s="1284" customFormat="1">
      <c r="A222" s="1283"/>
      <c r="B222" s="596" t="s">
        <v>1475</v>
      </c>
      <c r="D222" s="1297">
        <v>1.2</v>
      </c>
      <c r="E222" s="1297">
        <v>1.2</v>
      </c>
      <c r="F222" s="1297">
        <v>1.2</v>
      </c>
      <c r="G222" s="1297">
        <v>1.2</v>
      </c>
      <c r="H222" s="1297">
        <v>1.2</v>
      </c>
      <c r="I222" s="1297">
        <v>1.2</v>
      </c>
      <c r="J222" s="1297">
        <v>1.2</v>
      </c>
      <c r="K222" s="1587">
        <v>1.1000000000000001</v>
      </c>
    </row>
    <row r="223" spans="1:11" s="1284" customFormat="1">
      <c r="A223" s="1283"/>
      <c r="B223" s="596" t="s">
        <v>1476</v>
      </c>
      <c r="D223" s="1297">
        <v>2900</v>
      </c>
      <c r="E223" s="1297">
        <v>2900</v>
      </c>
      <c r="F223" s="1297">
        <v>2900</v>
      </c>
      <c r="G223" s="1297">
        <v>2900</v>
      </c>
      <c r="H223" s="1297">
        <v>2900</v>
      </c>
      <c r="I223" s="1297">
        <v>2900</v>
      </c>
      <c r="J223" s="1297">
        <v>2900</v>
      </c>
      <c r="K223" s="1297">
        <v>2900</v>
      </c>
    </row>
    <row r="224" spans="1:11" s="1284" customFormat="1">
      <c r="A224" s="1283"/>
      <c r="B224" s="596" t="s">
        <v>1477</v>
      </c>
      <c r="D224" s="1297">
        <v>1.1100000000000001</v>
      </c>
      <c r="E224" s="1297">
        <v>1.1100000000000001</v>
      </c>
      <c r="F224" s="1297">
        <v>1.1100000000000001</v>
      </c>
      <c r="G224" s="1297">
        <v>1.1100000000000001</v>
      </c>
      <c r="H224" s="1297">
        <v>1.1100000000000001</v>
      </c>
      <c r="I224" s="1297">
        <v>1.1100000000000001</v>
      </c>
      <c r="J224" s="1297">
        <v>1.1100000000000001</v>
      </c>
      <c r="K224" s="1587">
        <v>1.1000000000000001</v>
      </c>
    </row>
    <row r="225" spans="1:11" s="1284" customFormat="1">
      <c r="A225" s="1283"/>
      <c r="B225" s="596" t="s">
        <v>1478</v>
      </c>
      <c r="D225" s="1297">
        <v>1.2</v>
      </c>
      <c r="E225" s="1297">
        <v>1.2</v>
      </c>
      <c r="F225" s="1297">
        <v>1.2</v>
      </c>
      <c r="G225" s="1297">
        <v>1.2</v>
      </c>
      <c r="H225" s="1297">
        <v>1.2</v>
      </c>
      <c r="I225" s="1297">
        <v>1.2</v>
      </c>
      <c r="J225" s="1297">
        <v>1.2</v>
      </c>
      <c r="K225" s="1587">
        <v>1.1000000000000001</v>
      </c>
    </row>
    <row r="226" spans="1:11">
      <c r="A226" s="159"/>
      <c r="B226" s="527"/>
    </row>
    <row r="227" spans="1:11">
      <c r="A227" s="159">
        <v>2.41</v>
      </c>
      <c r="B227" s="527" t="s">
        <v>378</v>
      </c>
      <c r="C227" s="186">
        <v>38000</v>
      </c>
      <c r="D227" s="1297">
        <v>86900</v>
      </c>
      <c r="E227" s="1297">
        <v>86900</v>
      </c>
      <c r="F227" s="1297">
        <v>86900</v>
      </c>
      <c r="G227" s="1297">
        <v>86900</v>
      </c>
      <c r="H227" s="1297">
        <v>86900</v>
      </c>
      <c r="I227" s="1297">
        <v>86900</v>
      </c>
      <c r="J227" s="1297">
        <v>86900</v>
      </c>
      <c r="K227" s="1297">
        <v>86900</v>
      </c>
    </row>
    <row r="228" spans="1:11">
      <c r="A228" s="159">
        <v>2.42</v>
      </c>
      <c r="B228" s="527" t="s">
        <v>379</v>
      </c>
      <c r="C228" s="186">
        <v>42180</v>
      </c>
      <c r="D228" s="1297">
        <v>96459</v>
      </c>
      <c r="E228" s="1297">
        <v>96459</v>
      </c>
      <c r="F228" s="1297">
        <v>96459</v>
      </c>
      <c r="G228" s="1297">
        <v>96459</v>
      </c>
      <c r="H228" s="1297">
        <v>96459</v>
      </c>
      <c r="I228" s="1297">
        <v>96459</v>
      </c>
      <c r="J228" s="1297">
        <v>96459</v>
      </c>
      <c r="K228" s="1588">
        <v>95590</v>
      </c>
    </row>
    <row r="229" spans="1:11">
      <c r="A229" s="159">
        <v>2.4300000000000002</v>
      </c>
      <c r="B229" s="527" t="s">
        <v>380</v>
      </c>
      <c r="C229" s="186">
        <v>50616</v>
      </c>
      <c r="D229" s="1297">
        <v>114196.8</v>
      </c>
      <c r="E229" s="1297">
        <v>114196.8</v>
      </c>
      <c r="F229" s="1297">
        <v>114196.8</v>
      </c>
      <c r="G229" s="1297">
        <v>114196.8</v>
      </c>
      <c r="H229" s="1297">
        <v>114196.8</v>
      </c>
      <c r="I229" s="1297">
        <v>114196.8</v>
      </c>
      <c r="J229" s="1297">
        <v>114196.8</v>
      </c>
      <c r="K229" s="1588">
        <v>105149</v>
      </c>
    </row>
    <row r="230" spans="1:11">
      <c r="A230" s="159"/>
      <c r="B230" s="527"/>
    </row>
    <row r="231" spans="1:11">
      <c r="A231" s="159">
        <v>2.5</v>
      </c>
      <c r="B231" s="527" t="s">
        <v>83</v>
      </c>
      <c r="D231" s="1294"/>
      <c r="E231" s="1294"/>
      <c r="F231" s="1294"/>
      <c r="G231" s="1294"/>
      <c r="H231" s="1294"/>
      <c r="I231" s="1294"/>
      <c r="J231" s="1294"/>
      <c r="K231" s="1294"/>
    </row>
    <row r="232" spans="1:11" s="551" customFormat="1">
      <c r="A232" s="550"/>
      <c r="B232" s="528" t="s">
        <v>853</v>
      </c>
      <c r="C232" s="186">
        <v>5000</v>
      </c>
      <c r="D232" s="1295">
        <v>5000</v>
      </c>
      <c r="E232" s="1295">
        <v>5000</v>
      </c>
      <c r="F232" s="1334">
        <v>67500</v>
      </c>
      <c r="G232" s="1334">
        <v>67500</v>
      </c>
      <c r="H232" s="1334">
        <v>67500</v>
      </c>
      <c r="I232" s="1334">
        <v>67500</v>
      </c>
      <c r="J232" s="1334">
        <v>67500</v>
      </c>
      <c r="K232" s="1334">
        <v>67500</v>
      </c>
    </row>
    <row r="233" spans="1:11" s="551" customFormat="1">
      <c r="A233" s="550"/>
      <c r="B233" s="528" t="s">
        <v>854</v>
      </c>
      <c r="C233" s="551">
        <v>200</v>
      </c>
      <c r="D233" s="1296">
        <v>200</v>
      </c>
      <c r="E233" s="1333">
        <v>2000</v>
      </c>
      <c r="F233" s="1335">
        <v>1500</v>
      </c>
      <c r="G233" s="1335">
        <v>1500</v>
      </c>
      <c r="H233" s="1335">
        <v>1500</v>
      </c>
      <c r="I233" s="1335">
        <v>1500</v>
      </c>
      <c r="J233" s="1335">
        <v>1500</v>
      </c>
      <c r="K233" s="1335">
        <v>1500</v>
      </c>
    </row>
    <row r="234" spans="1:11" s="551" customFormat="1">
      <c r="A234" s="550"/>
      <c r="B234" s="528" t="s">
        <v>855</v>
      </c>
      <c r="C234" s="551">
        <v>1.1100000000000001</v>
      </c>
      <c r="D234" s="1296">
        <v>1.1100000000000001</v>
      </c>
      <c r="E234" s="1296">
        <v>1.1100000000000001</v>
      </c>
      <c r="F234" s="1296">
        <v>1.1100000000000001</v>
      </c>
      <c r="G234" s="1296">
        <v>1.1100000000000001</v>
      </c>
      <c r="H234" s="1296">
        <v>1.1100000000000001</v>
      </c>
      <c r="I234" s="1296">
        <v>1.1100000000000001</v>
      </c>
      <c r="J234" s="1296">
        <v>1.1100000000000001</v>
      </c>
      <c r="K234" s="1296">
        <v>1.1100000000000001</v>
      </c>
    </row>
    <row r="235" spans="1:11" s="551" customFormat="1">
      <c r="A235" s="550"/>
      <c r="B235" s="528" t="s">
        <v>856</v>
      </c>
      <c r="C235" s="551">
        <v>1.2</v>
      </c>
      <c r="D235" s="1296">
        <v>1.2</v>
      </c>
      <c r="E235" s="1296">
        <v>1.2</v>
      </c>
      <c r="F235" s="1296">
        <v>1.2</v>
      </c>
      <c r="G235" s="1296">
        <v>1.2</v>
      </c>
      <c r="H235" s="1296">
        <v>1.2</v>
      </c>
      <c r="I235" s="1296">
        <v>1.2</v>
      </c>
      <c r="J235" s="1296">
        <v>1.2</v>
      </c>
      <c r="K235" s="1296">
        <v>1.2</v>
      </c>
    </row>
    <row r="236" spans="1:11">
      <c r="A236" s="159"/>
      <c r="B236" s="527"/>
    </row>
    <row r="237" spans="1:11">
      <c r="A237" s="159">
        <v>2.5099999999999998</v>
      </c>
      <c r="B237" s="527" t="s">
        <v>381</v>
      </c>
      <c r="C237" s="186">
        <v>5000</v>
      </c>
      <c r="D237" s="1295">
        <v>5000</v>
      </c>
      <c r="E237" s="1295">
        <v>5000</v>
      </c>
      <c r="F237" s="1334">
        <v>67500</v>
      </c>
      <c r="G237" s="1334">
        <v>67500</v>
      </c>
      <c r="H237" s="1334">
        <v>67500</v>
      </c>
      <c r="I237" s="1334">
        <v>67500</v>
      </c>
      <c r="J237" s="1334">
        <v>67500</v>
      </c>
      <c r="K237" s="1334">
        <v>67500</v>
      </c>
    </row>
    <row r="238" spans="1:11">
      <c r="A238" s="159">
        <v>2.52</v>
      </c>
      <c r="B238" s="527" t="s">
        <v>382</v>
      </c>
      <c r="C238" s="186">
        <v>5550</v>
      </c>
      <c r="D238" s="1295">
        <v>5550</v>
      </c>
      <c r="E238" s="1295">
        <v>5550</v>
      </c>
      <c r="F238" s="1334">
        <v>74925</v>
      </c>
      <c r="G238" s="1334">
        <v>74925</v>
      </c>
      <c r="H238" s="1334">
        <v>74925</v>
      </c>
      <c r="I238" s="1334">
        <v>74925</v>
      </c>
      <c r="J238" s="1334">
        <v>74925</v>
      </c>
      <c r="K238" s="1334">
        <v>74925</v>
      </c>
    </row>
    <row r="239" spans="1:11">
      <c r="A239" s="159">
        <v>2.5299999999999998</v>
      </c>
      <c r="B239" s="527" t="s">
        <v>383</v>
      </c>
      <c r="C239" s="186">
        <v>6660</v>
      </c>
      <c r="D239" s="1295">
        <v>6660</v>
      </c>
      <c r="E239" s="1295">
        <v>6660</v>
      </c>
      <c r="F239" s="1334">
        <v>89910</v>
      </c>
      <c r="G239" s="1334">
        <v>89910</v>
      </c>
      <c r="H239" s="1334">
        <v>89910</v>
      </c>
      <c r="I239" s="1334">
        <v>89910</v>
      </c>
      <c r="J239" s="1334">
        <v>89910</v>
      </c>
      <c r="K239" s="1334">
        <v>89910</v>
      </c>
    </row>
    <row r="240" spans="1:11">
      <c r="A240" s="159"/>
      <c r="B240" s="527"/>
    </row>
    <row r="241" spans="1:11">
      <c r="A241" s="159">
        <v>2.6</v>
      </c>
      <c r="B241" s="527" t="s">
        <v>335</v>
      </c>
      <c r="D241" s="1294"/>
      <c r="E241" s="1294"/>
      <c r="F241" s="1294"/>
      <c r="G241" s="1294"/>
      <c r="H241" s="1294"/>
      <c r="I241" s="1294"/>
      <c r="J241" s="1294"/>
      <c r="K241" s="1294"/>
    </row>
    <row r="242" spans="1:11" s="551" customFormat="1">
      <c r="A242" s="550"/>
      <c r="B242" s="528" t="s">
        <v>857</v>
      </c>
      <c r="C242" s="186">
        <v>40000</v>
      </c>
      <c r="D242" s="1295">
        <v>40000</v>
      </c>
      <c r="E242" s="1295">
        <v>40000</v>
      </c>
      <c r="F242" s="1295">
        <v>40000</v>
      </c>
      <c r="G242" s="1295">
        <v>40000</v>
      </c>
      <c r="H242" s="1295">
        <v>40000</v>
      </c>
      <c r="I242" s="1295">
        <v>40000</v>
      </c>
      <c r="J242" s="1295">
        <v>40000</v>
      </c>
      <c r="K242" s="1295">
        <v>40000</v>
      </c>
    </row>
    <row r="243" spans="1:11" s="551" customFormat="1">
      <c r="A243" s="550"/>
      <c r="B243" s="528" t="s">
        <v>858</v>
      </c>
      <c r="C243" s="551">
        <v>0.1</v>
      </c>
      <c r="D243" s="1296">
        <v>0.1</v>
      </c>
      <c r="E243" s="1333">
        <v>0.04</v>
      </c>
      <c r="F243" s="1333">
        <v>0.04</v>
      </c>
      <c r="G243" s="1333">
        <v>0.04</v>
      </c>
      <c r="H243" s="1333">
        <v>0.04</v>
      </c>
      <c r="I243" s="1333">
        <v>0.04</v>
      </c>
      <c r="J243" s="1333">
        <v>0.04</v>
      </c>
      <c r="K243" s="1333">
        <v>0.04</v>
      </c>
    </row>
    <row r="244" spans="1:11" s="551" customFormat="1">
      <c r="A244" s="550"/>
      <c r="B244" s="528" t="s">
        <v>859</v>
      </c>
      <c r="C244" s="551">
        <v>36</v>
      </c>
      <c r="D244" s="1296">
        <v>36</v>
      </c>
      <c r="E244" s="1296">
        <v>36</v>
      </c>
      <c r="F244" s="1296">
        <v>36</v>
      </c>
      <c r="G244" s="1296">
        <v>36</v>
      </c>
      <c r="H244" s="1296">
        <v>36</v>
      </c>
      <c r="I244" s="1296">
        <v>36</v>
      </c>
      <c r="J244" s="1296">
        <v>36</v>
      </c>
      <c r="K244" s="1296">
        <v>36</v>
      </c>
    </row>
    <row r="245" spans="1:11" s="551" customFormat="1">
      <c r="A245" s="550"/>
      <c r="B245" s="528" t="s">
        <v>860</v>
      </c>
      <c r="C245" s="551">
        <v>12</v>
      </c>
      <c r="D245" s="1296">
        <v>12</v>
      </c>
      <c r="E245" s="1296">
        <v>12</v>
      </c>
      <c r="F245" s="1296">
        <v>12</v>
      </c>
      <c r="G245" s="1296">
        <v>12</v>
      </c>
      <c r="H245" s="1296">
        <v>12</v>
      </c>
      <c r="I245" s="1296">
        <v>12</v>
      </c>
      <c r="J245" s="1296">
        <v>12</v>
      </c>
      <c r="K245" s="1296">
        <v>12</v>
      </c>
    </row>
    <row r="246" spans="1:11" s="551" customFormat="1">
      <c r="A246" s="550"/>
      <c r="B246" s="528" t="s">
        <v>861</v>
      </c>
      <c r="C246" s="551" t="s">
        <v>371</v>
      </c>
      <c r="D246" s="1296" t="s">
        <v>371</v>
      </c>
      <c r="E246" s="1296" t="s">
        <v>371</v>
      </c>
      <c r="F246" s="1296" t="s">
        <v>371</v>
      </c>
      <c r="G246" s="1296" t="s">
        <v>371</v>
      </c>
      <c r="H246" s="1296" t="s">
        <v>371</v>
      </c>
      <c r="I246" s="1296" t="s">
        <v>371</v>
      </c>
      <c r="J246" s="1296" t="s">
        <v>371</v>
      </c>
      <c r="K246" s="1296" t="s">
        <v>371</v>
      </c>
    </row>
    <row r="247" spans="1:11">
      <c r="A247" s="159"/>
      <c r="B247" s="527"/>
    </row>
    <row r="248" spans="1:11">
      <c r="A248" s="159">
        <v>2.61</v>
      </c>
      <c r="B248" s="527" t="s">
        <v>384</v>
      </c>
      <c r="C248" s="186">
        <v>15391.3</v>
      </c>
      <c r="D248" s="1295">
        <v>15391.3</v>
      </c>
      <c r="E248" s="1332">
        <v>14156.25</v>
      </c>
      <c r="F248" s="1332">
        <v>14156.25</v>
      </c>
      <c r="G248" s="1332">
        <v>14156.25</v>
      </c>
      <c r="H248" s="1332">
        <v>14156.25</v>
      </c>
      <c r="I248" s="1332">
        <v>14156.25</v>
      </c>
      <c r="J248" s="1332">
        <v>14156.25</v>
      </c>
      <c r="K248" s="1332">
        <v>14156.25</v>
      </c>
    </row>
    <row r="249" spans="1:11">
      <c r="A249" s="159">
        <v>2.62</v>
      </c>
      <c r="B249" s="527" t="s">
        <v>386</v>
      </c>
      <c r="C249" s="186">
        <v>15391.3</v>
      </c>
      <c r="D249" s="1295">
        <v>15391.3</v>
      </c>
      <c r="E249" s="1332">
        <v>14156.25</v>
      </c>
      <c r="F249" s="1332">
        <v>14156.25</v>
      </c>
      <c r="G249" s="1332">
        <v>14156.25</v>
      </c>
      <c r="H249" s="1332">
        <v>14156.25</v>
      </c>
      <c r="I249" s="1332">
        <v>14156.25</v>
      </c>
      <c r="J249" s="1332">
        <v>14156.25</v>
      </c>
      <c r="K249" s="1332">
        <v>14156.25</v>
      </c>
    </row>
    <row r="250" spans="1:11">
      <c r="A250" s="159">
        <v>2.63</v>
      </c>
      <c r="B250" s="528" t="s">
        <v>385</v>
      </c>
      <c r="C250" s="186">
        <v>15391.3</v>
      </c>
      <c r="D250" s="1295">
        <v>15391.3</v>
      </c>
      <c r="E250" s="1332">
        <v>14156.25</v>
      </c>
      <c r="F250" s="1332">
        <v>14156.25</v>
      </c>
      <c r="G250" s="1332">
        <v>14156.25</v>
      </c>
      <c r="H250" s="1332">
        <v>14156.25</v>
      </c>
      <c r="I250" s="1332">
        <v>14156.25</v>
      </c>
      <c r="J250" s="1332">
        <v>14156.25</v>
      </c>
      <c r="K250" s="1332">
        <v>14156.25</v>
      </c>
    </row>
    <row r="251" spans="1:11">
      <c r="A251" s="159">
        <v>2.64</v>
      </c>
      <c r="B251" s="528" t="s">
        <v>682</v>
      </c>
      <c r="C251" s="186">
        <v>40000</v>
      </c>
      <c r="D251" s="1295">
        <v>40000</v>
      </c>
      <c r="E251" s="1295">
        <v>40000</v>
      </c>
      <c r="F251" s="1295">
        <v>40000</v>
      </c>
      <c r="G251" s="1295">
        <v>40000</v>
      </c>
      <c r="H251" s="1295">
        <v>40000</v>
      </c>
      <c r="I251" s="1295">
        <v>40000</v>
      </c>
      <c r="J251" s="1295">
        <v>40000</v>
      </c>
      <c r="K251" s="1295">
        <v>40000</v>
      </c>
    </row>
    <row r="252" spans="1:11">
      <c r="A252" s="159"/>
      <c r="B252" s="528"/>
      <c r="C252" s="186"/>
      <c r="D252" s="186"/>
      <c r="E252" s="186"/>
      <c r="F252" s="186"/>
      <c r="G252" s="186"/>
      <c r="H252" s="186"/>
    </row>
    <row r="253" spans="1:11">
      <c r="A253" s="1034">
        <v>2.7</v>
      </c>
      <c r="B253" s="547" t="s">
        <v>76</v>
      </c>
      <c r="C253" s="186"/>
      <c r="D253" s="1295"/>
      <c r="E253" s="1295"/>
      <c r="F253" s="1295"/>
      <c r="G253" s="1295"/>
      <c r="H253" s="1295"/>
      <c r="I253" s="1294"/>
      <c r="J253" s="1294"/>
      <c r="K253" s="1294"/>
    </row>
    <row r="254" spans="1:11" s="548" customFormat="1">
      <c r="A254" s="1035">
        <v>2.7010000000000001</v>
      </c>
      <c r="B254" s="549" t="s">
        <v>862</v>
      </c>
      <c r="C254" s="548">
        <v>0.05</v>
      </c>
      <c r="D254" s="1298">
        <v>0.05</v>
      </c>
      <c r="E254" s="1298">
        <v>0.05</v>
      </c>
      <c r="F254" s="1298">
        <v>0.05</v>
      </c>
      <c r="G254" s="1298">
        <v>0.05</v>
      </c>
      <c r="H254" s="1298">
        <v>0.05</v>
      </c>
      <c r="I254" s="1298">
        <v>0.05</v>
      </c>
      <c r="J254" s="1298">
        <v>0.05</v>
      </c>
      <c r="K254" s="1298">
        <v>0.05</v>
      </c>
    </row>
    <row r="255" spans="1:11">
      <c r="A255" s="1035">
        <v>2.71</v>
      </c>
      <c r="B255" s="528" t="s">
        <v>462</v>
      </c>
      <c r="C255" s="186">
        <v>2625</v>
      </c>
      <c r="D255" s="1295">
        <v>2625</v>
      </c>
      <c r="E255" s="1295">
        <v>2625</v>
      </c>
      <c r="F255" s="1295">
        <v>2625</v>
      </c>
      <c r="G255" s="1295">
        <v>2625</v>
      </c>
      <c r="H255" s="1295">
        <v>2625</v>
      </c>
      <c r="I255" s="1295">
        <v>2625</v>
      </c>
      <c r="J255" s="1295">
        <v>2625</v>
      </c>
      <c r="K255" s="1295">
        <v>2625</v>
      </c>
    </row>
    <row r="256" spans="1:11" s="548" customFormat="1">
      <c r="A256" s="1035">
        <v>2.7109999999999999</v>
      </c>
      <c r="B256" s="549" t="s">
        <v>863</v>
      </c>
      <c r="C256" s="548">
        <v>9.5000000000000001E-2</v>
      </c>
      <c r="D256" s="1298">
        <v>9.5000000000000001E-2</v>
      </c>
      <c r="E256" s="1298">
        <v>9.5000000000000001E-2</v>
      </c>
      <c r="F256" s="1298">
        <v>9.5000000000000001E-2</v>
      </c>
      <c r="G256" s="1298">
        <v>9.5000000000000001E-2</v>
      </c>
      <c r="H256" s="1298">
        <v>9.5000000000000001E-2</v>
      </c>
      <c r="I256" s="1298">
        <v>9.5000000000000001E-2</v>
      </c>
      <c r="J256" s="1298">
        <v>9.5000000000000001E-2</v>
      </c>
      <c r="K256" s="1298">
        <v>9.5000000000000001E-2</v>
      </c>
    </row>
    <row r="257" spans="1:11">
      <c r="A257" s="1035">
        <v>2.72</v>
      </c>
      <c r="B257" s="528" t="s">
        <v>463</v>
      </c>
      <c r="C257" s="186">
        <v>4987.5</v>
      </c>
      <c r="D257" s="1295">
        <v>4987.5</v>
      </c>
      <c r="E257" s="1295">
        <v>4987.5</v>
      </c>
      <c r="F257" s="1295">
        <v>4987.5</v>
      </c>
      <c r="G257" s="1295">
        <v>4987.5</v>
      </c>
      <c r="H257" s="1295">
        <v>4987.5</v>
      </c>
      <c r="I257" s="1295">
        <v>4987.5</v>
      </c>
      <c r="J257" s="1295">
        <v>4987.5</v>
      </c>
      <c r="K257" s="1295">
        <v>4987.5</v>
      </c>
    </row>
    <row r="258" spans="1:11" s="548" customFormat="1">
      <c r="A258" s="1035">
        <v>2.7210000000000001</v>
      </c>
      <c r="B258" s="549" t="s">
        <v>864</v>
      </c>
      <c r="C258" s="548">
        <v>8.5500000000000007E-2</v>
      </c>
      <c r="D258" s="1298">
        <v>8.5500000000000007E-2</v>
      </c>
      <c r="E258" s="1298">
        <v>8.5500000000000007E-2</v>
      </c>
      <c r="F258" s="1298">
        <v>8.5500000000000007E-2</v>
      </c>
      <c r="G258" s="1298">
        <v>8.5500000000000007E-2</v>
      </c>
      <c r="H258" s="1298">
        <v>8.5500000000000007E-2</v>
      </c>
      <c r="I258" s="1298">
        <v>8.5500000000000007E-2</v>
      </c>
      <c r="J258" s="1298">
        <v>8.5500000000000007E-2</v>
      </c>
      <c r="K258" s="1298">
        <v>8.5500000000000007E-2</v>
      </c>
    </row>
    <row r="259" spans="1:11">
      <c r="A259" s="1035">
        <v>2.73</v>
      </c>
      <c r="B259" s="528" t="s">
        <v>464</v>
      </c>
      <c r="C259" s="186">
        <v>4488.75</v>
      </c>
      <c r="D259" s="1295">
        <v>4488.75</v>
      </c>
      <c r="E259" s="1295">
        <v>4488.75</v>
      </c>
      <c r="F259" s="1295">
        <v>4488.75</v>
      </c>
      <c r="G259" s="1295">
        <v>4488.75</v>
      </c>
      <c r="H259" s="1295">
        <v>4488.75</v>
      </c>
      <c r="I259" s="1295">
        <v>4488.75</v>
      </c>
      <c r="J259" s="1295">
        <v>4488.75</v>
      </c>
      <c r="K259" s="1295">
        <v>4488.75</v>
      </c>
    </row>
    <row r="260" spans="1:11">
      <c r="A260" s="159"/>
      <c r="B260" s="528"/>
      <c r="C260" s="186"/>
      <c r="D260" s="186"/>
      <c r="E260" s="186"/>
      <c r="F260" s="186"/>
      <c r="G260" s="186"/>
      <c r="H260" s="186"/>
    </row>
    <row r="261" spans="1:11">
      <c r="A261" s="159">
        <v>2.8</v>
      </c>
      <c r="B261" s="528" t="s">
        <v>626</v>
      </c>
      <c r="C261" s="186"/>
      <c r="D261" s="1295"/>
      <c r="E261" s="1295"/>
      <c r="F261" s="1295"/>
      <c r="G261" s="1295"/>
      <c r="H261" s="1295"/>
      <c r="I261" s="1294"/>
      <c r="J261" s="1294"/>
      <c r="K261" s="1294"/>
    </row>
    <row r="262" spans="1:11">
      <c r="A262" s="159"/>
      <c r="B262" s="528" t="s">
        <v>865</v>
      </c>
      <c r="C262" s="186">
        <v>0.05</v>
      </c>
      <c r="D262" s="1295">
        <v>0.05</v>
      </c>
      <c r="E262" s="1295">
        <v>0.05</v>
      </c>
      <c r="F262" s="1295">
        <v>0.05</v>
      </c>
      <c r="G262" s="1295">
        <v>0.05</v>
      </c>
      <c r="H262" s="1295">
        <v>0.05</v>
      </c>
      <c r="I262" s="1295">
        <v>0.05</v>
      </c>
      <c r="J262" s="1295">
        <v>0.05</v>
      </c>
      <c r="K262" s="1295">
        <v>0.05</v>
      </c>
    </row>
    <row r="263" spans="1:11">
      <c r="A263" s="159"/>
      <c r="B263" s="528" t="s">
        <v>866</v>
      </c>
      <c r="C263" s="186">
        <v>0.01</v>
      </c>
      <c r="D263" s="1295">
        <v>0.01</v>
      </c>
      <c r="E263" s="1295">
        <v>0.01</v>
      </c>
      <c r="F263" s="1295">
        <v>0.01</v>
      </c>
      <c r="G263" s="1295">
        <v>0.01</v>
      </c>
      <c r="H263" s="1295">
        <v>0.01</v>
      </c>
      <c r="I263" s="1295">
        <v>0.01</v>
      </c>
      <c r="J263" s="1295">
        <v>0.01</v>
      </c>
      <c r="K263" s="1295">
        <v>0.01</v>
      </c>
    </row>
    <row r="264" spans="1:11">
      <c r="A264" s="159"/>
      <c r="B264" s="528"/>
    </row>
    <row r="265" spans="1:11">
      <c r="A265" s="159">
        <v>3.1</v>
      </c>
      <c r="B265" s="527" t="s">
        <v>343</v>
      </c>
      <c r="D265" s="1294"/>
      <c r="E265" s="1294"/>
      <c r="F265" s="1294"/>
      <c r="G265" s="1294"/>
      <c r="H265" s="1294"/>
      <c r="I265" s="1294"/>
      <c r="J265" s="1294"/>
      <c r="K265" s="1294"/>
    </row>
    <row r="266" spans="1:11" s="551" customFormat="1">
      <c r="A266" s="550">
        <v>3.11</v>
      </c>
      <c r="B266" s="528" t="s">
        <v>867</v>
      </c>
      <c r="C266" s="551">
        <v>0.35</v>
      </c>
      <c r="D266" s="1296">
        <v>0.35</v>
      </c>
      <c r="E266" s="1333">
        <v>0.25</v>
      </c>
      <c r="F266" s="1333">
        <v>0.25</v>
      </c>
      <c r="G266" s="1333">
        <v>0.25</v>
      </c>
      <c r="H266" s="1333">
        <v>0.25</v>
      </c>
      <c r="I266" s="1333">
        <v>0.25</v>
      </c>
      <c r="J266" s="1333">
        <v>0.25</v>
      </c>
      <c r="K266" s="1333">
        <v>0.25</v>
      </c>
    </row>
    <row r="268" spans="1:11">
      <c r="A268" s="159">
        <v>3.2</v>
      </c>
      <c r="B268" s="527" t="s">
        <v>361</v>
      </c>
      <c r="D268" s="1294"/>
      <c r="E268" s="1294"/>
      <c r="F268" s="1294"/>
      <c r="G268" s="1294"/>
      <c r="H268" s="1294"/>
      <c r="I268" s="1294"/>
      <c r="J268" s="1294"/>
      <c r="K268" s="1294"/>
    </row>
    <row r="269" spans="1:11">
      <c r="A269" s="159"/>
      <c r="B269" s="527"/>
    </row>
    <row r="270" spans="1:11">
      <c r="A270" s="159">
        <v>3.21</v>
      </c>
      <c r="B270" s="527" t="s">
        <v>387</v>
      </c>
      <c r="D270" s="1294"/>
      <c r="E270" s="1294"/>
      <c r="F270" s="1294"/>
      <c r="G270" s="1294"/>
      <c r="H270" s="1294"/>
      <c r="I270" s="1294"/>
      <c r="J270" s="1294"/>
      <c r="K270" s="1294"/>
    </row>
    <row r="271" spans="1:11">
      <c r="A271" s="159"/>
      <c r="B271" s="527"/>
    </row>
    <row r="272" spans="1:11">
      <c r="A272" s="159">
        <v>4.0999999999999996</v>
      </c>
      <c r="B272" s="527" t="s">
        <v>362</v>
      </c>
      <c r="D272" s="1294"/>
      <c r="E272" s="1294"/>
      <c r="F272" s="1294"/>
      <c r="G272" s="1294"/>
      <c r="H272" s="1294"/>
      <c r="I272" s="1294"/>
      <c r="J272" s="1294"/>
      <c r="K272" s="1294"/>
    </row>
    <row r="273" spans="1:11" s="551" customFormat="1">
      <c r="A273" s="550"/>
      <c r="B273" s="528" t="s">
        <v>868</v>
      </c>
      <c r="C273" s="551" t="s">
        <v>410</v>
      </c>
      <c r="D273" s="1296" t="s">
        <v>410</v>
      </c>
      <c r="E273" s="1296" t="s">
        <v>410</v>
      </c>
      <c r="F273" s="1296" t="s">
        <v>410</v>
      </c>
      <c r="G273" s="1296" t="s">
        <v>410</v>
      </c>
      <c r="H273" s="1296" t="s">
        <v>410</v>
      </c>
      <c r="I273" s="1296" t="s">
        <v>410</v>
      </c>
      <c r="J273" s="1296" t="s">
        <v>410</v>
      </c>
      <c r="K273" s="1296" t="s">
        <v>410</v>
      </c>
    </row>
    <row r="274" spans="1:11" s="551" customFormat="1">
      <c r="A274" s="550"/>
      <c r="B274" s="528" t="s">
        <v>869</v>
      </c>
      <c r="C274" s="551" t="s">
        <v>69</v>
      </c>
      <c r="D274" s="1296" t="s">
        <v>69</v>
      </c>
      <c r="E274" s="1296" t="s">
        <v>69</v>
      </c>
      <c r="F274" s="1296" t="s">
        <v>69</v>
      </c>
      <c r="G274" s="1296" t="s">
        <v>69</v>
      </c>
      <c r="H274" s="1296" t="s">
        <v>69</v>
      </c>
      <c r="I274" s="1296" t="s">
        <v>69</v>
      </c>
      <c r="J274" s="1296" t="s">
        <v>69</v>
      </c>
      <c r="K274" s="1296" t="s">
        <v>69</v>
      </c>
    </row>
    <row r="275" spans="1:11" s="551" customFormat="1">
      <c r="A275" s="550"/>
      <c r="B275" s="528" t="s">
        <v>870</v>
      </c>
      <c r="C275" s="551">
        <v>0.56000000000000005</v>
      </c>
      <c r="D275" s="1299">
        <v>0.36</v>
      </c>
      <c r="E275" s="1302">
        <v>0.36</v>
      </c>
      <c r="F275" s="1302">
        <v>0.36</v>
      </c>
      <c r="G275" s="1299">
        <v>0.36</v>
      </c>
      <c r="H275" s="1299">
        <v>0.36</v>
      </c>
      <c r="I275" s="1302">
        <v>0.36</v>
      </c>
      <c r="J275" s="1302">
        <v>0.36</v>
      </c>
      <c r="K275" s="1299">
        <v>0.36</v>
      </c>
    </row>
    <row r="276" spans="1:11" s="551" customFormat="1">
      <c r="A276" s="550"/>
      <c r="B276" s="528" t="s">
        <v>871</v>
      </c>
      <c r="C276" s="551">
        <v>0.3</v>
      </c>
      <c r="D276" s="1299">
        <v>0.24</v>
      </c>
      <c r="E276" s="1302">
        <v>0.24</v>
      </c>
      <c r="F276" s="1302">
        <v>0.24</v>
      </c>
      <c r="G276" s="1299">
        <v>0.24</v>
      </c>
      <c r="H276" s="1299">
        <v>0.24</v>
      </c>
      <c r="I276" s="1302">
        <v>0.24</v>
      </c>
      <c r="J276" s="1302">
        <v>0.24</v>
      </c>
      <c r="K276" s="1299">
        <v>0.24</v>
      </c>
    </row>
    <row r="277" spans="1:11" s="551" customFormat="1">
      <c r="A277" s="550"/>
      <c r="B277" s="528" t="s">
        <v>872</v>
      </c>
      <c r="C277" s="551">
        <v>0.3</v>
      </c>
      <c r="D277" s="1299">
        <v>0.33</v>
      </c>
      <c r="E277" s="1302">
        <v>0.33</v>
      </c>
      <c r="F277" s="1302">
        <v>0.33</v>
      </c>
      <c r="G277" s="1299">
        <v>0.33</v>
      </c>
      <c r="H277" s="1299">
        <v>0.33</v>
      </c>
      <c r="I277" s="1302">
        <v>0.33</v>
      </c>
      <c r="J277" s="1302">
        <v>0.33</v>
      </c>
      <c r="K277" s="1299">
        <v>0.33</v>
      </c>
    </row>
    <row r="278" spans="1:11" s="551" customFormat="1">
      <c r="A278" s="550"/>
      <c r="B278" s="528" t="s">
        <v>873</v>
      </c>
      <c r="C278" s="186">
        <v>4</v>
      </c>
      <c r="D278" s="1300">
        <v>4.49</v>
      </c>
      <c r="E278" s="1297">
        <v>4.49</v>
      </c>
      <c r="F278" s="1297">
        <v>4.49</v>
      </c>
      <c r="G278" s="1300">
        <v>4.49</v>
      </c>
      <c r="H278" s="1300">
        <v>4.49</v>
      </c>
      <c r="I278" s="1297">
        <v>4.49</v>
      </c>
      <c r="J278" s="1297">
        <v>4.49</v>
      </c>
      <c r="K278" s="1300">
        <v>4.49</v>
      </c>
    </row>
    <row r="279" spans="1:11" s="551" customFormat="1">
      <c r="A279" s="550"/>
      <c r="B279" s="528" t="s">
        <v>874</v>
      </c>
      <c r="C279" s="551">
        <v>1</v>
      </c>
      <c r="D279" s="1296">
        <v>1</v>
      </c>
      <c r="E279" s="1296">
        <v>1</v>
      </c>
      <c r="F279" s="1296">
        <v>1</v>
      </c>
      <c r="G279" s="1296">
        <v>1</v>
      </c>
      <c r="H279" s="1296">
        <v>1</v>
      </c>
      <c r="I279" s="1296">
        <v>1</v>
      </c>
      <c r="J279" s="1296">
        <v>1</v>
      </c>
      <c r="K279" s="1296">
        <v>1</v>
      </c>
    </row>
    <row r="280" spans="1:11" s="551" customFormat="1">
      <c r="A280" s="550"/>
      <c r="B280" s="528" t="s">
        <v>875</v>
      </c>
      <c r="C280" s="551">
        <v>0.8</v>
      </c>
      <c r="D280" s="1296">
        <v>0.8</v>
      </c>
      <c r="E280" s="1296">
        <v>0.8</v>
      </c>
      <c r="F280" s="1296">
        <v>0.8</v>
      </c>
      <c r="G280" s="1296">
        <v>0.8</v>
      </c>
      <c r="H280" s="1296">
        <v>0.8</v>
      </c>
      <c r="I280" s="1296">
        <v>0.8</v>
      </c>
      <c r="J280" s="1296">
        <v>0.8</v>
      </c>
      <c r="K280" s="1296">
        <v>0.8</v>
      </c>
    </row>
    <row r="281" spans="1:11" s="551" customFormat="1">
      <c r="A281" s="550"/>
      <c r="B281" s="528" t="s">
        <v>876</v>
      </c>
      <c r="C281" s="551">
        <v>1.05</v>
      </c>
      <c r="D281" s="1296">
        <v>1.05</v>
      </c>
      <c r="E281" s="1296">
        <v>1.05</v>
      </c>
      <c r="F281" s="1296">
        <v>1.05</v>
      </c>
      <c r="G281" s="1296">
        <v>1.05</v>
      </c>
      <c r="H281" s="1296">
        <v>1.05</v>
      </c>
      <c r="I281" s="1296">
        <v>1.05</v>
      </c>
      <c r="J281" s="1296">
        <v>1.05</v>
      </c>
      <c r="K281" s="1296">
        <v>1.05</v>
      </c>
    </row>
    <row r="282" spans="1:11" s="551" customFormat="1">
      <c r="A282" s="550"/>
      <c r="B282" s="528" t="s">
        <v>877</v>
      </c>
      <c r="C282" s="551">
        <v>1.3</v>
      </c>
      <c r="D282" s="1296">
        <v>1.3</v>
      </c>
      <c r="E282" s="1296">
        <v>1.3</v>
      </c>
      <c r="F282" s="1296">
        <v>1.3</v>
      </c>
      <c r="G282" s="1296">
        <v>1.3</v>
      </c>
      <c r="H282" s="1296">
        <v>1.3</v>
      </c>
      <c r="I282" s="1296">
        <v>1.3</v>
      </c>
      <c r="J282" s="1296">
        <v>1.3</v>
      </c>
      <c r="K282" s="1296">
        <v>1.3</v>
      </c>
    </row>
    <row r="283" spans="1:11" s="551" customFormat="1">
      <c r="A283" s="550"/>
      <c r="B283" s="528" t="s">
        <v>878</v>
      </c>
      <c r="C283" s="551">
        <v>0</v>
      </c>
      <c r="D283" s="1296">
        <v>0</v>
      </c>
      <c r="E283" s="1296">
        <v>0</v>
      </c>
      <c r="F283" s="1296">
        <v>0</v>
      </c>
      <c r="G283" s="1296">
        <v>0</v>
      </c>
      <c r="H283" s="1296">
        <v>0</v>
      </c>
      <c r="I283" s="1296">
        <v>0</v>
      </c>
      <c r="J283" s="1296">
        <v>0</v>
      </c>
      <c r="K283" s="1296">
        <v>0</v>
      </c>
    </row>
    <row r="284" spans="1:11" s="551" customFormat="1">
      <c r="A284" s="550"/>
      <c r="B284" s="528" t="s">
        <v>879</v>
      </c>
      <c r="C284" s="551">
        <v>0</v>
      </c>
      <c r="D284" s="1296">
        <v>0</v>
      </c>
      <c r="E284" s="1296">
        <v>0</v>
      </c>
      <c r="F284" s="1296">
        <v>0</v>
      </c>
      <c r="G284" s="1296">
        <v>0</v>
      </c>
      <c r="H284" s="1296">
        <v>0</v>
      </c>
      <c r="I284" s="1296">
        <v>0</v>
      </c>
      <c r="J284" s="1296">
        <v>0</v>
      </c>
      <c r="K284" s="1296">
        <v>0</v>
      </c>
    </row>
    <row r="285" spans="1:11" s="551" customFormat="1">
      <c r="A285" s="550"/>
      <c r="B285" s="528" t="s">
        <v>880</v>
      </c>
      <c r="C285" s="551" t="s">
        <v>410</v>
      </c>
      <c r="D285" s="1296" t="s">
        <v>410</v>
      </c>
      <c r="E285" s="1296" t="s">
        <v>410</v>
      </c>
      <c r="F285" s="1296" t="s">
        <v>410</v>
      </c>
      <c r="G285" s="1296" t="s">
        <v>410</v>
      </c>
      <c r="H285" s="1296" t="s">
        <v>410</v>
      </c>
      <c r="I285" s="1296" t="s">
        <v>410</v>
      </c>
      <c r="J285" s="1296" t="s">
        <v>410</v>
      </c>
      <c r="K285" s="1296" t="s">
        <v>410</v>
      </c>
    </row>
    <row r="286" spans="1:11" s="551" customFormat="1">
      <c r="A286" s="550"/>
      <c r="B286" s="528" t="s">
        <v>881</v>
      </c>
      <c r="C286" s="551" t="s">
        <v>68</v>
      </c>
      <c r="D286" s="1296" t="s">
        <v>68</v>
      </c>
      <c r="E286" s="1296" t="s">
        <v>68</v>
      </c>
      <c r="F286" s="1296" t="s">
        <v>68</v>
      </c>
      <c r="G286" s="1296" t="s">
        <v>68</v>
      </c>
      <c r="H286" s="1296" t="s">
        <v>68</v>
      </c>
      <c r="I286" s="1296" t="s">
        <v>68</v>
      </c>
      <c r="J286" s="1296" t="s">
        <v>68</v>
      </c>
      <c r="K286" s="1296" t="s">
        <v>68</v>
      </c>
    </row>
    <row r="287" spans="1:11" s="551" customFormat="1">
      <c r="A287" s="550"/>
      <c r="B287" s="528" t="s">
        <v>882</v>
      </c>
      <c r="C287" s="551">
        <v>0.5</v>
      </c>
      <c r="D287" s="1299">
        <v>0.4</v>
      </c>
      <c r="E287" s="1302">
        <v>0.4</v>
      </c>
      <c r="F287" s="1302">
        <v>0.4</v>
      </c>
      <c r="G287" s="1299">
        <v>0.4</v>
      </c>
      <c r="H287" s="1299">
        <v>0.4</v>
      </c>
      <c r="I287" s="1302">
        <v>0.4</v>
      </c>
      <c r="J287" s="1302">
        <v>0.4</v>
      </c>
      <c r="K287" s="1299">
        <v>0.4</v>
      </c>
    </row>
    <row r="288" spans="1:11" s="551" customFormat="1">
      <c r="A288" s="550"/>
      <c r="B288" s="528" t="s">
        <v>883</v>
      </c>
      <c r="C288" s="551">
        <v>0.3</v>
      </c>
      <c r="D288" s="1299">
        <v>0.24</v>
      </c>
      <c r="E288" s="1302">
        <v>0.24</v>
      </c>
      <c r="F288" s="1302">
        <v>0.24</v>
      </c>
      <c r="G288" s="1299">
        <v>0.24</v>
      </c>
      <c r="H288" s="1299">
        <v>0.24</v>
      </c>
      <c r="I288" s="1302">
        <v>0.24</v>
      </c>
      <c r="J288" s="1302">
        <v>0.24</v>
      </c>
      <c r="K288" s="1299">
        <v>0.24</v>
      </c>
    </row>
    <row r="289" spans="1:11" s="551" customFormat="1">
      <c r="A289" s="550"/>
      <c r="B289" s="528" t="s">
        <v>884</v>
      </c>
      <c r="C289" s="551">
        <v>0.3</v>
      </c>
      <c r="D289" s="1299">
        <v>0.33</v>
      </c>
      <c r="E289" s="1302">
        <v>0.33</v>
      </c>
      <c r="F289" s="1302">
        <v>0.33</v>
      </c>
      <c r="G289" s="1299">
        <v>0.33</v>
      </c>
      <c r="H289" s="1299">
        <v>0.33</v>
      </c>
      <c r="I289" s="1302">
        <v>0.33</v>
      </c>
      <c r="J289" s="1302">
        <v>0.33</v>
      </c>
      <c r="K289" s="1299">
        <v>0.33</v>
      </c>
    </row>
    <row r="290" spans="1:11" s="551" customFormat="1">
      <c r="A290" s="550"/>
      <c r="B290" s="528" t="s">
        <v>885</v>
      </c>
      <c r="C290" s="186">
        <v>4</v>
      </c>
      <c r="D290" s="1300">
        <v>6.99</v>
      </c>
      <c r="E290" s="1297">
        <v>6.99</v>
      </c>
      <c r="F290" s="1297">
        <v>6.99</v>
      </c>
      <c r="G290" s="1300">
        <v>6.99</v>
      </c>
      <c r="H290" s="1300">
        <v>6.99</v>
      </c>
      <c r="I290" s="1297">
        <v>6.99</v>
      </c>
      <c r="J290" s="1297">
        <v>6.99</v>
      </c>
      <c r="K290" s="1300">
        <v>6.99</v>
      </c>
    </row>
    <row r="291" spans="1:11" s="551" customFormat="1">
      <c r="A291" s="550"/>
      <c r="B291" s="528" t="s">
        <v>886</v>
      </c>
      <c r="C291" s="551">
        <v>1</v>
      </c>
      <c r="D291" s="1296">
        <v>1</v>
      </c>
      <c r="E291" s="1296">
        <v>1</v>
      </c>
      <c r="F291" s="1296">
        <v>1</v>
      </c>
      <c r="G291" s="1296">
        <v>1</v>
      </c>
      <c r="H291" s="1296">
        <v>1</v>
      </c>
      <c r="I291" s="1296">
        <v>1</v>
      </c>
      <c r="J291" s="1296">
        <v>1</v>
      </c>
      <c r="K291" s="1296">
        <v>1</v>
      </c>
    </row>
    <row r="292" spans="1:11" s="551" customFormat="1">
      <c r="A292" s="550"/>
      <c r="B292" s="528" t="s">
        <v>887</v>
      </c>
      <c r="C292" s="551">
        <v>0.8</v>
      </c>
      <c r="D292" s="1296">
        <v>0.8</v>
      </c>
      <c r="E292" s="1296">
        <v>0.8</v>
      </c>
      <c r="F292" s="1296">
        <v>0.8</v>
      </c>
      <c r="G292" s="1296">
        <v>0.8</v>
      </c>
      <c r="H292" s="1296">
        <v>0.8</v>
      </c>
      <c r="I292" s="1296">
        <v>0.8</v>
      </c>
      <c r="J292" s="1296">
        <v>0.8</v>
      </c>
      <c r="K292" s="1296">
        <v>0.8</v>
      </c>
    </row>
    <row r="293" spans="1:11" s="551" customFormat="1">
      <c r="A293" s="550"/>
      <c r="B293" s="528" t="s">
        <v>888</v>
      </c>
      <c r="C293" s="551">
        <v>1.05</v>
      </c>
      <c r="D293" s="1296">
        <v>1.05</v>
      </c>
      <c r="E293" s="1296">
        <v>1.05</v>
      </c>
      <c r="F293" s="1296">
        <v>1.05</v>
      </c>
      <c r="G293" s="1296">
        <v>1.05</v>
      </c>
      <c r="H293" s="1296">
        <v>1.05</v>
      </c>
      <c r="I293" s="1296">
        <v>1.05</v>
      </c>
      <c r="J293" s="1296">
        <v>1.05</v>
      </c>
      <c r="K293" s="1296">
        <v>1.05</v>
      </c>
    </row>
    <row r="294" spans="1:11" s="551" customFormat="1">
      <c r="A294" s="550"/>
      <c r="B294" s="528" t="s">
        <v>889</v>
      </c>
      <c r="C294" s="551">
        <v>1.3</v>
      </c>
      <c r="D294" s="1296">
        <v>1.3</v>
      </c>
      <c r="E294" s="1296">
        <v>1.3</v>
      </c>
      <c r="F294" s="1296">
        <v>1.3</v>
      </c>
      <c r="G294" s="1296">
        <v>1.3</v>
      </c>
      <c r="H294" s="1296">
        <v>1.3</v>
      </c>
      <c r="I294" s="1296">
        <v>1.3</v>
      </c>
      <c r="J294" s="1296">
        <v>1.3</v>
      </c>
      <c r="K294" s="1296">
        <v>1.3</v>
      </c>
    </row>
    <row r="295" spans="1:11" s="551" customFormat="1">
      <c r="A295" s="550"/>
      <c r="B295" s="528" t="s">
        <v>890</v>
      </c>
      <c r="C295" s="551">
        <v>0</v>
      </c>
      <c r="D295" s="1296">
        <v>0</v>
      </c>
      <c r="E295" s="1296">
        <v>0</v>
      </c>
      <c r="F295" s="1296">
        <v>0</v>
      </c>
      <c r="G295" s="1296">
        <v>0</v>
      </c>
      <c r="H295" s="1296">
        <v>0</v>
      </c>
      <c r="I295" s="1296">
        <v>0</v>
      </c>
      <c r="J295" s="1296">
        <v>0</v>
      </c>
      <c r="K295" s="1296">
        <v>0</v>
      </c>
    </row>
    <row r="296" spans="1:11" s="551" customFormat="1">
      <c r="A296" s="550"/>
      <c r="B296" s="528" t="s">
        <v>891</v>
      </c>
      <c r="C296" s="551">
        <v>0</v>
      </c>
      <c r="D296" s="1296">
        <v>0</v>
      </c>
      <c r="E296" s="1296">
        <v>0</v>
      </c>
      <c r="F296" s="1296">
        <v>0</v>
      </c>
      <c r="G296" s="1296">
        <v>0</v>
      </c>
      <c r="H296" s="1296">
        <v>0</v>
      </c>
      <c r="I296" s="1296">
        <v>0</v>
      </c>
      <c r="J296" s="1296">
        <v>0</v>
      </c>
      <c r="K296" s="1296">
        <v>0</v>
      </c>
    </row>
    <row r="297" spans="1:11" s="551" customFormat="1">
      <c r="A297" s="550"/>
      <c r="B297" s="528" t="s">
        <v>892</v>
      </c>
      <c r="C297" s="551" t="s">
        <v>410</v>
      </c>
      <c r="D297" s="1296" t="s">
        <v>410</v>
      </c>
      <c r="E297" s="1296" t="s">
        <v>410</v>
      </c>
      <c r="F297" s="1296" t="s">
        <v>410</v>
      </c>
      <c r="G297" s="1296" t="s">
        <v>410</v>
      </c>
      <c r="H297" s="1296" t="s">
        <v>410</v>
      </c>
      <c r="I297" s="1296" t="s">
        <v>410</v>
      </c>
      <c r="J297" s="1296" t="s">
        <v>410</v>
      </c>
      <c r="K297" s="1296" t="s">
        <v>410</v>
      </c>
    </row>
    <row r="298" spans="1:11" s="551" customFormat="1">
      <c r="A298" s="550"/>
      <c r="B298" s="528" t="s">
        <v>893</v>
      </c>
      <c r="C298" s="551" t="s">
        <v>434</v>
      </c>
      <c r="D298" s="1296" t="s">
        <v>434</v>
      </c>
      <c r="E298" s="1296" t="s">
        <v>434</v>
      </c>
      <c r="F298" s="1296" t="s">
        <v>434</v>
      </c>
      <c r="G298" s="1296" t="s">
        <v>434</v>
      </c>
      <c r="H298" s="1296" t="s">
        <v>434</v>
      </c>
      <c r="I298" s="1296" t="s">
        <v>434</v>
      </c>
      <c r="J298" s="1296" t="s">
        <v>434</v>
      </c>
      <c r="K298" s="1296" t="s">
        <v>434</v>
      </c>
    </row>
    <row r="299" spans="1:11" s="551" customFormat="1">
      <c r="A299" s="550"/>
      <c r="B299" s="528" t="s">
        <v>894</v>
      </c>
      <c r="C299" s="551">
        <v>0.5</v>
      </c>
      <c r="D299" s="1299">
        <v>0.37</v>
      </c>
      <c r="E299" s="1302">
        <v>0.37</v>
      </c>
      <c r="F299" s="1302">
        <v>0.37</v>
      </c>
      <c r="G299" s="1299">
        <v>0.37</v>
      </c>
      <c r="H299" s="1299">
        <v>0.37</v>
      </c>
      <c r="I299" s="1302">
        <v>0.37</v>
      </c>
      <c r="J299" s="1302">
        <v>0.37</v>
      </c>
      <c r="K299" s="1299">
        <v>0.37</v>
      </c>
    </row>
    <row r="300" spans="1:11" s="551" customFormat="1">
      <c r="A300" s="550"/>
      <c r="B300" s="528" t="s">
        <v>895</v>
      </c>
      <c r="C300" s="551">
        <v>0.3</v>
      </c>
      <c r="D300" s="1299">
        <v>0.24</v>
      </c>
      <c r="E300" s="1302">
        <v>0.24</v>
      </c>
      <c r="F300" s="1302">
        <v>0.24</v>
      </c>
      <c r="G300" s="1299">
        <v>0.24</v>
      </c>
      <c r="H300" s="1299">
        <v>0.24</v>
      </c>
      <c r="I300" s="1302">
        <v>0.24</v>
      </c>
      <c r="J300" s="1302">
        <v>0.24</v>
      </c>
      <c r="K300" s="1299">
        <v>0.24</v>
      </c>
    </row>
    <row r="301" spans="1:11" s="551" customFormat="1">
      <c r="A301" s="550"/>
      <c r="B301" s="528" t="s">
        <v>896</v>
      </c>
      <c r="C301" s="551">
        <v>0.3</v>
      </c>
      <c r="D301" s="1299">
        <v>0.33</v>
      </c>
      <c r="E301" s="1302">
        <v>0.33</v>
      </c>
      <c r="F301" s="1302">
        <v>0.33</v>
      </c>
      <c r="G301" s="1299">
        <v>0.33</v>
      </c>
      <c r="H301" s="1299">
        <v>0.33</v>
      </c>
      <c r="I301" s="1302">
        <v>0.33</v>
      </c>
      <c r="J301" s="1302">
        <v>0.33</v>
      </c>
      <c r="K301" s="1299">
        <v>0.33</v>
      </c>
    </row>
    <row r="302" spans="1:11" s="551" customFormat="1">
      <c r="A302" s="550"/>
      <c r="B302" s="528" t="s">
        <v>897</v>
      </c>
      <c r="C302" s="186">
        <v>3.5</v>
      </c>
      <c r="D302" s="1300">
        <v>5.49</v>
      </c>
      <c r="E302" s="1297">
        <v>5.49</v>
      </c>
      <c r="F302" s="1297">
        <v>5.49</v>
      </c>
      <c r="G302" s="1300">
        <v>5.49</v>
      </c>
      <c r="H302" s="1300">
        <v>5.49</v>
      </c>
      <c r="I302" s="1297">
        <v>5.49</v>
      </c>
      <c r="J302" s="1297">
        <v>5.49</v>
      </c>
      <c r="K302" s="1300">
        <v>5.49</v>
      </c>
    </row>
    <row r="303" spans="1:11" s="551" customFormat="1">
      <c r="A303" s="550"/>
      <c r="B303" s="528" t="s">
        <v>898</v>
      </c>
      <c r="C303" s="551">
        <v>1</v>
      </c>
      <c r="D303" s="1296">
        <v>1</v>
      </c>
      <c r="E303" s="1296">
        <v>1</v>
      </c>
      <c r="F303" s="1296">
        <v>1</v>
      </c>
      <c r="G303" s="1296">
        <v>1</v>
      </c>
      <c r="H303" s="1296">
        <v>1</v>
      </c>
      <c r="I303" s="1296">
        <v>1</v>
      </c>
      <c r="J303" s="1296">
        <v>1</v>
      </c>
      <c r="K303" s="1296">
        <v>1</v>
      </c>
    </row>
    <row r="304" spans="1:11" s="551" customFormat="1">
      <c r="A304" s="550"/>
      <c r="B304" s="528" t="s">
        <v>899</v>
      </c>
      <c r="C304" s="551">
        <v>0.8</v>
      </c>
      <c r="D304" s="1296">
        <v>0.8</v>
      </c>
      <c r="E304" s="1296">
        <v>0.8</v>
      </c>
      <c r="F304" s="1296">
        <v>0.8</v>
      </c>
      <c r="G304" s="1355">
        <v>0.5</v>
      </c>
      <c r="H304" s="1355">
        <v>0.5</v>
      </c>
      <c r="I304" s="1355">
        <v>0.5</v>
      </c>
      <c r="J304" s="1355">
        <v>0.5</v>
      </c>
      <c r="K304" s="1355">
        <v>0.5</v>
      </c>
    </row>
    <row r="305" spans="1:11" s="551" customFormat="1">
      <c r="A305" s="550"/>
      <c r="B305" s="528" t="s">
        <v>900</v>
      </c>
      <c r="C305" s="551">
        <v>1.05</v>
      </c>
      <c r="D305" s="1296">
        <v>1.05</v>
      </c>
      <c r="E305" s="1296">
        <v>1.05</v>
      </c>
      <c r="F305" s="1296">
        <v>1.05</v>
      </c>
      <c r="G305" s="1296">
        <v>1.05</v>
      </c>
      <c r="H305" s="1296">
        <v>1.05</v>
      </c>
      <c r="I305" s="1296">
        <v>1.05</v>
      </c>
      <c r="J305" s="1296">
        <v>1.05</v>
      </c>
      <c r="K305" s="1296">
        <v>1.05</v>
      </c>
    </row>
    <row r="306" spans="1:11" s="551" customFormat="1">
      <c r="A306" s="550"/>
      <c r="B306" s="528" t="s">
        <v>901</v>
      </c>
      <c r="C306" s="551">
        <v>1.3</v>
      </c>
      <c r="D306" s="1296">
        <v>1.3</v>
      </c>
      <c r="E306" s="1296">
        <v>1.3</v>
      </c>
      <c r="F306" s="1296">
        <v>1.3</v>
      </c>
      <c r="G306" s="1296">
        <v>1.3</v>
      </c>
      <c r="H306" s="1296">
        <v>1.3</v>
      </c>
      <c r="I306" s="1296">
        <v>1.3</v>
      </c>
      <c r="J306" s="1296">
        <v>1.3</v>
      </c>
      <c r="K306" s="1296">
        <v>1.3</v>
      </c>
    </row>
    <row r="307" spans="1:11" s="551" customFormat="1">
      <c r="A307" s="550"/>
      <c r="B307" s="528" t="s">
        <v>902</v>
      </c>
      <c r="C307" s="551">
        <v>0</v>
      </c>
      <c r="D307" s="1296">
        <v>0</v>
      </c>
      <c r="E307" s="1296">
        <v>0</v>
      </c>
      <c r="F307" s="1296">
        <v>0</v>
      </c>
      <c r="G307" s="1296">
        <v>0</v>
      </c>
      <c r="H307" s="1296">
        <v>0</v>
      </c>
      <c r="I307" s="1296">
        <v>0</v>
      </c>
      <c r="J307" s="1296">
        <v>0</v>
      </c>
      <c r="K307" s="1296">
        <v>0</v>
      </c>
    </row>
    <row r="308" spans="1:11" s="551" customFormat="1">
      <c r="A308" s="550"/>
      <c r="B308" s="528" t="s">
        <v>903</v>
      </c>
      <c r="C308" s="551">
        <v>0</v>
      </c>
      <c r="D308" s="1296">
        <v>0</v>
      </c>
      <c r="E308" s="1296">
        <v>0</v>
      </c>
      <c r="F308" s="1296">
        <v>0</v>
      </c>
      <c r="G308" s="1296">
        <v>0</v>
      </c>
      <c r="H308" s="1296">
        <v>0</v>
      </c>
      <c r="I308" s="1296">
        <v>0</v>
      </c>
      <c r="J308" s="1296">
        <v>0</v>
      </c>
      <c r="K308" s="1296">
        <v>0</v>
      </c>
    </row>
    <row r="309" spans="1:11" s="551" customFormat="1">
      <c r="A309" s="550"/>
      <c r="B309" s="528" t="s">
        <v>904</v>
      </c>
      <c r="C309" s="551" t="s">
        <v>410</v>
      </c>
      <c r="D309" s="1296" t="s">
        <v>410</v>
      </c>
      <c r="E309" s="1296" t="s">
        <v>410</v>
      </c>
      <c r="F309" s="1296" t="s">
        <v>410</v>
      </c>
      <c r="G309" s="1296" t="s">
        <v>410</v>
      </c>
      <c r="H309" s="1296" t="s">
        <v>410</v>
      </c>
      <c r="I309" s="1296" t="s">
        <v>410</v>
      </c>
      <c r="J309" s="1296" t="s">
        <v>410</v>
      </c>
      <c r="K309" s="1296" t="s">
        <v>410</v>
      </c>
    </row>
    <row r="310" spans="1:11" s="551" customFormat="1">
      <c r="A310" s="550"/>
      <c r="B310" s="528" t="s">
        <v>905</v>
      </c>
      <c r="C310" s="551" t="s">
        <v>435</v>
      </c>
      <c r="D310" s="1296" t="s">
        <v>435</v>
      </c>
      <c r="E310" s="1296" t="s">
        <v>435</v>
      </c>
      <c r="F310" s="1296" t="s">
        <v>435</v>
      </c>
      <c r="G310" s="1296" t="s">
        <v>435</v>
      </c>
      <c r="H310" s="1296" t="s">
        <v>435</v>
      </c>
      <c r="I310" s="1296" t="s">
        <v>435</v>
      </c>
      <c r="J310" s="1296" t="s">
        <v>435</v>
      </c>
      <c r="K310" s="1296" t="s">
        <v>435</v>
      </c>
    </row>
    <row r="311" spans="1:11" s="551" customFormat="1">
      <c r="A311" s="550"/>
      <c r="B311" s="528" t="s">
        <v>906</v>
      </c>
      <c r="C311" s="551">
        <v>0.5</v>
      </c>
      <c r="D311" s="1299">
        <v>0.38</v>
      </c>
      <c r="E311" s="1302">
        <v>0.38</v>
      </c>
      <c r="F311" s="1302">
        <v>0.38</v>
      </c>
      <c r="G311" s="1299">
        <v>0.38</v>
      </c>
      <c r="H311" s="1299">
        <v>0.38</v>
      </c>
      <c r="I311" s="1302">
        <v>0.38</v>
      </c>
      <c r="J311" s="1302">
        <v>0.38</v>
      </c>
      <c r="K311" s="1299">
        <v>0.38</v>
      </c>
    </row>
    <row r="312" spans="1:11" s="551" customFormat="1">
      <c r="A312" s="550"/>
      <c r="B312" s="528" t="s">
        <v>907</v>
      </c>
      <c r="C312" s="551">
        <v>0.3</v>
      </c>
      <c r="D312" s="1299">
        <v>0.24</v>
      </c>
      <c r="E312" s="1302">
        <v>0.24</v>
      </c>
      <c r="F312" s="1302">
        <v>0.24</v>
      </c>
      <c r="G312" s="1299">
        <v>0.24</v>
      </c>
      <c r="H312" s="1299">
        <v>0.24</v>
      </c>
      <c r="I312" s="1302">
        <v>0.24</v>
      </c>
      <c r="J312" s="1302">
        <v>0.24</v>
      </c>
      <c r="K312" s="1299">
        <v>0.24</v>
      </c>
    </row>
    <row r="313" spans="1:11" s="551" customFormat="1">
      <c r="A313" s="550"/>
      <c r="B313" s="528" t="s">
        <v>908</v>
      </c>
      <c r="C313" s="551">
        <v>0.3</v>
      </c>
      <c r="D313" s="1299">
        <v>0.33</v>
      </c>
      <c r="E313" s="1302">
        <v>0.33</v>
      </c>
      <c r="F313" s="1302">
        <v>0.33</v>
      </c>
      <c r="G313" s="1299">
        <v>0.33</v>
      </c>
      <c r="H313" s="1299">
        <v>0.33</v>
      </c>
      <c r="I313" s="1302">
        <v>0.33</v>
      </c>
      <c r="J313" s="1302">
        <v>0.33</v>
      </c>
      <c r="K313" s="1299">
        <v>0.33</v>
      </c>
    </row>
    <row r="314" spans="1:11" s="551" customFormat="1">
      <c r="A314" s="550"/>
      <c r="B314" s="528" t="s">
        <v>909</v>
      </c>
      <c r="C314" s="186">
        <v>3.5</v>
      </c>
      <c r="D314" s="1300">
        <v>6.99</v>
      </c>
      <c r="E314" s="1297">
        <v>6.99</v>
      </c>
      <c r="F314" s="1297">
        <v>6.99</v>
      </c>
      <c r="G314" s="1300">
        <v>6.99</v>
      </c>
      <c r="H314" s="1300">
        <v>6.99</v>
      </c>
      <c r="I314" s="1297">
        <v>6.99</v>
      </c>
      <c r="J314" s="1297">
        <v>6.99</v>
      </c>
      <c r="K314" s="1300">
        <v>6.99</v>
      </c>
    </row>
    <row r="315" spans="1:11" s="551" customFormat="1">
      <c r="A315" s="550"/>
      <c r="B315" s="528" t="s">
        <v>910</v>
      </c>
      <c r="C315" s="551">
        <v>1</v>
      </c>
      <c r="D315" s="1296">
        <v>1</v>
      </c>
      <c r="E315" s="1296">
        <v>1</v>
      </c>
      <c r="F315" s="1296">
        <v>1</v>
      </c>
      <c r="G315" s="1296">
        <v>1</v>
      </c>
      <c r="H315" s="1296">
        <v>1</v>
      </c>
      <c r="I315" s="1296">
        <v>1</v>
      </c>
      <c r="J315" s="1296">
        <v>1</v>
      </c>
      <c r="K315" s="1296">
        <v>1</v>
      </c>
    </row>
    <row r="316" spans="1:11" s="551" customFormat="1">
      <c r="A316" s="550"/>
      <c r="B316" s="528" t="s">
        <v>911</v>
      </c>
      <c r="C316" s="551">
        <v>0.8</v>
      </c>
      <c r="D316" s="1296">
        <v>0.8</v>
      </c>
      <c r="E316" s="1296">
        <v>0.8</v>
      </c>
      <c r="F316" s="1296">
        <v>0.8</v>
      </c>
      <c r="G316" s="1355">
        <v>0.55000000000000004</v>
      </c>
      <c r="H316" s="1355">
        <v>0.55000000000000004</v>
      </c>
      <c r="I316" s="1355">
        <v>0.55000000000000004</v>
      </c>
      <c r="J316" s="1355">
        <v>0.55000000000000004</v>
      </c>
      <c r="K316" s="1355">
        <v>0.55000000000000004</v>
      </c>
    </row>
    <row r="317" spans="1:11" s="551" customFormat="1">
      <c r="A317" s="550"/>
      <c r="B317" s="528" t="s">
        <v>912</v>
      </c>
      <c r="C317" s="551">
        <v>1.05</v>
      </c>
      <c r="D317" s="1296">
        <v>1.05</v>
      </c>
      <c r="E317" s="1296">
        <v>1.05</v>
      </c>
      <c r="F317" s="1296">
        <v>1.05</v>
      </c>
      <c r="G317" s="1296">
        <v>1.05</v>
      </c>
      <c r="H317" s="1296">
        <v>1.05</v>
      </c>
      <c r="I317" s="1296">
        <v>1.05</v>
      </c>
      <c r="J317" s="1296">
        <v>1.05</v>
      </c>
      <c r="K317" s="1296">
        <v>1.05</v>
      </c>
    </row>
    <row r="318" spans="1:11" s="551" customFormat="1">
      <c r="A318" s="550"/>
      <c r="B318" s="528" t="s">
        <v>913</v>
      </c>
      <c r="C318" s="551">
        <v>1.3</v>
      </c>
      <c r="D318" s="1296">
        <v>1.3</v>
      </c>
      <c r="E318" s="1296">
        <v>1.3</v>
      </c>
      <c r="F318" s="1296">
        <v>1.3</v>
      </c>
      <c r="G318" s="1296">
        <v>1.3</v>
      </c>
      <c r="H318" s="1296">
        <v>1.3</v>
      </c>
      <c r="I318" s="1296">
        <v>1.3</v>
      </c>
      <c r="J318" s="1296">
        <v>1.3</v>
      </c>
      <c r="K318" s="1296">
        <v>1.3</v>
      </c>
    </row>
    <row r="319" spans="1:11" s="551" customFormat="1">
      <c r="A319" s="550"/>
      <c r="B319" s="528" t="s">
        <v>914</v>
      </c>
      <c r="C319" s="551">
        <v>0</v>
      </c>
      <c r="D319" s="1296">
        <v>0</v>
      </c>
      <c r="E319" s="1296">
        <v>0</v>
      </c>
      <c r="F319" s="1296">
        <v>0</v>
      </c>
      <c r="G319" s="1296">
        <v>0</v>
      </c>
      <c r="H319" s="1296">
        <v>0</v>
      </c>
      <c r="I319" s="1296">
        <v>0</v>
      </c>
      <c r="J319" s="1296">
        <v>0</v>
      </c>
      <c r="K319" s="1296">
        <v>0</v>
      </c>
    </row>
    <row r="320" spans="1:11" s="551" customFormat="1">
      <c r="A320" s="550"/>
      <c r="B320" s="528" t="s">
        <v>915</v>
      </c>
      <c r="C320" s="551">
        <v>0</v>
      </c>
      <c r="D320" s="1296">
        <v>0</v>
      </c>
      <c r="E320" s="1296">
        <v>0</v>
      </c>
      <c r="F320" s="1296">
        <v>0</v>
      </c>
      <c r="G320" s="1296">
        <v>0</v>
      </c>
      <c r="H320" s="1296">
        <v>0</v>
      </c>
      <c r="I320" s="1296">
        <v>0</v>
      </c>
      <c r="J320" s="1296">
        <v>0</v>
      </c>
      <c r="K320" s="1296">
        <v>0</v>
      </c>
    </row>
    <row r="321" spans="1:11" s="551" customFormat="1">
      <c r="A321" s="550"/>
      <c r="B321" s="528" t="s">
        <v>916</v>
      </c>
      <c r="C321" s="551" t="s">
        <v>410</v>
      </c>
      <c r="D321" s="1296" t="s">
        <v>410</v>
      </c>
      <c r="E321" s="1296" t="s">
        <v>410</v>
      </c>
      <c r="F321" s="1296" t="s">
        <v>410</v>
      </c>
      <c r="G321" s="1296" t="s">
        <v>410</v>
      </c>
      <c r="H321" s="1296" t="s">
        <v>410</v>
      </c>
      <c r="I321" s="1296" t="s">
        <v>410</v>
      </c>
      <c r="J321" s="1296" t="s">
        <v>410</v>
      </c>
      <c r="K321" s="1296" t="s">
        <v>410</v>
      </c>
    </row>
    <row r="322" spans="1:11" s="551" customFormat="1">
      <c r="A322" s="550"/>
      <c r="B322" s="528" t="s">
        <v>917</v>
      </c>
      <c r="C322" s="551" t="s">
        <v>436</v>
      </c>
      <c r="D322" s="1296" t="s">
        <v>436</v>
      </c>
      <c r="E322" s="1296" t="s">
        <v>436</v>
      </c>
      <c r="F322" s="1296" t="s">
        <v>436</v>
      </c>
      <c r="G322" s="1296" t="s">
        <v>436</v>
      </c>
      <c r="H322" s="1296" t="s">
        <v>436</v>
      </c>
      <c r="I322" s="1296" t="s">
        <v>436</v>
      </c>
      <c r="J322" s="1296" t="s">
        <v>436</v>
      </c>
      <c r="K322" s="1296" t="s">
        <v>436</v>
      </c>
    </row>
    <row r="323" spans="1:11" s="551" customFormat="1">
      <c r="A323" s="550"/>
      <c r="B323" s="528" t="s">
        <v>918</v>
      </c>
      <c r="C323" s="551">
        <v>0.5</v>
      </c>
      <c r="D323" s="1299">
        <v>0.37</v>
      </c>
      <c r="E323" s="1302">
        <v>0.37</v>
      </c>
      <c r="F323" s="1302">
        <v>0.37</v>
      </c>
      <c r="G323" s="1299">
        <v>0.37</v>
      </c>
      <c r="H323" s="1299">
        <v>0.37</v>
      </c>
      <c r="I323" s="1302">
        <v>0.37</v>
      </c>
      <c r="J323" s="1302">
        <v>0.37</v>
      </c>
      <c r="K323" s="1299">
        <v>0.37</v>
      </c>
    </row>
    <row r="324" spans="1:11" s="551" customFormat="1">
      <c r="A324" s="550"/>
      <c r="B324" s="528" t="s">
        <v>919</v>
      </c>
      <c r="C324" s="551">
        <v>0.3</v>
      </c>
      <c r="D324" s="1299">
        <v>0.24</v>
      </c>
      <c r="E324" s="1302">
        <v>0.24</v>
      </c>
      <c r="F324" s="1302">
        <v>0.24</v>
      </c>
      <c r="G324" s="1299">
        <v>0.24</v>
      </c>
      <c r="H324" s="1299">
        <v>0.24</v>
      </c>
      <c r="I324" s="1302">
        <v>0.24</v>
      </c>
      <c r="J324" s="1302">
        <v>0.24</v>
      </c>
      <c r="K324" s="1299">
        <v>0.24</v>
      </c>
    </row>
    <row r="325" spans="1:11" s="551" customFormat="1">
      <c r="A325" s="550"/>
      <c r="B325" s="528" t="s">
        <v>920</v>
      </c>
      <c r="C325" s="551">
        <v>0.3</v>
      </c>
      <c r="D325" s="1299">
        <v>0.33</v>
      </c>
      <c r="E325" s="1302">
        <v>0.33</v>
      </c>
      <c r="F325" s="1302">
        <v>0.33</v>
      </c>
      <c r="G325" s="1299">
        <v>0.33</v>
      </c>
      <c r="H325" s="1299">
        <v>0.33</v>
      </c>
      <c r="I325" s="1302">
        <v>0.33</v>
      </c>
      <c r="J325" s="1302">
        <v>0.33</v>
      </c>
      <c r="K325" s="1299">
        <v>0.33</v>
      </c>
    </row>
    <row r="326" spans="1:11" s="551" customFormat="1">
      <c r="A326" s="550"/>
      <c r="B326" s="528" t="s">
        <v>921</v>
      </c>
      <c r="C326" s="186">
        <v>3.5</v>
      </c>
      <c r="D326" s="1300">
        <v>5.99</v>
      </c>
      <c r="E326" s="1297">
        <v>5.99</v>
      </c>
      <c r="F326" s="1297">
        <v>5.99</v>
      </c>
      <c r="G326" s="1300">
        <v>5.99</v>
      </c>
      <c r="H326" s="1300">
        <v>5.99</v>
      </c>
      <c r="I326" s="1297">
        <v>5.99</v>
      </c>
      <c r="J326" s="1297">
        <v>5.99</v>
      </c>
      <c r="K326" s="1300">
        <v>5.99</v>
      </c>
    </row>
    <row r="327" spans="1:11" s="551" customFormat="1">
      <c r="A327" s="550"/>
      <c r="B327" s="528" t="s">
        <v>922</v>
      </c>
      <c r="C327" s="551">
        <v>1</v>
      </c>
      <c r="D327" s="1296">
        <v>1</v>
      </c>
      <c r="E327" s="1296">
        <v>1</v>
      </c>
      <c r="F327" s="1296">
        <v>1</v>
      </c>
      <c r="G327" s="1296">
        <v>1</v>
      </c>
      <c r="H327" s="1296">
        <v>1</v>
      </c>
      <c r="I327" s="1296">
        <v>1</v>
      </c>
      <c r="J327" s="1296">
        <v>1</v>
      </c>
      <c r="K327" s="1296">
        <v>1</v>
      </c>
    </row>
    <row r="328" spans="1:11" s="551" customFormat="1">
      <c r="A328" s="550"/>
      <c r="B328" s="528" t="s">
        <v>923</v>
      </c>
      <c r="C328" s="551">
        <v>0.8</v>
      </c>
      <c r="D328" s="1296">
        <v>0.8</v>
      </c>
      <c r="E328" s="1296">
        <v>0.8</v>
      </c>
      <c r="F328" s="1296">
        <v>0.8</v>
      </c>
      <c r="G328" s="1355">
        <v>0.55000000000000004</v>
      </c>
      <c r="H328" s="1355">
        <v>0.55000000000000004</v>
      </c>
      <c r="I328" s="1355">
        <v>0.55000000000000004</v>
      </c>
      <c r="J328" s="1355">
        <v>0.55000000000000004</v>
      </c>
      <c r="K328" s="1355">
        <v>0.55000000000000004</v>
      </c>
    </row>
    <row r="329" spans="1:11" s="551" customFormat="1">
      <c r="A329" s="550"/>
      <c r="B329" s="528" t="s">
        <v>924</v>
      </c>
      <c r="C329" s="551">
        <v>1.05</v>
      </c>
      <c r="D329" s="1296">
        <v>1.05</v>
      </c>
      <c r="E329" s="1296">
        <v>1.05</v>
      </c>
      <c r="F329" s="1296">
        <v>1.05</v>
      </c>
      <c r="G329" s="1296">
        <v>1.05</v>
      </c>
      <c r="H329" s="1296">
        <v>1.05</v>
      </c>
      <c r="I329" s="1296">
        <v>1.05</v>
      </c>
      <c r="J329" s="1296">
        <v>1.05</v>
      </c>
      <c r="K329" s="1296">
        <v>1.05</v>
      </c>
    </row>
    <row r="330" spans="1:11" s="551" customFormat="1">
      <c r="A330" s="550"/>
      <c r="B330" s="528" t="s">
        <v>925</v>
      </c>
      <c r="C330" s="551">
        <v>1.3</v>
      </c>
      <c r="D330" s="1296">
        <v>1.3</v>
      </c>
      <c r="E330" s="1296">
        <v>1.3</v>
      </c>
      <c r="F330" s="1296">
        <v>1.3</v>
      </c>
      <c r="G330" s="1296">
        <v>1.3</v>
      </c>
      <c r="H330" s="1296">
        <v>1.3</v>
      </c>
      <c r="I330" s="1296">
        <v>1.3</v>
      </c>
      <c r="J330" s="1296">
        <v>1.3</v>
      </c>
      <c r="K330" s="1296">
        <v>1.3</v>
      </c>
    </row>
    <row r="331" spans="1:11" s="551" customFormat="1">
      <c r="A331" s="550"/>
      <c r="B331" s="528" t="s">
        <v>926</v>
      </c>
      <c r="C331" s="551">
        <v>0</v>
      </c>
      <c r="D331" s="1296">
        <v>0</v>
      </c>
      <c r="E331" s="1296">
        <v>0</v>
      </c>
      <c r="F331" s="1296">
        <v>0</v>
      </c>
      <c r="G331" s="1296">
        <v>0</v>
      </c>
      <c r="H331" s="1296">
        <v>0</v>
      </c>
      <c r="I331" s="1296">
        <v>0</v>
      </c>
      <c r="J331" s="1296">
        <v>0</v>
      </c>
      <c r="K331" s="1296">
        <v>0</v>
      </c>
    </row>
    <row r="332" spans="1:11" s="551" customFormat="1">
      <c r="A332" s="550"/>
      <c r="B332" s="528" t="s">
        <v>927</v>
      </c>
      <c r="C332" s="551">
        <v>0</v>
      </c>
      <c r="D332" s="1296">
        <v>0</v>
      </c>
      <c r="E332" s="1296">
        <v>0</v>
      </c>
      <c r="F332" s="1296">
        <v>0</v>
      </c>
      <c r="G332" s="1296">
        <v>0</v>
      </c>
      <c r="H332" s="1296">
        <v>0</v>
      </c>
      <c r="I332" s="1296">
        <v>0</v>
      </c>
      <c r="J332" s="1296">
        <v>0</v>
      </c>
      <c r="K332" s="1296">
        <v>0</v>
      </c>
    </row>
    <row r="333" spans="1:11" s="551" customFormat="1">
      <c r="A333" s="550"/>
      <c r="B333" s="528" t="s">
        <v>928</v>
      </c>
      <c r="C333" s="551" t="s">
        <v>410</v>
      </c>
      <c r="D333" s="1296" t="s">
        <v>410</v>
      </c>
      <c r="E333" s="1296" t="s">
        <v>410</v>
      </c>
      <c r="F333" s="1296" t="s">
        <v>410</v>
      </c>
      <c r="G333" s="1296" t="s">
        <v>410</v>
      </c>
      <c r="H333" s="1296" t="s">
        <v>410</v>
      </c>
      <c r="I333" s="1296" t="s">
        <v>410</v>
      </c>
      <c r="J333" s="1296" t="s">
        <v>410</v>
      </c>
      <c r="K333" s="1296" t="s">
        <v>410</v>
      </c>
    </row>
    <row r="334" spans="1:11" s="551" customFormat="1">
      <c r="A334" s="550"/>
      <c r="B334" s="528" t="s">
        <v>929</v>
      </c>
      <c r="C334" s="551" t="s">
        <v>437</v>
      </c>
      <c r="D334" s="1296" t="s">
        <v>437</v>
      </c>
      <c r="E334" s="1296" t="s">
        <v>437</v>
      </c>
      <c r="F334" s="1296" t="s">
        <v>437</v>
      </c>
      <c r="G334" s="1296" t="s">
        <v>437</v>
      </c>
      <c r="H334" s="1296" t="s">
        <v>437</v>
      </c>
      <c r="I334" s="1296" t="s">
        <v>437</v>
      </c>
      <c r="J334" s="1296" t="s">
        <v>437</v>
      </c>
      <c r="K334" s="1296" t="s">
        <v>437</v>
      </c>
    </row>
    <row r="335" spans="1:11" s="551" customFormat="1">
      <c r="A335" s="550"/>
      <c r="B335" s="528" t="s">
        <v>930</v>
      </c>
      <c r="C335" s="551">
        <v>0.5</v>
      </c>
      <c r="D335" s="1299">
        <v>0.37</v>
      </c>
      <c r="E335" s="1302">
        <v>0.37</v>
      </c>
      <c r="F335" s="1302">
        <v>0.37</v>
      </c>
      <c r="G335" s="1299">
        <v>0.37</v>
      </c>
      <c r="H335" s="1299">
        <v>0.37</v>
      </c>
      <c r="I335" s="1302">
        <v>0.37</v>
      </c>
      <c r="J335" s="1302">
        <v>0.37</v>
      </c>
      <c r="K335" s="1299">
        <v>0.37</v>
      </c>
    </row>
    <row r="336" spans="1:11" s="551" customFormat="1">
      <c r="A336" s="550"/>
      <c r="B336" s="528" t="s">
        <v>931</v>
      </c>
      <c r="C336" s="551">
        <v>0.3</v>
      </c>
      <c r="D336" s="1299">
        <v>0.24</v>
      </c>
      <c r="E336" s="1302">
        <v>0.24</v>
      </c>
      <c r="F336" s="1302">
        <v>0.24</v>
      </c>
      <c r="G336" s="1299">
        <v>0.24</v>
      </c>
      <c r="H336" s="1299">
        <v>0.24</v>
      </c>
      <c r="I336" s="1302">
        <v>0.24</v>
      </c>
      <c r="J336" s="1302">
        <v>0.24</v>
      </c>
      <c r="K336" s="1299">
        <v>0.24</v>
      </c>
    </row>
    <row r="337" spans="1:11" s="551" customFormat="1">
      <c r="A337" s="550"/>
      <c r="B337" s="528" t="s">
        <v>932</v>
      </c>
      <c r="C337" s="551">
        <v>0.3</v>
      </c>
      <c r="D337" s="1299">
        <v>0.33</v>
      </c>
      <c r="E337" s="1302">
        <v>0.33</v>
      </c>
      <c r="F337" s="1302">
        <v>0.33</v>
      </c>
      <c r="G337" s="1299">
        <v>0.33</v>
      </c>
      <c r="H337" s="1299">
        <v>0.33</v>
      </c>
      <c r="I337" s="1302">
        <v>0.33</v>
      </c>
      <c r="J337" s="1302">
        <v>0.33</v>
      </c>
      <c r="K337" s="1299">
        <v>0.33</v>
      </c>
    </row>
    <row r="338" spans="1:11" s="551" customFormat="1">
      <c r="A338" s="550"/>
      <c r="B338" s="528" t="s">
        <v>933</v>
      </c>
      <c r="C338" s="186">
        <v>3.5</v>
      </c>
      <c r="D338" s="1300">
        <v>5.99</v>
      </c>
      <c r="E338" s="1297">
        <v>5.99</v>
      </c>
      <c r="F338" s="1297">
        <v>5.99</v>
      </c>
      <c r="G338" s="1300">
        <v>5.99</v>
      </c>
      <c r="H338" s="1300">
        <v>5.99</v>
      </c>
      <c r="I338" s="1297">
        <v>5.99</v>
      </c>
      <c r="J338" s="1297">
        <v>5.99</v>
      </c>
      <c r="K338" s="1300">
        <v>5.99</v>
      </c>
    </row>
    <row r="339" spans="1:11" s="551" customFormat="1">
      <c r="A339" s="550"/>
      <c r="B339" s="528" t="s">
        <v>934</v>
      </c>
      <c r="C339" s="551">
        <v>1</v>
      </c>
      <c r="D339" s="1296">
        <v>1</v>
      </c>
      <c r="E339" s="1296">
        <v>1</v>
      </c>
      <c r="F339" s="1296">
        <v>1</v>
      </c>
      <c r="G339" s="1296">
        <v>1</v>
      </c>
      <c r="H339" s="1296">
        <v>1</v>
      </c>
      <c r="I339" s="1296">
        <v>1</v>
      </c>
      <c r="J339" s="1296">
        <v>1</v>
      </c>
      <c r="K339" s="1296">
        <v>1</v>
      </c>
    </row>
    <row r="340" spans="1:11" s="551" customFormat="1">
      <c r="A340" s="550"/>
      <c r="B340" s="528" t="s">
        <v>935</v>
      </c>
      <c r="C340" s="551">
        <v>0.8</v>
      </c>
      <c r="D340" s="1296">
        <v>0.8</v>
      </c>
      <c r="E340" s="1296">
        <v>0.8</v>
      </c>
      <c r="F340" s="1296">
        <v>0.8</v>
      </c>
      <c r="G340" s="1355">
        <v>0.55000000000000004</v>
      </c>
      <c r="H340" s="1355">
        <v>0.55000000000000004</v>
      </c>
      <c r="I340" s="1355">
        <v>0.55000000000000004</v>
      </c>
      <c r="J340" s="1355">
        <v>0.55000000000000004</v>
      </c>
      <c r="K340" s="1355">
        <v>0.55000000000000004</v>
      </c>
    </row>
    <row r="341" spans="1:11" s="551" customFormat="1">
      <c r="A341" s="550"/>
      <c r="B341" s="528" t="s">
        <v>936</v>
      </c>
      <c r="C341" s="551">
        <v>1.05</v>
      </c>
      <c r="D341" s="1296">
        <v>1.05</v>
      </c>
      <c r="E341" s="1296">
        <v>1.05</v>
      </c>
      <c r="F341" s="1296">
        <v>1.05</v>
      </c>
      <c r="G341" s="1296">
        <v>1.05</v>
      </c>
      <c r="H341" s="1296">
        <v>1.05</v>
      </c>
      <c r="I341" s="1296">
        <v>1.05</v>
      </c>
      <c r="J341" s="1296">
        <v>1.05</v>
      </c>
      <c r="K341" s="1296">
        <v>1.05</v>
      </c>
    </row>
    <row r="342" spans="1:11" s="551" customFormat="1">
      <c r="A342" s="550"/>
      <c r="B342" s="528" t="s">
        <v>937</v>
      </c>
      <c r="C342" s="551">
        <v>1.3</v>
      </c>
      <c r="D342" s="1296">
        <v>1.3</v>
      </c>
      <c r="E342" s="1296">
        <v>1.3</v>
      </c>
      <c r="F342" s="1296">
        <v>1.3</v>
      </c>
      <c r="G342" s="1296">
        <v>1.3</v>
      </c>
      <c r="H342" s="1296">
        <v>1.3</v>
      </c>
      <c r="I342" s="1296">
        <v>1.3</v>
      </c>
      <c r="J342" s="1296">
        <v>1.3</v>
      </c>
      <c r="K342" s="1296">
        <v>1.3</v>
      </c>
    </row>
    <row r="343" spans="1:11" s="551" customFormat="1">
      <c r="A343" s="550"/>
      <c r="B343" s="528" t="s">
        <v>938</v>
      </c>
      <c r="C343" s="551">
        <v>0</v>
      </c>
      <c r="D343" s="1296">
        <v>0</v>
      </c>
      <c r="E343" s="1296">
        <v>0</v>
      </c>
      <c r="F343" s="1296">
        <v>0</v>
      </c>
      <c r="G343" s="1296">
        <v>0</v>
      </c>
      <c r="H343" s="1296">
        <v>0</v>
      </c>
      <c r="I343" s="1296">
        <v>0</v>
      </c>
      <c r="J343" s="1296">
        <v>0</v>
      </c>
      <c r="K343" s="1296">
        <v>0</v>
      </c>
    </row>
    <row r="344" spans="1:11" s="551" customFormat="1">
      <c r="A344" s="550"/>
      <c r="B344" s="528" t="s">
        <v>939</v>
      </c>
      <c r="C344" s="551">
        <v>0</v>
      </c>
      <c r="D344" s="1296">
        <v>0</v>
      </c>
      <c r="E344" s="1296">
        <v>0</v>
      </c>
      <c r="F344" s="1296">
        <v>0</v>
      </c>
      <c r="G344" s="1296">
        <v>0</v>
      </c>
      <c r="H344" s="1296">
        <v>0</v>
      </c>
      <c r="I344" s="1296">
        <v>0</v>
      </c>
      <c r="J344" s="1296">
        <v>0</v>
      </c>
      <c r="K344" s="1296">
        <v>0</v>
      </c>
    </row>
    <row r="345" spans="1:11" s="551" customFormat="1">
      <c r="A345" s="550"/>
      <c r="B345" s="528" t="s">
        <v>940</v>
      </c>
      <c r="C345" s="551" t="s">
        <v>411</v>
      </c>
      <c r="D345" s="1296" t="s">
        <v>411</v>
      </c>
      <c r="E345" s="1296" t="s">
        <v>411</v>
      </c>
      <c r="F345" s="1296" t="s">
        <v>411</v>
      </c>
      <c r="G345" s="1296" t="s">
        <v>411</v>
      </c>
      <c r="H345" s="1296" t="s">
        <v>411</v>
      </c>
      <c r="I345" s="1296" t="s">
        <v>411</v>
      </c>
      <c r="J345" s="1296" t="s">
        <v>411</v>
      </c>
      <c r="K345" s="1296" t="s">
        <v>411</v>
      </c>
    </row>
    <row r="346" spans="1:11" s="551" customFormat="1">
      <c r="A346" s="550"/>
      <c r="B346" s="528" t="s">
        <v>941</v>
      </c>
      <c r="C346" s="551" t="s">
        <v>69</v>
      </c>
      <c r="D346" s="1296" t="s">
        <v>69</v>
      </c>
      <c r="E346" s="1296" t="s">
        <v>69</v>
      </c>
      <c r="F346" s="1296" t="s">
        <v>69</v>
      </c>
      <c r="G346" s="1296" t="s">
        <v>69</v>
      </c>
      <c r="H346" s="1296" t="s">
        <v>69</v>
      </c>
      <c r="I346" s="1296" t="s">
        <v>69</v>
      </c>
      <c r="J346" s="1296" t="s">
        <v>69</v>
      </c>
      <c r="K346" s="1296" t="s">
        <v>69</v>
      </c>
    </row>
    <row r="347" spans="1:11" s="551" customFormat="1">
      <c r="A347" s="550"/>
      <c r="B347" s="528" t="s">
        <v>942</v>
      </c>
      <c r="C347" s="551">
        <v>0.56000000000000005</v>
      </c>
      <c r="D347" s="1299">
        <v>0.36</v>
      </c>
      <c r="E347" s="1302">
        <v>0.36</v>
      </c>
      <c r="F347" s="1302">
        <v>0.36</v>
      </c>
      <c r="G347" s="1299">
        <v>0.36</v>
      </c>
      <c r="H347" s="1299">
        <v>0.36</v>
      </c>
      <c r="I347" s="1302">
        <v>0.36</v>
      </c>
      <c r="J347" s="1302">
        <v>0.36</v>
      </c>
      <c r="K347" s="1299">
        <v>0.36</v>
      </c>
    </row>
    <row r="348" spans="1:11" s="551" customFormat="1">
      <c r="A348" s="550"/>
      <c r="B348" s="528" t="s">
        <v>943</v>
      </c>
      <c r="C348" s="551">
        <v>0.24</v>
      </c>
      <c r="D348" s="1301">
        <v>0.24</v>
      </c>
      <c r="E348" s="1296">
        <v>0.24</v>
      </c>
      <c r="F348" s="1296">
        <v>0.24</v>
      </c>
      <c r="G348" s="1301">
        <v>0.24</v>
      </c>
      <c r="H348" s="1301">
        <v>0.24</v>
      </c>
      <c r="I348" s="1296">
        <v>0.24</v>
      </c>
      <c r="J348" s="1296">
        <v>0.24</v>
      </c>
      <c r="K348" s="1301">
        <v>0.24</v>
      </c>
    </row>
    <row r="349" spans="1:11" s="551" customFormat="1">
      <c r="A349" s="550"/>
      <c r="B349" s="528" t="s">
        <v>944</v>
      </c>
      <c r="C349" s="551">
        <v>0.26</v>
      </c>
      <c r="D349" s="1299">
        <v>0.33</v>
      </c>
      <c r="E349" s="1302">
        <v>0.33</v>
      </c>
      <c r="F349" s="1302">
        <v>0.33</v>
      </c>
      <c r="G349" s="1299">
        <v>0.33</v>
      </c>
      <c r="H349" s="1299">
        <v>0.33</v>
      </c>
      <c r="I349" s="1302">
        <v>0.33</v>
      </c>
      <c r="J349" s="1302">
        <v>0.33</v>
      </c>
      <c r="K349" s="1299">
        <v>0.33</v>
      </c>
    </row>
    <row r="350" spans="1:11" s="551" customFormat="1">
      <c r="A350" s="550"/>
      <c r="B350" s="528" t="s">
        <v>945</v>
      </c>
      <c r="C350" s="186">
        <v>1.25</v>
      </c>
      <c r="D350" s="1300">
        <v>2.4500000000000002</v>
      </c>
      <c r="E350" s="1297">
        <v>2.4500000000000002</v>
      </c>
      <c r="F350" s="1297">
        <v>2.4500000000000002</v>
      </c>
      <c r="G350" s="1300">
        <v>2.4500000000000002</v>
      </c>
      <c r="H350" s="1300">
        <v>2.4500000000000002</v>
      </c>
      <c r="I350" s="1297">
        <v>2.4500000000000002</v>
      </c>
      <c r="J350" s="1297">
        <v>2.4500000000000002</v>
      </c>
      <c r="K350" s="1300">
        <v>2.4500000000000002</v>
      </c>
    </row>
    <row r="351" spans="1:11" s="551" customFormat="1">
      <c r="A351" s="550"/>
      <c r="B351" s="528" t="s">
        <v>946</v>
      </c>
      <c r="C351" s="551">
        <v>124</v>
      </c>
      <c r="D351" s="1296">
        <v>124</v>
      </c>
      <c r="E351" s="1296">
        <v>124</v>
      </c>
      <c r="F351" s="1296">
        <v>124</v>
      </c>
      <c r="G351" s="1296">
        <v>124</v>
      </c>
      <c r="H351" s="1296">
        <v>124</v>
      </c>
      <c r="I351" s="1296">
        <v>124</v>
      </c>
      <c r="J351" s="1296">
        <v>124</v>
      </c>
      <c r="K351" s="1296">
        <v>124</v>
      </c>
    </row>
    <row r="352" spans="1:11" s="551" customFormat="1">
      <c r="A352" s="550"/>
      <c r="B352" s="528" t="s">
        <v>947</v>
      </c>
      <c r="C352" s="551">
        <v>0.8</v>
      </c>
      <c r="D352" s="1296">
        <v>0.8</v>
      </c>
      <c r="E352" s="1296">
        <v>0.8</v>
      </c>
      <c r="F352" s="1296">
        <v>0.8</v>
      </c>
      <c r="G352" s="1296">
        <v>0.8</v>
      </c>
      <c r="H352" s="1296">
        <v>0.8</v>
      </c>
      <c r="I352" s="1296">
        <v>0.8</v>
      </c>
      <c r="J352" s="1296">
        <v>0.8</v>
      </c>
      <c r="K352" s="1296">
        <v>0.8</v>
      </c>
    </row>
    <row r="353" spans="1:11" s="551" customFormat="1">
      <c r="A353" s="550"/>
      <c r="B353" s="528" t="s">
        <v>948</v>
      </c>
      <c r="C353" s="551">
        <v>130.80000000000001</v>
      </c>
      <c r="D353" s="1296">
        <v>130.80000000000001</v>
      </c>
      <c r="E353" s="1296">
        <v>130.80000000000001</v>
      </c>
      <c r="F353" s="1296">
        <v>130.80000000000001</v>
      </c>
      <c r="G353" s="1296">
        <v>130.80000000000001</v>
      </c>
      <c r="H353" s="1296">
        <v>130.80000000000001</v>
      </c>
      <c r="I353" s="1296">
        <v>130.80000000000001</v>
      </c>
      <c r="J353" s="1296">
        <v>130.80000000000001</v>
      </c>
      <c r="K353" s="1296">
        <v>130.80000000000001</v>
      </c>
    </row>
    <row r="354" spans="1:11" s="551" customFormat="1">
      <c r="A354" s="550"/>
      <c r="B354" s="528" t="s">
        <v>949</v>
      </c>
      <c r="C354" s="551">
        <v>160.5</v>
      </c>
      <c r="D354" s="1296">
        <v>160.5</v>
      </c>
      <c r="E354" s="1296">
        <v>160.5</v>
      </c>
      <c r="F354" s="1296">
        <v>160.5</v>
      </c>
      <c r="G354" s="1296">
        <v>160.5</v>
      </c>
      <c r="H354" s="1296">
        <v>160.5</v>
      </c>
      <c r="I354" s="1296">
        <v>160.5</v>
      </c>
      <c r="J354" s="1296">
        <v>160.5</v>
      </c>
      <c r="K354" s="1296">
        <v>160.5</v>
      </c>
    </row>
    <row r="355" spans="1:11" s="551" customFormat="1">
      <c r="A355" s="550"/>
      <c r="B355" s="528" t="s">
        <v>950</v>
      </c>
      <c r="C355" s="551" t="s">
        <v>349</v>
      </c>
      <c r="D355" s="1296" t="s">
        <v>349</v>
      </c>
      <c r="E355" s="1296" t="s">
        <v>349</v>
      </c>
      <c r="F355" s="1296" t="s">
        <v>349</v>
      </c>
      <c r="G355" s="1296" t="s">
        <v>349</v>
      </c>
      <c r="H355" s="1296" t="s">
        <v>349</v>
      </c>
      <c r="I355" s="1296" t="s">
        <v>349</v>
      </c>
      <c r="J355" s="1296" t="s">
        <v>349</v>
      </c>
      <c r="K355" s="1296" t="s">
        <v>349</v>
      </c>
    </row>
    <row r="356" spans="1:11" s="551" customFormat="1">
      <c r="A356" s="550"/>
      <c r="B356" s="528" t="s">
        <v>951</v>
      </c>
      <c r="C356" s="551">
        <v>16</v>
      </c>
      <c r="D356" s="1296">
        <v>16</v>
      </c>
      <c r="E356" s="1296">
        <v>16</v>
      </c>
      <c r="F356" s="1296">
        <v>16</v>
      </c>
      <c r="G356" s="1296">
        <v>16</v>
      </c>
      <c r="H356" s="1296">
        <v>16</v>
      </c>
      <c r="I356" s="1296">
        <v>16</v>
      </c>
      <c r="J356" s="1296">
        <v>16</v>
      </c>
      <c r="K356" s="1296">
        <v>16</v>
      </c>
    </row>
    <row r="357" spans="1:11" s="551" customFormat="1">
      <c r="A357" s="550"/>
      <c r="B357" s="528" t="s">
        <v>952</v>
      </c>
      <c r="C357" s="551" t="s">
        <v>411</v>
      </c>
      <c r="D357" s="1296" t="s">
        <v>411</v>
      </c>
      <c r="E357" s="1296" t="s">
        <v>411</v>
      </c>
      <c r="F357" s="1296" t="s">
        <v>411</v>
      </c>
      <c r="G357" s="1296" t="s">
        <v>411</v>
      </c>
      <c r="H357" s="1296" t="s">
        <v>411</v>
      </c>
      <c r="I357" s="1296" t="s">
        <v>411</v>
      </c>
      <c r="J357" s="1296" t="s">
        <v>411</v>
      </c>
      <c r="K357" s="1296" t="s">
        <v>411</v>
      </c>
    </row>
    <row r="358" spans="1:11" s="551" customFormat="1">
      <c r="A358" s="550"/>
      <c r="B358" s="528" t="s">
        <v>953</v>
      </c>
      <c r="C358" s="551" t="s">
        <v>68</v>
      </c>
      <c r="D358" s="1296" t="s">
        <v>68</v>
      </c>
      <c r="E358" s="1296" t="s">
        <v>68</v>
      </c>
      <c r="F358" s="1296" t="s">
        <v>68</v>
      </c>
      <c r="G358" s="1296" t="s">
        <v>68</v>
      </c>
      <c r="H358" s="1296" t="s">
        <v>68</v>
      </c>
      <c r="I358" s="1296" t="s">
        <v>68</v>
      </c>
      <c r="J358" s="1296" t="s">
        <v>68</v>
      </c>
      <c r="K358" s="1296" t="s">
        <v>68</v>
      </c>
    </row>
    <row r="359" spans="1:11" s="551" customFormat="1">
      <c r="A359" s="550"/>
      <c r="B359" s="528" t="s">
        <v>954</v>
      </c>
      <c r="C359" s="551">
        <v>0.56000000000000005</v>
      </c>
      <c r="D359" s="1299">
        <v>0.4</v>
      </c>
      <c r="E359" s="1302">
        <v>0.4</v>
      </c>
      <c r="F359" s="1302">
        <v>0.4</v>
      </c>
      <c r="G359" s="1299">
        <v>0.4</v>
      </c>
      <c r="H359" s="1299">
        <v>0.4</v>
      </c>
      <c r="I359" s="1302">
        <v>0.4</v>
      </c>
      <c r="J359" s="1302">
        <v>0.4</v>
      </c>
      <c r="K359" s="1299">
        <v>0.4</v>
      </c>
    </row>
    <row r="360" spans="1:11" s="551" customFormat="1">
      <c r="A360" s="550"/>
      <c r="B360" s="528" t="s">
        <v>955</v>
      </c>
      <c r="C360" s="551">
        <v>0.24</v>
      </c>
      <c r="D360" s="1301">
        <v>0.24</v>
      </c>
      <c r="E360" s="1296">
        <v>0.24</v>
      </c>
      <c r="F360" s="1296">
        <v>0.24</v>
      </c>
      <c r="G360" s="1301">
        <v>0.24</v>
      </c>
      <c r="H360" s="1301">
        <v>0.24</v>
      </c>
      <c r="I360" s="1296">
        <v>0.24</v>
      </c>
      <c r="J360" s="1296">
        <v>0.24</v>
      </c>
      <c r="K360" s="1301">
        <v>0.24</v>
      </c>
    </row>
    <row r="361" spans="1:11" s="551" customFormat="1">
      <c r="A361" s="550"/>
      <c r="B361" s="528" t="s">
        <v>956</v>
      </c>
      <c r="C361" s="551">
        <v>0.26</v>
      </c>
      <c r="D361" s="1299">
        <v>0.33</v>
      </c>
      <c r="E361" s="1302">
        <v>0.33</v>
      </c>
      <c r="F361" s="1302">
        <v>0.33</v>
      </c>
      <c r="G361" s="1299">
        <v>0.33</v>
      </c>
      <c r="H361" s="1299">
        <v>0.33</v>
      </c>
      <c r="I361" s="1302">
        <v>0.33</v>
      </c>
      <c r="J361" s="1302">
        <v>0.33</v>
      </c>
      <c r="K361" s="1299">
        <v>0.33</v>
      </c>
    </row>
    <row r="362" spans="1:11" s="551" customFormat="1">
      <c r="A362" s="550"/>
      <c r="B362" s="528" t="s">
        <v>957</v>
      </c>
      <c r="C362" s="186">
        <v>1.28</v>
      </c>
      <c r="D362" s="1300">
        <v>2.99</v>
      </c>
      <c r="E362" s="1297">
        <v>2.99</v>
      </c>
      <c r="F362" s="1297">
        <v>2.99</v>
      </c>
      <c r="G362" s="1300">
        <v>2.99</v>
      </c>
      <c r="H362" s="1300">
        <v>2.99</v>
      </c>
      <c r="I362" s="1297">
        <v>2.99</v>
      </c>
      <c r="J362" s="1297">
        <v>2.99</v>
      </c>
      <c r="K362" s="1300">
        <v>2.99</v>
      </c>
    </row>
    <row r="363" spans="1:11" s="551" customFormat="1">
      <c r="A363" s="550"/>
      <c r="B363" s="528" t="s">
        <v>958</v>
      </c>
      <c r="C363" s="551">
        <v>124</v>
      </c>
      <c r="D363" s="1296">
        <v>124</v>
      </c>
      <c r="E363" s="1296">
        <v>124</v>
      </c>
      <c r="F363" s="1296">
        <v>124</v>
      </c>
      <c r="G363" s="1296">
        <v>124</v>
      </c>
      <c r="H363" s="1296">
        <v>124</v>
      </c>
      <c r="I363" s="1296">
        <v>124</v>
      </c>
      <c r="J363" s="1296">
        <v>124</v>
      </c>
      <c r="K363" s="1296">
        <v>124</v>
      </c>
    </row>
    <row r="364" spans="1:11" s="551" customFormat="1">
      <c r="A364" s="550"/>
      <c r="B364" s="528" t="s">
        <v>959</v>
      </c>
      <c r="C364" s="551">
        <v>0.8</v>
      </c>
      <c r="D364" s="1296">
        <v>0.8</v>
      </c>
      <c r="E364" s="1296">
        <v>0.8</v>
      </c>
      <c r="F364" s="1296">
        <v>0.8</v>
      </c>
      <c r="G364" s="1296">
        <v>0.8</v>
      </c>
      <c r="H364" s="1296">
        <v>0.8</v>
      </c>
      <c r="I364" s="1296">
        <v>0.8</v>
      </c>
      <c r="J364" s="1296">
        <v>0.8</v>
      </c>
      <c r="K364" s="1296">
        <v>0.8</v>
      </c>
    </row>
    <row r="365" spans="1:11" s="551" customFormat="1">
      <c r="A365" s="550"/>
      <c r="B365" s="528" t="s">
        <v>960</v>
      </c>
      <c r="C365" s="551">
        <v>130.80000000000001</v>
      </c>
      <c r="D365" s="1296">
        <v>130.80000000000001</v>
      </c>
      <c r="E365" s="1296">
        <v>130.80000000000001</v>
      </c>
      <c r="F365" s="1296">
        <v>130.80000000000001</v>
      </c>
      <c r="G365" s="1296">
        <v>130.80000000000001</v>
      </c>
      <c r="H365" s="1296">
        <v>130.80000000000001</v>
      </c>
      <c r="I365" s="1296">
        <v>130.80000000000001</v>
      </c>
      <c r="J365" s="1296">
        <v>130.80000000000001</v>
      </c>
      <c r="K365" s="1296">
        <v>130.80000000000001</v>
      </c>
    </row>
    <row r="366" spans="1:11" s="551" customFormat="1">
      <c r="A366" s="550"/>
      <c r="B366" s="528" t="s">
        <v>961</v>
      </c>
      <c r="C366" s="551">
        <v>160.5</v>
      </c>
      <c r="D366" s="1296">
        <v>160.5</v>
      </c>
      <c r="E366" s="1296">
        <v>160.5</v>
      </c>
      <c r="F366" s="1296">
        <v>160.5</v>
      </c>
      <c r="G366" s="1296">
        <v>160.5</v>
      </c>
      <c r="H366" s="1296">
        <v>160.5</v>
      </c>
      <c r="I366" s="1296">
        <v>160.5</v>
      </c>
      <c r="J366" s="1296">
        <v>160.5</v>
      </c>
      <c r="K366" s="1296">
        <v>160.5</v>
      </c>
    </row>
    <row r="367" spans="1:11" s="551" customFormat="1">
      <c r="A367" s="550"/>
      <c r="B367" s="528" t="s">
        <v>962</v>
      </c>
      <c r="C367" s="551">
        <v>23.3</v>
      </c>
      <c r="D367" s="1296">
        <v>23.3</v>
      </c>
      <c r="E367" s="1296">
        <v>23.3</v>
      </c>
      <c r="F367" s="1296">
        <v>23.3</v>
      </c>
      <c r="G367" s="1296">
        <v>23.3</v>
      </c>
      <c r="H367" s="1296">
        <v>23.3</v>
      </c>
      <c r="I367" s="1296">
        <v>23.3</v>
      </c>
      <c r="J367" s="1296">
        <v>23.3</v>
      </c>
      <c r="K367" s="1296">
        <v>23.3</v>
      </c>
    </row>
    <row r="368" spans="1:11" s="551" customFormat="1">
      <c r="A368" s="550"/>
      <c r="B368" s="528" t="s">
        <v>963</v>
      </c>
      <c r="C368" s="551">
        <v>16</v>
      </c>
      <c r="D368" s="1296">
        <v>16</v>
      </c>
      <c r="E368" s="1296">
        <v>16</v>
      </c>
      <c r="F368" s="1296">
        <v>16</v>
      </c>
      <c r="G368" s="1296">
        <v>16</v>
      </c>
      <c r="H368" s="1296">
        <v>16</v>
      </c>
      <c r="I368" s="1296">
        <v>16</v>
      </c>
      <c r="J368" s="1296">
        <v>16</v>
      </c>
      <c r="K368" s="1296">
        <v>16</v>
      </c>
    </row>
    <row r="369" spans="1:11" s="551" customFormat="1">
      <c r="A369" s="550"/>
      <c r="B369" s="528" t="s">
        <v>964</v>
      </c>
      <c r="C369" s="551" t="s">
        <v>410</v>
      </c>
      <c r="D369" s="1296" t="s">
        <v>410</v>
      </c>
      <c r="E369" s="1296" t="s">
        <v>410</v>
      </c>
      <c r="F369" s="1296" t="s">
        <v>410</v>
      </c>
      <c r="G369" s="1296" t="s">
        <v>410</v>
      </c>
      <c r="H369" s="1296" t="s">
        <v>410</v>
      </c>
      <c r="I369" s="1296" t="s">
        <v>410</v>
      </c>
      <c r="J369" s="1296" t="s">
        <v>410</v>
      </c>
      <c r="K369" s="1296" t="s">
        <v>410</v>
      </c>
    </row>
    <row r="370" spans="1:11" s="551" customFormat="1">
      <c r="A370" s="550"/>
      <c r="B370" s="528" t="s">
        <v>965</v>
      </c>
      <c r="C370" s="551" t="s">
        <v>447</v>
      </c>
      <c r="D370" s="1296" t="s">
        <v>447</v>
      </c>
      <c r="E370" s="1296" t="s">
        <v>447</v>
      </c>
      <c r="F370" s="1296" t="s">
        <v>447</v>
      </c>
      <c r="G370" s="1296" t="s">
        <v>447</v>
      </c>
      <c r="H370" s="1296" t="s">
        <v>447</v>
      </c>
      <c r="I370" s="1296" t="s">
        <v>447</v>
      </c>
      <c r="J370" s="1296" t="s">
        <v>447</v>
      </c>
      <c r="K370" s="1296" t="s">
        <v>447</v>
      </c>
    </row>
    <row r="371" spans="1:11" s="551" customFormat="1">
      <c r="A371" s="550"/>
      <c r="B371" s="528" t="s">
        <v>966</v>
      </c>
      <c r="C371" s="551">
        <v>0.52249999999999996</v>
      </c>
      <c r="D371" s="1299">
        <v>0.37</v>
      </c>
      <c r="E371" s="1302">
        <v>0.37</v>
      </c>
      <c r="F371" s="1302">
        <v>0.37</v>
      </c>
      <c r="G371" s="1299">
        <v>0.37</v>
      </c>
      <c r="H371" s="1299">
        <v>0.37</v>
      </c>
      <c r="I371" s="1302">
        <v>0.37</v>
      </c>
      <c r="J371" s="1302">
        <v>0.37</v>
      </c>
      <c r="K371" s="1299">
        <v>0.37</v>
      </c>
    </row>
    <row r="372" spans="1:11" s="551" customFormat="1">
      <c r="A372" s="550"/>
      <c r="B372" s="528" t="s">
        <v>967</v>
      </c>
      <c r="C372" s="551">
        <v>0.28500000000000003</v>
      </c>
      <c r="D372" s="1299">
        <v>0.24</v>
      </c>
      <c r="E372" s="1302">
        <v>0.24</v>
      </c>
      <c r="F372" s="1302">
        <v>0.24</v>
      </c>
      <c r="G372" s="1299">
        <v>0.24</v>
      </c>
      <c r="H372" s="1299">
        <v>0.24</v>
      </c>
      <c r="I372" s="1302">
        <v>0.24</v>
      </c>
      <c r="J372" s="1302">
        <v>0.24</v>
      </c>
      <c r="K372" s="1299">
        <v>0.24</v>
      </c>
    </row>
    <row r="373" spans="1:11" s="551" customFormat="1">
      <c r="A373" s="550"/>
      <c r="B373" s="528" t="s">
        <v>968</v>
      </c>
      <c r="C373" s="551">
        <v>0.29000000000000004</v>
      </c>
      <c r="D373" s="1299">
        <v>0.33</v>
      </c>
      <c r="E373" s="1302">
        <v>0.33</v>
      </c>
      <c r="F373" s="1302">
        <v>0.33</v>
      </c>
      <c r="G373" s="1299">
        <v>0.33</v>
      </c>
      <c r="H373" s="1299">
        <v>0.33</v>
      </c>
      <c r="I373" s="1302">
        <v>0.33</v>
      </c>
      <c r="J373" s="1302">
        <v>0.33</v>
      </c>
      <c r="K373" s="1299">
        <v>0.33</v>
      </c>
    </row>
    <row r="374" spans="1:11" s="551" customFormat="1">
      <c r="A374" s="550"/>
      <c r="B374" s="528" t="s">
        <v>969</v>
      </c>
      <c r="C374" s="186">
        <v>1.25</v>
      </c>
      <c r="D374" s="1300">
        <v>1.99</v>
      </c>
      <c r="E374" s="1297">
        <v>1.99</v>
      </c>
      <c r="F374" s="1297">
        <v>1.99</v>
      </c>
      <c r="G374" s="1300">
        <v>1.99</v>
      </c>
      <c r="H374" s="1300">
        <v>1.99</v>
      </c>
      <c r="I374" s="1297">
        <v>1.99</v>
      </c>
      <c r="J374" s="1297">
        <v>1.99</v>
      </c>
      <c r="K374" s="1300">
        <v>1.99</v>
      </c>
    </row>
    <row r="375" spans="1:11" s="551" customFormat="1">
      <c r="A375" s="550"/>
      <c r="B375" s="528" t="s">
        <v>970</v>
      </c>
      <c r="C375" s="551">
        <v>1</v>
      </c>
      <c r="D375" s="1296">
        <v>1</v>
      </c>
      <c r="E375" s="1296">
        <v>1</v>
      </c>
      <c r="F375" s="1296">
        <v>1</v>
      </c>
      <c r="G375" s="1296">
        <v>1</v>
      </c>
      <c r="H375" s="1296">
        <v>1</v>
      </c>
      <c r="I375" s="1296">
        <v>1</v>
      </c>
      <c r="J375" s="1296">
        <v>1</v>
      </c>
      <c r="K375" s="1296">
        <v>1</v>
      </c>
    </row>
    <row r="376" spans="1:11" s="551" customFormat="1">
      <c r="A376" s="550"/>
      <c r="B376" s="528" t="s">
        <v>971</v>
      </c>
      <c r="C376" s="551">
        <v>1</v>
      </c>
      <c r="D376" s="1296">
        <v>1</v>
      </c>
      <c r="E376" s="1296">
        <v>1</v>
      </c>
      <c r="F376" s="1296">
        <v>1</v>
      </c>
      <c r="G376" s="1296">
        <v>1</v>
      </c>
      <c r="H376" s="1296">
        <v>1</v>
      </c>
      <c r="I376" s="1296">
        <v>1</v>
      </c>
      <c r="J376" s="1296">
        <v>1</v>
      </c>
      <c r="K376" s="1296">
        <v>1</v>
      </c>
    </row>
    <row r="377" spans="1:11" s="551" customFormat="1">
      <c r="A377" s="550"/>
      <c r="B377" s="528" t="s">
        <v>972</v>
      </c>
      <c r="C377" s="551">
        <v>1.05</v>
      </c>
      <c r="D377" s="1296">
        <v>1.05</v>
      </c>
      <c r="E377" s="1296">
        <v>1.05</v>
      </c>
      <c r="F377" s="1296">
        <v>1.05</v>
      </c>
      <c r="G377" s="1296">
        <v>1.05</v>
      </c>
      <c r="H377" s="1296">
        <v>1.05</v>
      </c>
      <c r="I377" s="1296">
        <v>1.05</v>
      </c>
      <c r="J377" s="1296">
        <v>1.05</v>
      </c>
      <c r="K377" s="1296">
        <v>1.05</v>
      </c>
    </row>
    <row r="378" spans="1:11" s="551" customFormat="1">
      <c r="A378" s="550"/>
      <c r="B378" s="528" t="s">
        <v>973</v>
      </c>
      <c r="C378" s="551">
        <v>1.3</v>
      </c>
      <c r="D378" s="1296">
        <v>1.3</v>
      </c>
      <c r="E378" s="1296">
        <v>1.3</v>
      </c>
      <c r="F378" s="1296">
        <v>1.3</v>
      </c>
      <c r="G378" s="1296">
        <v>1.3</v>
      </c>
      <c r="H378" s="1296">
        <v>1.3</v>
      </c>
      <c r="I378" s="1296">
        <v>1.3</v>
      </c>
      <c r="J378" s="1296">
        <v>1.3</v>
      </c>
      <c r="K378" s="1296">
        <v>1.3</v>
      </c>
    </row>
    <row r="379" spans="1:11" s="551" customFormat="1">
      <c r="A379" s="550"/>
      <c r="B379" s="528" t="s">
        <v>974</v>
      </c>
      <c r="C379" s="551">
        <v>0</v>
      </c>
      <c r="D379" s="1296">
        <v>0</v>
      </c>
      <c r="E379" s="1296">
        <v>0</v>
      </c>
      <c r="F379" s="1296">
        <v>0</v>
      </c>
      <c r="G379" s="1296">
        <v>0</v>
      </c>
      <c r="H379" s="1296">
        <v>0</v>
      </c>
      <c r="I379" s="1296">
        <v>0</v>
      </c>
      <c r="J379" s="1296">
        <v>0</v>
      </c>
      <c r="K379" s="1296">
        <v>0</v>
      </c>
    </row>
    <row r="380" spans="1:11" s="551" customFormat="1">
      <c r="A380" s="550"/>
      <c r="B380" s="528" t="s">
        <v>975</v>
      </c>
      <c r="C380" s="551">
        <v>0</v>
      </c>
      <c r="D380" s="1296">
        <v>0</v>
      </c>
      <c r="E380" s="1296">
        <v>0</v>
      </c>
      <c r="F380" s="1296">
        <v>0</v>
      </c>
      <c r="G380" s="1296">
        <v>0</v>
      </c>
      <c r="H380" s="1296">
        <v>0</v>
      </c>
      <c r="I380" s="1296">
        <v>0</v>
      </c>
      <c r="J380" s="1296">
        <v>0</v>
      </c>
      <c r="K380" s="1296">
        <v>0</v>
      </c>
    </row>
    <row r="381" spans="1:11">
      <c r="A381" s="159"/>
      <c r="B381" s="527"/>
    </row>
    <row r="382" spans="1:11" s="523" customFormat="1">
      <c r="A382" s="544">
        <v>5.0999999999999996</v>
      </c>
      <c r="B382" s="545" t="s">
        <v>439</v>
      </c>
      <c r="D382" s="1294"/>
      <c r="E382" s="1294"/>
      <c r="F382" s="1294"/>
      <c r="G382" s="1294"/>
      <c r="H382" s="1294"/>
      <c r="I382" s="1294"/>
      <c r="J382" s="1294"/>
      <c r="K382" s="1294"/>
    </row>
    <row r="383" spans="1:11" s="1284" customFormat="1">
      <c r="A383" s="1283"/>
      <c r="B383" s="596" t="s">
        <v>976</v>
      </c>
      <c r="C383" s="1284">
        <v>0.23</v>
      </c>
      <c r="D383" s="1302">
        <v>0.11</v>
      </c>
      <c r="E383" s="1302">
        <v>0.11</v>
      </c>
      <c r="F383" s="1302">
        <v>0.11</v>
      </c>
      <c r="G383" s="1302">
        <v>0.11</v>
      </c>
      <c r="H383" s="1302">
        <v>0.11</v>
      </c>
      <c r="I383" s="1302">
        <v>0.11</v>
      </c>
      <c r="J383" s="1302">
        <v>0.11</v>
      </c>
      <c r="K383" s="1302">
        <v>0.11</v>
      </c>
    </row>
    <row r="384" spans="1:11" s="1284" customFormat="1">
      <c r="A384" s="1283"/>
      <c r="B384" s="596" t="s">
        <v>976</v>
      </c>
      <c r="C384" s="1284">
        <v>23118.387703488006</v>
      </c>
      <c r="D384" s="1302">
        <v>11056.620206016003</v>
      </c>
      <c r="E384" s="1302">
        <v>11056.620206016003</v>
      </c>
      <c r="F384" s="1302">
        <v>11056.620206016003</v>
      </c>
      <c r="G384" s="1302">
        <v>11056.620206016003</v>
      </c>
      <c r="H384" s="1302">
        <v>11056.620206016003</v>
      </c>
      <c r="I384" s="1302">
        <v>11056.620206016003</v>
      </c>
      <c r="J384" s="1302">
        <v>11056.620206016003</v>
      </c>
      <c r="K384" s="1302">
        <v>11056.620206016003</v>
      </c>
    </row>
    <row r="385" spans="1:11" s="1284" customFormat="1">
      <c r="A385" s="1283"/>
      <c r="B385" s="596" t="s">
        <v>977</v>
      </c>
      <c r="C385" s="1284">
        <v>0.24</v>
      </c>
      <c r="D385" s="1302">
        <v>0.11</v>
      </c>
      <c r="E385" s="1302">
        <v>0.11</v>
      </c>
      <c r="F385" s="1302">
        <v>0.11</v>
      </c>
      <c r="G385" s="1302">
        <v>0.11</v>
      </c>
      <c r="H385" s="1302">
        <v>0.11</v>
      </c>
      <c r="I385" s="1302">
        <v>0.11</v>
      </c>
      <c r="J385" s="1302">
        <v>0.11</v>
      </c>
      <c r="K385" s="1302">
        <v>0.11</v>
      </c>
    </row>
    <row r="386" spans="1:11" s="1284" customFormat="1">
      <c r="A386" s="1283"/>
      <c r="B386" s="596" t="s">
        <v>977</v>
      </c>
      <c r="C386" s="1284">
        <v>25679.892091392008</v>
      </c>
      <c r="D386" s="1302">
        <v>11769.950541888003</v>
      </c>
      <c r="E386" s="1302">
        <v>11769.950541888003</v>
      </c>
      <c r="F386" s="1302">
        <v>11769.950541888003</v>
      </c>
      <c r="G386" s="1302">
        <v>11769.950541888003</v>
      </c>
      <c r="H386" s="1302">
        <v>11769.950541888003</v>
      </c>
      <c r="I386" s="1302">
        <v>11769.950541888003</v>
      </c>
      <c r="J386" s="1302">
        <v>11769.950541888003</v>
      </c>
      <c r="K386" s="1302">
        <v>11769.950541888003</v>
      </c>
    </row>
    <row r="387" spans="1:11" s="1284" customFormat="1">
      <c r="A387" s="1283"/>
      <c r="B387" s="596" t="s">
        <v>978</v>
      </c>
      <c r="C387" s="1284">
        <v>0.23</v>
      </c>
      <c r="D387" s="1302">
        <v>0.11</v>
      </c>
      <c r="E387" s="1302">
        <v>0.11</v>
      </c>
      <c r="F387" s="1302">
        <v>0.11</v>
      </c>
      <c r="G387" s="1302">
        <v>0.11</v>
      </c>
      <c r="H387" s="1356">
        <v>0.15</v>
      </c>
      <c r="I387" s="1356">
        <v>0.15</v>
      </c>
      <c r="J387" s="1356">
        <v>0.15</v>
      </c>
      <c r="K387" s="1356">
        <v>0.15</v>
      </c>
    </row>
    <row r="388" spans="1:11" s="1284" customFormat="1">
      <c r="A388" s="1283"/>
      <c r="B388" s="596" t="s">
        <v>978</v>
      </c>
      <c r="C388" s="1284">
        <v>25434.151497216004</v>
      </c>
      <c r="D388" s="1302">
        <v>12164.159411712002</v>
      </c>
      <c r="E388" s="1302">
        <v>12164.159411712002</v>
      </c>
      <c r="F388" s="1302">
        <v>12164.159411712002</v>
      </c>
      <c r="G388" s="1302">
        <v>12164.159411712002</v>
      </c>
      <c r="H388" s="1356">
        <v>16587.490106880003</v>
      </c>
      <c r="I388" s="1356">
        <v>16587.490106880003</v>
      </c>
      <c r="J388" s="1356">
        <v>16587.490106880003</v>
      </c>
      <c r="K388" s="1356">
        <v>16587.490106880003</v>
      </c>
    </row>
    <row r="389" spans="1:11" s="1284" customFormat="1">
      <c r="A389" s="1283"/>
      <c r="B389" s="596" t="s">
        <v>979</v>
      </c>
      <c r="C389" s="1284">
        <v>0.25</v>
      </c>
      <c r="D389" s="1302">
        <v>0.11</v>
      </c>
      <c r="E389" s="1302">
        <v>0.11</v>
      </c>
      <c r="F389" s="1302">
        <v>0.11</v>
      </c>
      <c r="G389" s="1302">
        <v>0.11</v>
      </c>
      <c r="H389" s="1302">
        <v>0.11</v>
      </c>
      <c r="I389" s="1302">
        <v>0.11</v>
      </c>
      <c r="J389" s="1302">
        <v>0.11</v>
      </c>
      <c r="K389" s="1302">
        <v>0.11</v>
      </c>
    </row>
    <row r="390" spans="1:11" s="1284" customFormat="1">
      <c r="A390" s="1283"/>
      <c r="B390" s="596" t="s">
        <v>979</v>
      </c>
      <c r="C390" s="1284">
        <v>25128.682286400006</v>
      </c>
      <c r="D390" s="1302">
        <v>11056.620206016003</v>
      </c>
      <c r="E390" s="1302">
        <v>11056.620206016003</v>
      </c>
      <c r="F390" s="1302">
        <v>11056.620206016003</v>
      </c>
      <c r="G390" s="1302">
        <v>11056.620206016003</v>
      </c>
      <c r="H390" s="1302">
        <v>11056.620206016003</v>
      </c>
      <c r="I390" s="1302">
        <v>11056.620206016003</v>
      </c>
      <c r="J390" s="1302">
        <v>11056.620206016003</v>
      </c>
      <c r="K390" s="1302">
        <v>11056.620206016003</v>
      </c>
    </row>
    <row r="391" spans="1:11" s="1284" customFormat="1">
      <c r="A391" s="1283"/>
      <c r="B391" s="596" t="s">
        <v>980</v>
      </c>
      <c r="C391" s="1284">
        <v>0.23</v>
      </c>
      <c r="D391" s="1302">
        <v>0.11</v>
      </c>
      <c r="E391" s="1302">
        <v>0.11</v>
      </c>
      <c r="F391" s="1302">
        <v>0.11</v>
      </c>
      <c r="G391" s="1302">
        <v>0.11</v>
      </c>
      <c r="H391" s="1302">
        <v>0.11</v>
      </c>
      <c r="I391" s="1302">
        <v>0.11</v>
      </c>
      <c r="J391" s="1302">
        <v>0.11</v>
      </c>
      <c r="K391" s="1302">
        <v>0.11</v>
      </c>
    </row>
    <row r="392" spans="1:11" s="1284" customFormat="1">
      <c r="A392" s="1283"/>
      <c r="B392" s="596" t="s">
        <v>980</v>
      </c>
      <c r="C392" s="1284">
        <v>24609.896587584008</v>
      </c>
      <c r="D392" s="1302">
        <v>11769.950541888003</v>
      </c>
      <c r="E392" s="1302">
        <v>11769.950541888003</v>
      </c>
      <c r="F392" s="1302">
        <v>11769.950541888003</v>
      </c>
      <c r="G392" s="1302">
        <v>11769.950541888003</v>
      </c>
      <c r="H392" s="1302">
        <v>11769.950541888003</v>
      </c>
      <c r="I392" s="1302">
        <v>11769.950541888003</v>
      </c>
      <c r="J392" s="1302">
        <v>11769.950541888003</v>
      </c>
      <c r="K392" s="1302">
        <v>11769.950541888003</v>
      </c>
    </row>
    <row r="393" spans="1:11" s="1284" customFormat="1">
      <c r="A393" s="1283"/>
      <c r="B393" s="596" t="s">
        <v>981</v>
      </c>
      <c r="C393" s="1284">
        <v>0.22</v>
      </c>
      <c r="D393" s="1302">
        <v>0.11</v>
      </c>
      <c r="E393" s="1302">
        <v>0.11</v>
      </c>
      <c r="F393" s="1302">
        <v>0.11</v>
      </c>
      <c r="G393" s="1302">
        <v>0.11</v>
      </c>
      <c r="H393" s="1356">
        <v>0.16</v>
      </c>
      <c r="I393" s="1356">
        <v>0.16</v>
      </c>
      <c r="J393" s="1356">
        <v>0.16</v>
      </c>
      <c r="K393" s="1356">
        <v>0.16</v>
      </c>
    </row>
    <row r="394" spans="1:11" s="1284" customFormat="1">
      <c r="A394" s="1283"/>
      <c r="B394" s="596" t="s">
        <v>981</v>
      </c>
      <c r="C394" s="1284">
        <v>24328.318823424004</v>
      </c>
      <c r="D394" s="1302">
        <v>12164.159411712002</v>
      </c>
      <c r="E394" s="1302">
        <v>12164.159411712002</v>
      </c>
      <c r="F394" s="1302">
        <v>12164.159411712002</v>
      </c>
      <c r="G394" s="1302">
        <v>12164.159411712002</v>
      </c>
      <c r="H394" s="1356">
        <v>17693.322780672002</v>
      </c>
      <c r="I394" s="1356">
        <v>17693.322780672002</v>
      </c>
      <c r="J394" s="1356">
        <v>17693.322780672002</v>
      </c>
      <c r="K394" s="1356">
        <v>17693.322780672002</v>
      </c>
    </row>
    <row r="395" spans="1:11" s="1284" customFormat="1">
      <c r="A395" s="1283"/>
      <c r="B395" s="596" t="s">
        <v>982</v>
      </c>
      <c r="C395" s="1284">
        <v>0.14000000000000001</v>
      </c>
      <c r="D395" s="1302">
        <v>0.09</v>
      </c>
      <c r="E395" s="1302">
        <v>0.09</v>
      </c>
      <c r="F395" s="1302">
        <v>0.09</v>
      </c>
      <c r="G395" s="1302">
        <v>0.09</v>
      </c>
      <c r="H395" s="1302">
        <v>0.09</v>
      </c>
      <c r="I395" s="1302">
        <v>0.09</v>
      </c>
      <c r="J395" s="1302">
        <v>0.09</v>
      </c>
      <c r="K395" s="1302">
        <v>0.09</v>
      </c>
    </row>
    <row r="396" spans="1:11" s="1284" customFormat="1">
      <c r="A396" s="1283"/>
      <c r="B396" s="596" t="s">
        <v>982</v>
      </c>
      <c r="C396" s="1284">
        <v>14072.062080384005</v>
      </c>
      <c r="D396" s="1302">
        <v>9046.3256231040014</v>
      </c>
      <c r="E396" s="1302">
        <v>9046.3256231040014</v>
      </c>
      <c r="F396" s="1302">
        <v>9046.3256231040014</v>
      </c>
      <c r="G396" s="1302">
        <v>9046.3256231040014</v>
      </c>
      <c r="H396" s="1302">
        <v>9046.3256231040014</v>
      </c>
      <c r="I396" s="1302">
        <v>9046.3256231040014</v>
      </c>
      <c r="J396" s="1302">
        <v>9046.3256231040014</v>
      </c>
      <c r="K396" s="1302">
        <v>9046.3256231040014</v>
      </c>
    </row>
    <row r="397" spans="1:11" s="1284" customFormat="1">
      <c r="A397" s="1283"/>
      <c r="B397" s="596" t="s">
        <v>983</v>
      </c>
      <c r="C397" s="1284">
        <v>0.14000000000000001</v>
      </c>
      <c r="D397" s="1302">
        <v>0.09</v>
      </c>
      <c r="E397" s="1302">
        <v>0.09</v>
      </c>
      <c r="F397" s="1302">
        <v>0.09</v>
      </c>
      <c r="G397" s="1302">
        <v>0.09</v>
      </c>
      <c r="H397" s="1302">
        <v>0.09</v>
      </c>
      <c r="I397" s="1302">
        <v>0.09</v>
      </c>
      <c r="J397" s="1302">
        <v>0.09</v>
      </c>
      <c r="K397" s="1302">
        <v>0.09</v>
      </c>
    </row>
    <row r="398" spans="1:11" s="1284" customFormat="1">
      <c r="A398" s="1283"/>
      <c r="B398" s="596" t="s">
        <v>983</v>
      </c>
      <c r="C398" s="1284">
        <v>14979.937053312007</v>
      </c>
      <c r="D398" s="1302">
        <v>9629.9595342720022</v>
      </c>
      <c r="E398" s="1302">
        <v>9629.9595342720022</v>
      </c>
      <c r="F398" s="1302">
        <v>9629.9595342720022</v>
      </c>
      <c r="G398" s="1302">
        <v>9629.9595342720022</v>
      </c>
      <c r="H398" s="1302">
        <v>9629.9595342720022</v>
      </c>
      <c r="I398" s="1302">
        <v>9629.9595342720022</v>
      </c>
      <c r="J398" s="1302">
        <v>9629.9595342720022</v>
      </c>
      <c r="K398" s="1302">
        <v>9629.9595342720022</v>
      </c>
    </row>
    <row r="399" spans="1:11" s="1284" customFormat="1">
      <c r="A399" s="1283"/>
      <c r="B399" s="596" t="s">
        <v>984</v>
      </c>
      <c r="C399" s="1284">
        <v>0.15</v>
      </c>
      <c r="D399" s="1302">
        <v>0.09</v>
      </c>
      <c r="E399" s="1302">
        <v>0.09</v>
      </c>
      <c r="F399" s="1302">
        <v>0.09</v>
      </c>
      <c r="G399" s="1302">
        <v>0.09</v>
      </c>
      <c r="H399" s="1302">
        <v>0.09</v>
      </c>
      <c r="I399" s="1302">
        <v>0.09</v>
      </c>
      <c r="J399" s="1302">
        <v>0.09</v>
      </c>
      <c r="K399" s="1302">
        <v>0.09</v>
      </c>
    </row>
    <row r="400" spans="1:11" s="1284" customFormat="1">
      <c r="A400" s="1283"/>
      <c r="B400" s="596" t="s">
        <v>984</v>
      </c>
      <c r="C400" s="1284">
        <v>16587.490106880003</v>
      </c>
      <c r="D400" s="1302">
        <v>9952.4940641280009</v>
      </c>
      <c r="E400" s="1302">
        <v>9952.4940641280009</v>
      </c>
      <c r="F400" s="1302">
        <v>9952.4940641280009</v>
      </c>
      <c r="G400" s="1302">
        <v>9952.4940641280009</v>
      </c>
      <c r="H400" s="1302">
        <v>9952.4940641280009</v>
      </c>
      <c r="I400" s="1302">
        <v>9952.4940641280009</v>
      </c>
      <c r="J400" s="1302">
        <v>9952.4940641280009</v>
      </c>
      <c r="K400" s="1302">
        <v>9952.4940641280009</v>
      </c>
    </row>
    <row r="401" spans="1:11" s="1284" customFormat="1">
      <c r="A401" s="1283"/>
      <c r="B401" s="596" t="s">
        <v>985</v>
      </c>
      <c r="C401" s="1284">
        <v>0.12</v>
      </c>
      <c r="D401" s="1302">
        <v>0.23</v>
      </c>
      <c r="E401" s="1302">
        <v>0.23</v>
      </c>
      <c r="F401" s="1302">
        <v>0.23</v>
      </c>
      <c r="G401" s="1302">
        <v>0.23</v>
      </c>
      <c r="H401" s="1302">
        <v>0.23</v>
      </c>
      <c r="I401" s="1302">
        <v>0.23</v>
      </c>
      <c r="J401" s="1302">
        <v>0.23</v>
      </c>
      <c r="K401" s="1302">
        <v>0.23</v>
      </c>
    </row>
    <row r="402" spans="1:11" s="1284" customFormat="1">
      <c r="A402" s="1283"/>
      <c r="B402" s="596" t="s">
        <v>985</v>
      </c>
      <c r="C402" s="1284">
        <v>12061.767497472003</v>
      </c>
      <c r="D402" s="1302">
        <v>23118.387703488006</v>
      </c>
      <c r="E402" s="1302">
        <v>23118.387703488006</v>
      </c>
      <c r="F402" s="1302">
        <v>23118.387703488006</v>
      </c>
      <c r="G402" s="1302">
        <v>23118.387703488006</v>
      </c>
      <c r="H402" s="1302">
        <v>23118.387703488006</v>
      </c>
      <c r="I402" s="1302">
        <v>23118.387703488006</v>
      </c>
      <c r="J402" s="1302">
        <v>23118.387703488006</v>
      </c>
      <c r="K402" s="1302">
        <v>23118.387703488006</v>
      </c>
    </row>
    <row r="403" spans="1:11" s="1284" customFormat="1">
      <c r="A403" s="1283"/>
      <c r="B403" s="596" t="s">
        <v>986</v>
      </c>
      <c r="C403" s="1284">
        <v>0.13</v>
      </c>
      <c r="D403" s="1302">
        <v>0.23</v>
      </c>
      <c r="E403" s="1302">
        <v>0.23</v>
      </c>
      <c r="F403" s="1302">
        <v>0.23</v>
      </c>
      <c r="G403" s="1302">
        <v>0.23</v>
      </c>
      <c r="H403" s="1302">
        <v>0.23</v>
      </c>
      <c r="I403" s="1302">
        <v>0.23</v>
      </c>
      <c r="J403" s="1302">
        <v>0.23</v>
      </c>
      <c r="K403" s="1302">
        <v>0.23</v>
      </c>
    </row>
    <row r="404" spans="1:11" s="1284" customFormat="1">
      <c r="A404" s="1283"/>
      <c r="B404" s="596" t="s">
        <v>986</v>
      </c>
      <c r="C404" s="1284">
        <v>13909.941549504005</v>
      </c>
      <c r="D404" s="1302">
        <v>24609.896587584008</v>
      </c>
      <c r="E404" s="1302">
        <v>24609.896587584008</v>
      </c>
      <c r="F404" s="1302">
        <v>24609.896587584008</v>
      </c>
      <c r="G404" s="1302">
        <v>24609.896587584008</v>
      </c>
      <c r="H404" s="1302">
        <v>24609.896587584008</v>
      </c>
      <c r="I404" s="1302">
        <v>24609.896587584008</v>
      </c>
      <c r="J404" s="1302">
        <v>24609.896587584008</v>
      </c>
      <c r="K404" s="1302">
        <v>24609.896587584008</v>
      </c>
    </row>
    <row r="405" spans="1:11" s="1284" customFormat="1">
      <c r="A405" s="1283"/>
      <c r="B405" s="596" t="s">
        <v>987</v>
      </c>
      <c r="C405" s="1284">
        <v>0.13</v>
      </c>
      <c r="D405" s="1302">
        <v>0.23</v>
      </c>
      <c r="E405" s="1302">
        <v>0.23</v>
      </c>
      <c r="F405" s="1302">
        <v>0.23</v>
      </c>
      <c r="G405" s="1302">
        <v>0.23</v>
      </c>
      <c r="H405" s="1356">
        <v>0.2</v>
      </c>
      <c r="I405" s="1356">
        <v>0.2</v>
      </c>
      <c r="J405" s="1356">
        <v>0.2</v>
      </c>
      <c r="K405" s="1356">
        <v>0.2</v>
      </c>
    </row>
    <row r="406" spans="1:11" s="1284" customFormat="1">
      <c r="A406" s="1283"/>
      <c r="B406" s="596" t="s">
        <v>987</v>
      </c>
      <c r="C406" s="1284">
        <v>14375.824759296002</v>
      </c>
      <c r="D406" s="1302">
        <v>25434.151497216004</v>
      </c>
      <c r="E406" s="1302">
        <v>25434.151497216004</v>
      </c>
      <c r="F406" s="1302">
        <v>25434.151497216004</v>
      </c>
      <c r="G406" s="1302">
        <v>25434.151497216004</v>
      </c>
      <c r="H406" s="1356">
        <v>22116.653475840005</v>
      </c>
      <c r="I406" s="1356">
        <v>22116.653475840005</v>
      </c>
      <c r="J406" s="1356">
        <v>22116.653475840005</v>
      </c>
      <c r="K406" s="1356">
        <v>22116.653475840005</v>
      </c>
    </row>
    <row r="407" spans="1:11" s="1284" customFormat="1">
      <c r="A407" s="1283"/>
      <c r="B407" s="596" t="s">
        <v>988</v>
      </c>
      <c r="C407" s="1284">
        <v>0.12</v>
      </c>
      <c r="D407" s="1302">
        <v>0.23</v>
      </c>
      <c r="E407" s="1302">
        <v>0.23</v>
      </c>
      <c r="F407" s="1302">
        <v>0.23</v>
      </c>
      <c r="G407" s="1302">
        <v>0.23</v>
      </c>
      <c r="H407" s="1302">
        <v>0.23</v>
      </c>
      <c r="I407" s="1302">
        <v>0.23</v>
      </c>
      <c r="J407" s="1302">
        <v>0.23</v>
      </c>
      <c r="K407" s="1302">
        <v>0.23</v>
      </c>
    </row>
    <row r="408" spans="1:11" s="1284" customFormat="1">
      <c r="A408" s="1283"/>
      <c r="B408" s="596" t="s">
        <v>988</v>
      </c>
      <c r="C408" s="1284">
        <v>12061.767497472003</v>
      </c>
      <c r="D408" s="1302">
        <v>23118.387703488006</v>
      </c>
      <c r="E408" s="1302">
        <v>23118.387703488006</v>
      </c>
      <c r="F408" s="1302">
        <v>23118.387703488006</v>
      </c>
      <c r="G408" s="1302">
        <v>23118.387703488006</v>
      </c>
      <c r="H408" s="1302">
        <v>23118.387703488006</v>
      </c>
      <c r="I408" s="1302">
        <v>23118.387703488006</v>
      </c>
      <c r="J408" s="1302">
        <v>23118.387703488006</v>
      </c>
      <c r="K408" s="1302">
        <v>23118.387703488006</v>
      </c>
    </row>
    <row r="409" spans="1:11" s="1284" customFormat="1">
      <c r="A409" s="1283"/>
      <c r="B409" s="596" t="s">
        <v>989</v>
      </c>
      <c r="C409" s="1284">
        <v>0.13</v>
      </c>
      <c r="D409" s="1302">
        <v>0.23</v>
      </c>
      <c r="E409" s="1302">
        <v>0.23</v>
      </c>
      <c r="F409" s="1302">
        <v>0.23</v>
      </c>
      <c r="G409" s="1302">
        <v>0.23</v>
      </c>
      <c r="H409" s="1302">
        <v>0.23</v>
      </c>
      <c r="I409" s="1302">
        <v>0.23</v>
      </c>
      <c r="J409" s="1302">
        <v>0.23</v>
      </c>
      <c r="K409" s="1302">
        <v>0.23</v>
      </c>
    </row>
    <row r="410" spans="1:11" s="1284" customFormat="1">
      <c r="A410" s="1283"/>
      <c r="B410" s="596" t="s">
        <v>989</v>
      </c>
      <c r="C410" s="1284">
        <v>13909.941549504005</v>
      </c>
      <c r="D410" s="1302">
        <v>24609.896587584008</v>
      </c>
      <c r="E410" s="1302">
        <v>24609.896587584008</v>
      </c>
      <c r="F410" s="1302">
        <v>24609.896587584008</v>
      </c>
      <c r="G410" s="1302">
        <v>24609.896587584008</v>
      </c>
      <c r="H410" s="1302">
        <v>24609.896587584008</v>
      </c>
      <c r="I410" s="1302">
        <v>24609.896587584008</v>
      </c>
      <c r="J410" s="1302">
        <v>24609.896587584008</v>
      </c>
      <c r="K410" s="1302">
        <v>24609.896587584008</v>
      </c>
    </row>
    <row r="411" spans="1:11" s="1284" customFormat="1">
      <c r="A411" s="1283"/>
      <c r="B411" s="596" t="s">
        <v>990</v>
      </c>
      <c r="C411" s="1284">
        <v>0.13</v>
      </c>
      <c r="D411" s="1302">
        <v>0.23</v>
      </c>
      <c r="E411" s="1302">
        <v>0.23</v>
      </c>
      <c r="F411" s="1302">
        <v>0.23</v>
      </c>
      <c r="G411" s="1302">
        <v>0.23</v>
      </c>
      <c r="H411" s="1356">
        <v>0.2</v>
      </c>
      <c r="I411" s="1356">
        <v>0.2</v>
      </c>
      <c r="J411" s="1356">
        <v>0.2</v>
      </c>
      <c r="K411" s="1356">
        <v>0.2</v>
      </c>
    </row>
    <row r="412" spans="1:11" s="1284" customFormat="1">
      <c r="A412" s="1283"/>
      <c r="B412" s="596" t="s">
        <v>990</v>
      </c>
      <c r="C412" s="1284">
        <v>14375.824759296002</v>
      </c>
      <c r="D412" s="1302">
        <v>25434.151497216004</v>
      </c>
      <c r="E412" s="1302">
        <v>25434.151497216004</v>
      </c>
      <c r="F412" s="1302">
        <v>25434.151497216004</v>
      </c>
      <c r="G412" s="1302">
        <v>25434.151497216004</v>
      </c>
      <c r="H412" s="1356">
        <v>22116.653475840005</v>
      </c>
      <c r="I412" s="1356">
        <v>22116.653475840005</v>
      </c>
      <c r="J412" s="1356">
        <v>22116.653475840005</v>
      </c>
      <c r="K412" s="1356">
        <v>22116.653475840005</v>
      </c>
    </row>
    <row r="413" spans="1:11" s="1284" customFormat="1">
      <c r="A413" s="1283"/>
      <c r="B413" s="596" t="s">
        <v>991</v>
      </c>
      <c r="C413" s="1284">
        <v>0.14000000000000001</v>
      </c>
      <c r="D413" s="1302">
        <v>0.23</v>
      </c>
      <c r="E413" s="1302">
        <v>0.23</v>
      </c>
      <c r="F413" s="1302">
        <v>0.23</v>
      </c>
      <c r="G413" s="1302">
        <v>0.23</v>
      </c>
      <c r="H413" s="1302">
        <v>0.23</v>
      </c>
      <c r="I413" s="1302">
        <v>0.23</v>
      </c>
      <c r="J413" s="1302">
        <v>0.23</v>
      </c>
      <c r="K413" s="1302">
        <v>0.23</v>
      </c>
    </row>
    <row r="414" spans="1:11" s="1284" customFormat="1">
      <c r="A414" s="1283"/>
      <c r="B414" s="596" t="s">
        <v>991</v>
      </c>
      <c r="C414" s="1284">
        <v>14072.062080384005</v>
      </c>
      <c r="D414" s="1302">
        <v>23118.387703488006</v>
      </c>
      <c r="E414" s="1302">
        <v>23118.387703488006</v>
      </c>
      <c r="F414" s="1302">
        <v>23118.387703488006</v>
      </c>
      <c r="G414" s="1302">
        <v>23118.387703488006</v>
      </c>
      <c r="H414" s="1302">
        <v>23118.387703488006</v>
      </c>
      <c r="I414" s="1302">
        <v>23118.387703488006</v>
      </c>
      <c r="J414" s="1302">
        <v>23118.387703488006</v>
      </c>
      <c r="K414" s="1302">
        <v>23118.387703488006</v>
      </c>
    </row>
    <row r="415" spans="1:11" s="1284" customFormat="1">
      <c r="A415" s="1283"/>
      <c r="B415" s="596" t="s">
        <v>992</v>
      </c>
      <c r="C415" s="1284">
        <v>0.13</v>
      </c>
      <c r="D415" s="1302">
        <v>0.23</v>
      </c>
      <c r="E415" s="1302">
        <v>0.23</v>
      </c>
      <c r="F415" s="1302">
        <v>0.23</v>
      </c>
      <c r="G415" s="1302">
        <v>0.23</v>
      </c>
      <c r="H415" s="1302">
        <v>0.23</v>
      </c>
      <c r="I415" s="1302">
        <v>0.23</v>
      </c>
      <c r="J415" s="1302">
        <v>0.23</v>
      </c>
      <c r="K415" s="1302">
        <v>0.23</v>
      </c>
    </row>
    <row r="416" spans="1:11" s="1284" customFormat="1">
      <c r="A416" s="1283"/>
      <c r="B416" s="596" t="s">
        <v>992</v>
      </c>
      <c r="C416" s="1284">
        <v>13909.941549504005</v>
      </c>
      <c r="D416" s="1302">
        <v>24609.896587584008</v>
      </c>
      <c r="E416" s="1302">
        <v>24609.896587584008</v>
      </c>
      <c r="F416" s="1302">
        <v>24609.896587584008</v>
      </c>
      <c r="G416" s="1302">
        <v>24609.896587584008</v>
      </c>
      <c r="H416" s="1302">
        <v>24609.896587584008</v>
      </c>
      <c r="I416" s="1302">
        <v>24609.896587584008</v>
      </c>
      <c r="J416" s="1302">
        <v>24609.896587584008</v>
      </c>
      <c r="K416" s="1302">
        <v>24609.896587584008</v>
      </c>
    </row>
    <row r="417" spans="1:11" s="1284" customFormat="1">
      <c r="A417" s="1283"/>
      <c r="B417" s="596" t="s">
        <v>993</v>
      </c>
      <c r="C417" s="1284">
        <v>0.14000000000000001</v>
      </c>
      <c r="D417" s="1302">
        <v>0.23</v>
      </c>
      <c r="E417" s="1302">
        <v>0.23</v>
      </c>
      <c r="F417" s="1302">
        <v>0.23</v>
      </c>
      <c r="G417" s="1302">
        <v>0.23</v>
      </c>
      <c r="H417" s="1356">
        <v>0.2</v>
      </c>
      <c r="I417" s="1356">
        <v>0.2</v>
      </c>
      <c r="J417" s="1356">
        <v>0.2</v>
      </c>
      <c r="K417" s="1356">
        <v>0.2</v>
      </c>
    </row>
    <row r="418" spans="1:11" s="1284" customFormat="1">
      <c r="A418" s="1283"/>
      <c r="B418" s="596" t="s">
        <v>993</v>
      </c>
      <c r="C418" s="1284">
        <v>15481.657433088003</v>
      </c>
      <c r="D418" s="1302">
        <v>25434.151497216004</v>
      </c>
      <c r="E418" s="1302">
        <v>25434.151497216004</v>
      </c>
      <c r="F418" s="1302">
        <v>25434.151497216004</v>
      </c>
      <c r="G418" s="1302">
        <v>25434.151497216004</v>
      </c>
      <c r="H418" s="1356">
        <v>22116.653475840005</v>
      </c>
      <c r="I418" s="1356">
        <v>22116.653475840005</v>
      </c>
      <c r="J418" s="1356">
        <v>22116.653475840005</v>
      </c>
      <c r="K418" s="1356">
        <v>22116.653475840005</v>
      </c>
    </row>
    <row r="419" spans="1:11" s="1284" customFormat="1">
      <c r="A419" s="1283"/>
      <c r="B419" s="596" t="s">
        <v>994</v>
      </c>
      <c r="C419" s="1284">
        <v>0.45</v>
      </c>
      <c r="D419" s="1296">
        <v>0.45</v>
      </c>
      <c r="E419" s="1296">
        <v>0.45</v>
      </c>
      <c r="F419" s="1296">
        <v>0.45</v>
      </c>
      <c r="G419" s="1296">
        <v>0.45</v>
      </c>
      <c r="H419" s="1296">
        <v>0.45</v>
      </c>
      <c r="I419" s="1296">
        <v>0.45</v>
      </c>
      <c r="J419" s="1296">
        <v>0.45</v>
      </c>
      <c r="K419" s="1296">
        <v>0.45</v>
      </c>
    </row>
    <row r="420" spans="1:11" s="1284" customFormat="1">
      <c r="A420" s="1283"/>
      <c r="B420" s="596" t="s">
        <v>994</v>
      </c>
      <c r="C420" s="1284">
        <v>73798.972188480009</v>
      </c>
      <c r="D420" s="1296">
        <v>73798.972188480009</v>
      </c>
      <c r="E420" s="1296">
        <v>73798.972188480009</v>
      </c>
      <c r="F420" s="1296">
        <v>73798.972188480009</v>
      </c>
      <c r="G420" s="1296">
        <v>73798.972188480009</v>
      </c>
      <c r="H420" s="1296">
        <v>73798.972188480009</v>
      </c>
      <c r="I420" s="1296">
        <v>73798.972188480009</v>
      </c>
      <c r="J420" s="1296">
        <v>73798.972188480009</v>
      </c>
      <c r="K420" s="1296">
        <v>73798.972188480009</v>
      </c>
    </row>
    <row r="421" spans="1:11" s="1284" customFormat="1">
      <c r="A421" s="1283"/>
      <c r="B421" s="596" t="s">
        <v>995</v>
      </c>
      <c r="C421" s="1284">
        <v>0.48</v>
      </c>
      <c r="D421" s="1296">
        <v>0.48</v>
      </c>
      <c r="E421" s="1296">
        <v>0.48</v>
      </c>
      <c r="F421" s="1296">
        <v>0.48</v>
      </c>
      <c r="G421" s="1296">
        <v>0.48</v>
      </c>
      <c r="H421" s="1296">
        <v>0.48</v>
      </c>
      <c r="I421" s="1296">
        <v>0.48</v>
      </c>
      <c r="J421" s="1296">
        <v>0.48</v>
      </c>
      <c r="K421" s="1296">
        <v>0.48</v>
      </c>
    </row>
    <row r="422" spans="1:11" s="1284" customFormat="1">
      <c r="A422" s="1283"/>
      <c r="B422" s="596" t="s">
        <v>995</v>
      </c>
      <c r="C422" s="1284">
        <v>83797.542614016013</v>
      </c>
      <c r="D422" s="1296">
        <v>83797.542614016013</v>
      </c>
      <c r="E422" s="1296">
        <v>83797.542614016013</v>
      </c>
      <c r="F422" s="1296">
        <v>83797.542614016013</v>
      </c>
      <c r="G422" s="1296">
        <v>83797.542614016013</v>
      </c>
      <c r="H422" s="1296">
        <v>83797.542614016013</v>
      </c>
      <c r="I422" s="1296">
        <v>83797.542614016013</v>
      </c>
      <c r="J422" s="1296">
        <v>83797.542614016013</v>
      </c>
      <c r="K422" s="1296">
        <v>83797.542614016013</v>
      </c>
    </row>
    <row r="423" spans="1:11" s="1284" customFormat="1">
      <c r="A423" s="1283"/>
      <c r="B423" s="596" t="s">
        <v>996</v>
      </c>
      <c r="C423" s="1284">
        <v>0.5</v>
      </c>
      <c r="D423" s="1296">
        <v>0.5</v>
      </c>
      <c r="E423" s="1296">
        <v>0.5</v>
      </c>
      <c r="F423" s="1296">
        <v>0.5</v>
      </c>
      <c r="G423" s="1296">
        <v>0.5</v>
      </c>
      <c r="H423" s="1296">
        <v>0.5</v>
      </c>
      <c r="I423" s="1296">
        <v>0.5</v>
      </c>
      <c r="J423" s="1296">
        <v>0.5</v>
      </c>
      <c r="K423" s="1296">
        <v>0.5</v>
      </c>
    </row>
    <row r="424" spans="1:11" s="1284" customFormat="1">
      <c r="A424" s="1283"/>
      <c r="B424" s="596" t="s">
        <v>996</v>
      </c>
      <c r="C424" s="1284">
        <v>98296.23767040002</v>
      </c>
      <c r="D424" s="1296">
        <v>98296.23767040002</v>
      </c>
      <c r="E424" s="1296">
        <v>98296.23767040002</v>
      </c>
      <c r="F424" s="1296">
        <v>98296.23767040002</v>
      </c>
      <c r="G424" s="1296">
        <v>98296.23767040002</v>
      </c>
      <c r="H424" s="1296">
        <v>98296.23767040002</v>
      </c>
      <c r="I424" s="1296">
        <v>98296.23767040002</v>
      </c>
      <c r="J424" s="1296">
        <v>98296.23767040002</v>
      </c>
      <c r="K424" s="1296">
        <v>98296.23767040002</v>
      </c>
    </row>
    <row r="425" spans="1:11" s="1284" customFormat="1">
      <c r="A425" s="1283"/>
      <c r="B425" s="596" t="s">
        <v>997</v>
      </c>
      <c r="C425" s="1284">
        <v>0.55000000000000004</v>
      </c>
      <c r="D425" s="1296">
        <v>0.55000000000000004</v>
      </c>
      <c r="E425" s="1296">
        <v>0.55000000000000004</v>
      </c>
      <c r="F425" s="1296">
        <v>0.55000000000000004</v>
      </c>
      <c r="G425" s="1296">
        <v>0.55000000000000004</v>
      </c>
      <c r="H425" s="1296">
        <v>0.55000000000000004</v>
      </c>
      <c r="I425" s="1296">
        <v>0.55000000000000004</v>
      </c>
      <c r="J425" s="1296">
        <v>0.55000000000000004</v>
      </c>
      <c r="K425" s="1296">
        <v>0.55000000000000004</v>
      </c>
    </row>
    <row r="426" spans="1:11" s="1284" customFormat="1">
      <c r="A426" s="1283"/>
      <c r="B426" s="596" t="s">
        <v>997</v>
      </c>
      <c r="C426" s="1284">
        <v>90198.743785920014</v>
      </c>
      <c r="D426" s="1296">
        <v>90198.743785920014</v>
      </c>
      <c r="E426" s="1296">
        <v>90198.743785920014</v>
      </c>
      <c r="F426" s="1296">
        <v>90198.743785920014</v>
      </c>
      <c r="G426" s="1296">
        <v>90198.743785920014</v>
      </c>
      <c r="H426" s="1296">
        <v>90198.743785920014</v>
      </c>
      <c r="I426" s="1296">
        <v>90198.743785920014</v>
      </c>
      <c r="J426" s="1296">
        <v>90198.743785920014</v>
      </c>
      <c r="K426" s="1296">
        <v>90198.743785920014</v>
      </c>
    </row>
    <row r="427" spans="1:11" s="1284" customFormat="1">
      <c r="A427" s="1283"/>
      <c r="B427" s="596" t="s">
        <v>998</v>
      </c>
      <c r="C427" s="1284">
        <v>0.52</v>
      </c>
      <c r="D427" s="1296">
        <v>0.52</v>
      </c>
      <c r="E427" s="1296">
        <v>0.52</v>
      </c>
      <c r="F427" s="1296">
        <v>0.52</v>
      </c>
      <c r="G427" s="1296">
        <v>0.52</v>
      </c>
      <c r="H427" s="1296">
        <v>0.52</v>
      </c>
      <c r="I427" s="1296">
        <v>0.52</v>
      </c>
      <c r="J427" s="1296">
        <v>0.52</v>
      </c>
      <c r="K427" s="1296">
        <v>0.52</v>
      </c>
    </row>
    <row r="428" spans="1:11" s="1284" customFormat="1">
      <c r="A428" s="1283"/>
      <c r="B428" s="596" t="s">
        <v>998</v>
      </c>
      <c r="C428" s="1284">
        <v>90780.671165184031</v>
      </c>
      <c r="D428" s="1296">
        <v>90780.671165184031</v>
      </c>
      <c r="E428" s="1296">
        <v>90780.671165184031</v>
      </c>
      <c r="F428" s="1296">
        <v>90780.671165184031</v>
      </c>
      <c r="G428" s="1296">
        <v>90780.671165184031</v>
      </c>
      <c r="H428" s="1296">
        <v>90780.671165184031</v>
      </c>
      <c r="I428" s="1296">
        <v>90780.671165184031</v>
      </c>
      <c r="J428" s="1296">
        <v>90780.671165184031</v>
      </c>
      <c r="K428" s="1296">
        <v>90780.671165184031</v>
      </c>
    </row>
    <row r="429" spans="1:11" s="1284" customFormat="1">
      <c r="A429" s="1283"/>
      <c r="B429" s="596" t="s">
        <v>999</v>
      </c>
      <c r="C429" s="1284">
        <v>0.5</v>
      </c>
      <c r="D429" s="1296">
        <v>0.5</v>
      </c>
      <c r="E429" s="1296">
        <v>0.5</v>
      </c>
      <c r="F429" s="1296">
        <v>0.5</v>
      </c>
      <c r="G429" s="1296">
        <v>0.5</v>
      </c>
      <c r="H429" s="1296">
        <v>0.5</v>
      </c>
      <c r="I429" s="1296">
        <v>0.5</v>
      </c>
      <c r="J429" s="1296">
        <v>0.5</v>
      </c>
      <c r="K429" s="1296">
        <v>0.5</v>
      </c>
    </row>
    <row r="430" spans="1:11" s="1284" customFormat="1">
      <c r="A430" s="1283"/>
      <c r="B430" s="596" t="s">
        <v>999</v>
      </c>
      <c r="C430" s="1284">
        <v>98296.23767040002</v>
      </c>
      <c r="D430" s="1296">
        <v>98296.23767040002</v>
      </c>
      <c r="E430" s="1296">
        <v>98296.23767040002</v>
      </c>
      <c r="F430" s="1296">
        <v>98296.23767040002</v>
      </c>
      <c r="G430" s="1296">
        <v>98296.23767040002</v>
      </c>
      <c r="H430" s="1296">
        <v>98296.23767040002</v>
      </c>
      <c r="I430" s="1296">
        <v>98296.23767040002</v>
      </c>
      <c r="J430" s="1296">
        <v>98296.23767040002</v>
      </c>
      <c r="K430" s="1296">
        <v>98296.23767040002</v>
      </c>
    </row>
    <row r="431" spans="1:11" s="1284" customFormat="1">
      <c r="A431" s="1283"/>
      <c r="B431" s="596" t="s">
        <v>1000</v>
      </c>
      <c r="C431" s="1284">
        <v>0</v>
      </c>
      <c r="D431" s="1296">
        <v>0</v>
      </c>
      <c r="E431" s="1296">
        <v>0</v>
      </c>
      <c r="F431" s="1296">
        <v>0</v>
      </c>
      <c r="G431" s="1296">
        <v>0</v>
      </c>
      <c r="H431" s="1296">
        <v>0</v>
      </c>
      <c r="I431" s="1296">
        <v>0</v>
      </c>
      <c r="J431" s="1296">
        <v>0</v>
      </c>
      <c r="K431" s="1296">
        <v>0</v>
      </c>
    </row>
    <row r="432" spans="1:11" s="1284" customFormat="1">
      <c r="A432" s="1283"/>
      <c r="B432" s="596" t="s">
        <v>1000</v>
      </c>
      <c r="C432" s="1284">
        <v>0</v>
      </c>
      <c r="D432" s="1296">
        <v>0</v>
      </c>
      <c r="E432" s="1296">
        <v>0</v>
      </c>
      <c r="F432" s="1296">
        <v>0</v>
      </c>
      <c r="G432" s="1296">
        <v>0</v>
      </c>
      <c r="H432" s="1296">
        <v>0</v>
      </c>
      <c r="I432" s="1296">
        <v>0</v>
      </c>
      <c r="J432" s="1296">
        <v>0</v>
      </c>
      <c r="K432" s="1296">
        <v>0</v>
      </c>
    </row>
    <row r="433" spans="1:11" s="1284" customFormat="1">
      <c r="A433" s="1283"/>
      <c r="B433" s="596" t="s">
        <v>1001</v>
      </c>
      <c r="C433" s="1284">
        <v>0</v>
      </c>
      <c r="D433" s="1296">
        <v>0</v>
      </c>
      <c r="E433" s="1296">
        <v>0</v>
      </c>
      <c r="F433" s="1296">
        <v>0</v>
      </c>
      <c r="G433" s="1296">
        <v>0</v>
      </c>
      <c r="H433" s="1296">
        <v>0</v>
      </c>
      <c r="I433" s="1296">
        <v>0</v>
      </c>
      <c r="J433" s="1296">
        <v>0</v>
      </c>
      <c r="K433" s="1296">
        <v>0</v>
      </c>
    </row>
    <row r="434" spans="1:11" s="1284" customFormat="1">
      <c r="A434" s="1283"/>
      <c r="B434" s="596" t="s">
        <v>1001</v>
      </c>
      <c r="C434" s="1284">
        <v>0</v>
      </c>
      <c r="D434" s="1296">
        <v>0</v>
      </c>
      <c r="E434" s="1296">
        <v>0</v>
      </c>
      <c r="F434" s="1296">
        <v>0</v>
      </c>
      <c r="G434" s="1296">
        <v>0</v>
      </c>
      <c r="H434" s="1296">
        <v>0</v>
      </c>
      <c r="I434" s="1296">
        <v>0</v>
      </c>
      <c r="J434" s="1296">
        <v>0</v>
      </c>
      <c r="K434" s="1296">
        <v>0</v>
      </c>
    </row>
    <row r="435" spans="1:11" s="1284" customFormat="1">
      <c r="A435" s="1283"/>
      <c r="B435" s="596" t="s">
        <v>1002</v>
      </c>
      <c r="C435" s="1284">
        <v>0</v>
      </c>
      <c r="D435" s="1296">
        <v>0</v>
      </c>
      <c r="E435" s="1296">
        <v>0</v>
      </c>
      <c r="F435" s="1296">
        <v>0</v>
      </c>
      <c r="G435" s="1296">
        <v>0</v>
      </c>
      <c r="H435" s="1296">
        <v>0</v>
      </c>
      <c r="I435" s="1296">
        <v>0</v>
      </c>
      <c r="J435" s="1296">
        <v>0</v>
      </c>
      <c r="K435" s="1296">
        <v>0</v>
      </c>
    </row>
    <row r="436" spans="1:11" s="1284" customFormat="1">
      <c r="A436" s="1283"/>
      <c r="B436" s="596" t="s">
        <v>1002</v>
      </c>
      <c r="C436" s="1284">
        <v>0</v>
      </c>
      <c r="D436" s="1296">
        <v>0</v>
      </c>
      <c r="E436" s="1296">
        <v>0</v>
      </c>
      <c r="F436" s="1296">
        <v>0</v>
      </c>
      <c r="G436" s="1296">
        <v>0</v>
      </c>
      <c r="H436" s="1296">
        <v>0</v>
      </c>
      <c r="I436" s="1296">
        <v>0</v>
      </c>
      <c r="J436" s="1296">
        <v>0</v>
      </c>
      <c r="K436" s="1296">
        <v>0</v>
      </c>
    </row>
    <row r="438" spans="1:11">
      <c r="A438" s="159">
        <v>6.1</v>
      </c>
      <c r="B438" s="527" t="s">
        <v>363</v>
      </c>
      <c r="D438" s="1294"/>
      <c r="E438" s="1294"/>
      <c r="F438" s="1294"/>
      <c r="G438" s="1294"/>
      <c r="H438" s="1294"/>
      <c r="I438" s="1294"/>
      <c r="J438" s="1294"/>
      <c r="K438" s="1294"/>
    </row>
    <row r="439" spans="1:11" s="551" customFormat="1">
      <c r="A439" s="550"/>
      <c r="B439" s="528" t="s">
        <v>1003</v>
      </c>
      <c r="C439" s="551">
        <v>1512.1227825393662</v>
      </c>
      <c r="D439" s="1302">
        <v>412.92172873929508</v>
      </c>
      <c r="E439" s="1302">
        <v>412.92172873929508</v>
      </c>
      <c r="F439" s="1302">
        <v>412.92172873929508</v>
      </c>
      <c r="G439" s="1302">
        <v>412.92172873929508</v>
      </c>
      <c r="H439" s="1302">
        <v>412.92172873929508</v>
      </c>
      <c r="I439" s="1302">
        <v>412.92172873929508</v>
      </c>
      <c r="J439" s="1302">
        <v>412.92172873929508</v>
      </c>
      <c r="K439" s="1302">
        <v>412.92172873929508</v>
      </c>
    </row>
    <row r="440" spans="1:11" s="551" customFormat="1">
      <c r="A440" s="550"/>
      <c r="B440" s="528" t="s">
        <v>1004</v>
      </c>
      <c r="C440" s="551">
        <v>1512.1227825393662</v>
      </c>
      <c r="D440" s="1302">
        <v>412.92172873929508</v>
      </c>
      <c r="E440" s="1302">
        <v>412.92172873929508</v>
      </c>
      <c r="F440" s="1302">
        <v>412.92172873929508</v>
      </c>
      <c r="G440" s="1302">
        <v>412.92172873929508</v>
      </c>
      <c r="H440" s="1302">
        <v>412.92172873929508</v>
      </c>
      <c r="I440" s="1302">
        <v>412.92172873929508</v>
      </c>
      <c r="J440" s="1302">
        <v>412.92172873929508</v>
      </c>
      <c r="K440" s="1302">
        <v>412.92172873929508</v>
      </c>
    </row>
    <row r="441" spans="1:11" s="551" customFormat="1">
      <c r="A441" s="550"/>
      <c r="B441" s="528" t="s">
        <v>1005</v>
      </c>
      <c r="C441" s="551">
        <v>1618.2871392441605</v>
      </c>
      <c r="D441" s="1302">
        <v>412.92172873929508</v>
      </c>
      <c r="E441" s="1302">
        <v>412.92172873929508</v>
      </c>
      <c r="F441" s="1302">
        <v>412.92172873929508</v>
      </c>
      <c r="G441" s="1302">
        <v>412.92172873929508</v>
      </c>
      <c r="H441" s="1302">
        <v>412.92172873929508</v>
      </c>
      <c r="I441" s="1302">
        <v>412.92172873929508</v>
      </c>
      <c r="J441" s="1302">
        <v>412.92172873929508</v>
      </c>
      <c r="K441" s="1302">
        <v>412.92172873929508</v>
      </c>
    </row>
    <row r="442" spans="1:11" s="551" customFormat="1">
      <c r="A442" s="550"/>
      <c r="B442" s="528" t="s">
        <v>1006</v>
      </c>
      <c r="C442" s="551">
        <v>1478.9301310043668</v>
      </c>
      <c r="D442" s="1302">
        <v>442.26480824064015</v>
      </c>
      <c r="E442" s="1302">
        <v>442.26480824064015</v>
      </c>
      <c r="F442" s="1302">
        <v>442.26480824064015</v>
      </c>
      <c r="G442" s="1302">
        <v>442.26480824064015</v>
      </c>
      <c r="H442" s="1302">
        <v>442.26480824064015</v>
      </c>
      <c r="I442" s="1302">
        <v>442.26480824064015</v>
      </c>
      <c r="J442" s="1302">
        <v>442.26480824064015</v>
      </c>
      <c r="K442" s="1302">
        <v>442.26480824064015</v>
      </c>
    </row>
    <row r="443" spans="1:11" s="551" customFormat="1">
      <c r="A443" s="550"/>
      <c r="B443" s="528" t="s">
        <v>1007</v>
      </c>
      <c r="C443" s="551">
        <v>1774.7161572052403</v>
      </c>
      <c r="D443" s="1302">
        <v>1219.3715341959332</v>
      </c>
      <c r="E443" s="1302">
        <v>1219.3715341959332</v>
      </c>
      <c r="F443" s="1302">
        <v>1219.3715341959332</v>
      </c>
      <c r="G443" s="1302">
        <v>1219.3715341959332</v>
      </c>
      <c r="H443" s="1302">
        <v>1219.3715341959332</v>
      </c>
      <c r="I443" s="1302">
        <v>1219.3715341959332</v>
      </c>
      <c r="J443" s="1302">
        <v>1219.3715341959332</v>
      </c>
      <c r="K443" s="1302">
        <v>1219.3715341959332</v>
      </c>
    </row>
    <row r="444" spans="1:11" s="551" customFormat="1">
      <c r="A444" s="550"/>
      <c r="B444" s="528" t="s">
        <v>1008</v>
      </c>
      <c r="C444" s="551">
        <v>2311.8387703488006</v>
      </c>
      <c r="D444" s="1302">
        <v>1270.046283691805</v>
      </c>
      <c r="E444" s="1302">
        <v>1270.046283691805</v>
      </c>
      <c r="F444" s="1302">
        <v>1270.046283691805</v>
      </c>
      <c r="G444" s="1302">
        <v>1270.046283691805</v>
      </c>
      <c r="H444" s="1302">
        <v>1270.046283691805</v>
      </c>
      <c r="I444" s="1302">
        <v>1270.046283691805</v>
      </c>
      <c r="J444" s="1302">
        <v>1270.046283691805</v>
      </c>
      <c r="K444" s="1302">
        <v>1270.046283691805</v>
      </c>
    </row>
    <row r="445" spans="1:11" s="551" customFormat="1">
      <c r="A445" s="550"/>
      <c r="B445" s="528" t="s">
        <v>1009</v>
      </c>
      <c r="C445" s="551">
        <v>2311.8387703488006</v>
      </c>
      <c r="D445" s="1302">
        <v>1270.046283691805</v>
      </c>
      <c r="E445" s="1302">
        <v>1270.046283691805</v>
      </c>
      <c r="F445" s="1302">
        <v>1270.046283691805</v>
      </c>
      <c r="G445" s="1302">
        <v>1270.046283691805</v>
      </c>
      <c r="H445" s="1302">
        <v>1270.046283691805</v>
      </c>
      <c r="I445" s="1302">
        <v>1270.046283691805</v>
      </c>
      <c r="J445" s="1302">
        <v>1270.046283691805</v>
      </c>
      <c r="K445" s="1302">
        <v>1270.046283691805</v>
      </c>
    </row>
    <row r="446" spans="1:11" s="551" customFormat="1">
      <c r="A446" s="550"/>
      <c r="B446" s="528" t="s">
        <v>1010</v>
      </c>
      <c r="C446" s="551">
        <v>2310.2415916627197</v>
      </c>
      <c r="D446" s="1302">
        <v>1292.5685785536161</v>
      </c>
      <c r="E446" s="1302">
        <v>1292.5685785536161</v>
      </c>
      <c r="F446" s="1302">
        <v>1292.5685785536161</v>
      </c>
      <c r="G446" s="1302">
        <v>1292.5685785536161</v>
      </c>
      <c r="H446" s="1302">
        <v>1292.5685785536161</v>
      </c>
      <c r="I446" s="1302">
        <v>1292.5685785536161</v>
      </c>
      <c r="J446" s="1302">
        <v>1292.5685785536161</v>
      </c>
      <c r="K446" s="1302">
        <v>1292.5685785536161</v>
      </c>
    </row>
    <row r="447" spans="1:11" s="551" customFormat="1">
      <c r="A447" s="550"/>
      <c r="B447" s="528" t="s">
        <v>1011</v>
      </c>
      <c r="C447" s="551">
        <v>2310.2415916627197</v>
      </c>
      <c r="D447" s="1302">
        <v>1292.5685785536161</v>
      </c>
      <c r="E447" s="1302">
        <v>1292.5685785536161</v>
      </c>
      <c r="F447" s="1302">
        <v>1292.5685785536161</v>
      </c>
      <c r="G447" s="1302">
        <v>1292.5685785536161</v>
      </c>
      <c r="H447" s="1302">
        <v>1292.5685785536161</v>
      </c>
      <c r="I447" s="1302">
        <v>1292.5685785536161</v>
      </c>
      <c r="J447" s="1302">
        <v>1292.5685785536161</v>
      </c>
      <c r="K447" s="1302">
        <v>1292.5685785536161</v>
      </c>
    </row>
    <row r="448" spans="1:11" s="551" customFormat="1">
      <c r="A448" s="550"/>
      <c r="B448" s="528" t="s">
        <v>1012</v>
      </c>
      <c r="C448" s="551">
        <v>2198.8536647222927</v>
      </c>
      <c r="D448" s="1302">
        <v>1040.5047318611987</v>
      </c>
      <c r="E448" s="1302">
        <v>1040.5047318611987</v>
      </c>
      <c r="F448" s="1302">
        <v>1040.5047318611987</v>
      </c>
      <c r="G448" s="1302">
        <v>1040.5047318611987</v>
      </c>
      <c r="H448" s="1302">
        <v>1040.5047318611987</v>
      </c>
      <c r="I448" s="1302">
        <v>1040.5047318611987</v>
      </c>
      <c r="J448" s="1302">
        <v>1040.5047318611987</v>
      </c>
      <c r="K448" s="1302">
        <v>1040.5047318611987</v>
      </c>
    </row>
    <row r="449" spans="1:11" s="551" customFormat="1">
      <c r="A449" s="550"/>
      <c r="B449" s="528" t="s">
        <v>1013</v>
      </c>
      <c r="C449" s="551">
        <v>1478.9301310043668</v>
      </c>
      <c r="D449" s="1302">
        <v>642.39376770538263</v>
      </c>
      <c r="E449" s="1302">
        <v>642.39376770538263</v>
      </c>
      <c r="F449" s="1302">
        <v>642.39376770538263</v>
      </c>
      <c r="G449" s="1302">
        <v>642.39376770538263</v>
      </c>
      <c r="H449" s="1302">
        <v>642.39376770538263</v>
      </c>
      <c r="I449" s="1302">
        <v>642.39376770538263</v>
      </c>
      <c r="J449" s="1302">
        <v>642.39376770538263</v>
      </c>
      <c r="K449" s="1302">
        <v>642.39376770538263</v>
      </c>
    </row>
    <row r="450" spans="1:11" s="551" customFormat="1">
      <c r="A450" s="550"/>
      <c r="B450" s="528" t="s">
        <v>1014</v>
      </c>
      <c r="C450" s="551">
        <v>1478.9301310043668</v>
      </c>
      <c r="D450" s="1302">
        <v>642.39376770538263</v>
      </c>
      <c r="E450" s="1302">
        <v>642.39376770538263</v>
      </c>
      <c r="F450" s="1302">
        <v>642.39376770538263</v>
      </c>
      <c r="G450" s="1302">
        <v>642.39376770538263</v>
      </c>
      <c r="H450" s="1302">
        <v>642.39376770538263</v>
      </c>
      <c r="I450" s="1302">
        <v>642.39376770538263</v>
      </c>
      <c r="J450" s="1302">
        <v>642.39376770538263</v>
      </c>
      <c r="K450" s="1302">
        <v>642.39376770538263</v>
      </c>
    </row>
    <row r="451" spans="1:11" s="551" customFormat="1">
      <c r="A451" s="550"/>
      <c r="B451" s="528" t="s">
        <v>1015</v>
      </c>
      <c r="C451" s="551">
        <v>1797.5924463974407</v>
      </c>
      <c r="D451" s="1302">
        <v>391.18490566037747</v>
      </c>
      <c r="E451" s="1302">
        <v>391.18490566037747</v>
      </c>
      <c r="F451" s="1302">
        <v>391.18490566037747</v>
      </c>
      <c r="G451" s="1302">
        <v>391.18490566037747</v>
      </c>
      <c r="H451" s="1302">
        <v>391.18490566037747</v>
      </c>
      <c r="I451" s="1302">
        <v>391.18490566037747</v>
      </c>
      <c r="J451" s="1302">
        <v>391.18490566037747</v>
      </c>
      <c r="K451" s="1302">
        <v>391.18490566037747</v>
      </c>
    </row>
    <row r="452" spans="1:11" s="551" customFormat="1">
      <c r="A452" s="550"/>
      <c r="B452" s="528" t="s">
        <v>1016</v>
      </c>
      <c r="C452" s="551">
        <v>1797.5924463974407</v>
      </c>
      <c r="D452" s="1302">
        <v>391.18490566037747</v>
      </c>
      <c r="E452" s="1302">
        <v>391.18490566037747</v>
      </c>
      <c r="F452" s="1302">
        <v>391.18490566037747</v>
      </c>
      <c r="G452" s="1302">
        <v>391.18490566037747</v>
      </c>
      <c r="H452" s="1302">
        <v>391.18490566037747</v>
      </c>
      <c r="I452" s="1302">
        <v>391.18490566037747</v>
      </c>
      <c r="J452" s="1302">
        <v>391.18490566037747</v>
      </c>
      <c r="K452" s="1302">
        <v>391.18490566037747</v>
      </c>
    </row>
    <row r="453" spans="1:11" s="551" customFormat="1">
      <c r="A453" s="550"/>
      <c r="B453" s="528" t="s">
        <v>1017</v>
      </c>
      <c r="C453" s="551">
        <v>1632.8712871287132</v>
      </c>
      <c r="D453" s="1302">
        <v>391.18490566037747</v>
      </c>
      <c r="E453" s="1302">
        <v>391.18490566037747</v>
      </c>
      <c r="F453" s="1302">
        <v>391.18490566037747</v>
      </c>
      <c r="G453" s="1302">
        <v>391.18490566037747</v>
      </c>
      <c r="H453" s="1302">
        <v>391.18490566037747</v>
      </c>
      <c r="I453" s="1302">
        <v>391.18490566037747</v>
      </c>
      <c r="J453" s="1302">
        <v>391.18490566037747</v>
      </c>
      <c r="K453" s="1302">
        <v>391.18490566037747</v>
      </c>
    </row>
    <row r="454" spans="1:11" s="551" customFormat="1">
      <c r="A454" s="550"/>
      <c r="B454" s="528" t="s">
        <v>1018</v>
      </c>
      <c r="C454" s="551">
        <v>1745.1851851851852</v>
      </c>
      <c r="D454" s="1302">
        <v>470.79802167552015</v>
      </c>
      <c r="E454" s="1302">
        <v>470.79802167552015</v>
      </c>
      <c r="F454" s="1302">
        <v>470.79802167552015</v>
      </c>
      <c r="G454" s="1302">
        <v>470.79802167552015</v>
      </c>
      <c r="H454" s="1302">
        <v>470.79802167552015</v>
      </c>
      <c r="I454" s="1302">
        <v>470.79802167552015</v>
      </c>
      <c r="J454" s="1302">
        <v>470.79802167552015</v>
      </c>
      <c r="K454" s="1302">
        <v>470.79802167552015</v>
      </c>
    </row>
    <row r="455" spans="1:11" s="551" customFormat="1">
      <c r="A455" s="550"/>
      <c r="B455" s="528" t="s">
        <v>1019</v>
      </c>
      <c r="C455" s="551">
        <v>2036.0493827160499</v>
      </c>
      <c r="D455" s="1302">
        <v>1318.0419580419582</v>
      </c>
      <c r="E455" s="1302">
        <v>1318.0419580419582</v>
      </c>
      <c r="F455" s="1302">
        <v>1318.0419580419582</v>
      </c>
      <c r="G455" s="1302">
        <v>1318.0419580419582</v>
      </c>
      <c r="H455" s="1302">
        <v>1318.0419580419582</v>
      </c>
      <c r="I455" s="1302">
        <v>1318.0419580419582</v>
      </c>
      <c r="J455" s="1302">
        <v>1318.0419580419582</v>
      </c>
      <c r="K455" s="1302">
        <v>1318.0419580419582</v>
      </c>
    </row>
    <row r="456" spans="1:11" s="551" customFormat="1">
      <c r="A456" s="550"/>
      <c r="B456" s="528" t="s">
        <v>1020</v>
      </c>
      <c r="C456" s="551">
        <v>2567.9892091392012</v>
      </c>
      <c r="D456" s="1302">
        <v>1332.4421593830334</v>
      </c>
      <c r="E456" s="1302">
        <v>1332.4421593830334</v>
      </c>
      <c r="F456" s="1302">
        <v>1332.4421593830334</v>
      </c>
      <c r="G456" s="1302">
        <v>1332.4421593830334</v>
      </c>
      <c r="H456" s="1302">
        <v>1332.4421593830334</v>
      </c>
      <c r="I456" s="1302">
        <v>1332.4421593830334</v>
      </c>
      <c r="J456" s="1302">
        <v>1332.4421593830334</v>
      </c>
      <c r="K456" s="1302">
        <v>1332.4421593830334</v>
      </c>
    </row>
    <row r="457" spans="1:11" s="551" customFormat="1">
      <c r="A457" s="550"/>
      <c r="B457" s="528" t="s">
        <v>1021</v>
      </c>
      <c r="C457" s="551">
        <v>2567.9892091392012</v>
      </c>
      <c r="D457" s="1302">
        <v>1332.4421593830334</v>
      </c>
      <c r="E457" s="1302">
        <v>1332.4421593830334</v>
      </c>
      <c r="F457" s="1302">
        <v>1332.4421593830334</v>
      </c>
      <c r="G457" s="1302">
        <v>1332.4421593830334</v>
      </c>
      <c r="H457" s="1302">
        <v>1332.4421593830334</v>
      </c>
      <c r="I457" s="1302">
        <v>1332.4421593830334</v>
      </c>
      <c r="J457" s="1302">
        <v>1332.4421593830334</v>
      </c>
      <c r="K457" s="1302">
        <v>1332.4421593830334</v>
      </c>
    </row>
    <row r="458" spans="1:11" s="551" customFormat="1">
      <c r="A458" s="550"/>
      <c r="B458" s="528" t="s">
        <v>1022</v>
      </c>
      <c r="C458" s="551">
        <v>2522.4839400428273</v>
      </c>
      <c r="D458" s="1302">
        <v>1374.4490276959343</v>
      </c>
      <c r="E458" s="1302">
        <v>1374.4490276959343</v>
      </c>
      <c r="F458" s="1302">
        <v>1374.4490276959343</v>
      </c>
      <c r="G458" s="1302">
        <v>1374.4490276959343</v>
      </c>
      <c r="H458" s="1302">
        <v>1374.4490276959343</v>
      </c>
      <c r="I458" s="1302">
        <v>1374.4490276959343</v>
      </c>
      <c r="J458" s="1302">
        <v>1374.4490276959343</v>
      </c>
      <c r="K458" s="1302">
        <v>1374.4490276959343</v>
      </c>
    </row>
    <row r="459" spans="1:11" s="551" customFormat="1">
      <c r="A459" s="550"/>
      <c r="B459" s="528" t="s">
        <v>1023</v>
      </c>
      <c r="C459" s="551">
        <v>2522.4839400428273</v>
      </c>
      <c r="D459" s="1302">
        <v>1374.4490276959343</v>
      </c>
      <c r="E459" s="1302">
        <v>1374.4490276959343</v>
      </c>
      <c r="F459" s="1302">
        <v>1374.4490276959343</v>
      </c>
      <c r="G459" s="1302">
        <v>1374.4490276959343</v>
      </c>
      <c r="H459" s="1302">
        <v>1374.4490276959343</v>
      </c>
      <c r="I459" s="1302">
        <v>1374.4490276959343</v>
      </c>
      <c r="J459" s="1302">
        <v>1374.4490276959343</v>
      </c>
      <c r="K459" s="1302">
        <v>1374.4490276959343</v>
      </c>
    </row>
    <row r="460" spans="1:11" s="551" customFormat="1">
      <c r="A460" s="550"/>
      <c r="B460" s="528" t="s">
        <v>1024</v>
      </c>
      <c r="C460" s="551">
        <v>2431.65137614679</v>
      </c>
      <c r="D460" s="1302">
        <v>1123.2419547079858</v>
      </c>
      <c r="E460" s="1302">
        <v>1123.2419547079858</v>
      </c>
      <c r="F460" s="1302">
        <v>1123.2419547079858</v>
      </c>
      <c r="G460" s="1302">
        <v>1123.2419547079858</v>
      </c>
      <c r="H460" s="1302">
        <v>1123.2419547079858</v>
      </c>
      <c r="I460" s="1302">
        <v>1123.2419547079858</v>
      </c>
      <c r="J460" s="1302">
        <v>1123.2419547079858</v>
      </c>
      <c r="K460" s="1302">
        <v>1123.2419547079858</v>
      </c>
    </row>
    <row r="461" spans="1:11" s="551" customFormat="1">
      <c r="A461" s="550"/>
      <c r="B461" s="528" t="s">
        <v>1025</v>
      </c>
      <c r="C461" s="551">
        <v>1745.1851851851852</v>
      </c>
      <c r="D461" s="1302">
        <v>612.15454698835845</v>
      </c>
      <c r="E461" s="1302">
        <v>612.15454698835845</v>
      </c>
      <c r="F461" s="1302">
        <v>612.15454698835845</v>
      </c>
      <c r="G461" s="1302">
        <v>612.15454698835845</v>
      </c>
      <c r="H461" s="1302">
        <v>612.15454698835845</v>
      </c>
      <c r="I461" s="1302">
        <v>612.15454698835845</v>
      </c>
      <c r="J461" s="1302">
        <v>612.15454698835845</v>
      </c>
      <c r="K461" s="1302">
        <v>612.15454698835845</v>
      </c>
    </row>
    <row r="462" spans="1:11" s="551" customFormat="1">
      <c r="A462" s="550"/>
      <c r="B462" s="528" t="s">
        <v>1026</v>
      </c>
      <c r="C462" s="551">
        <v>1745.1851851851852</v>
      </c>
      <c r="D462" s="1302">
        <v>612.15454698835845</v>
      </c>
      <c r="E462" s="1302">
        <v>612.15454698835845</v>
      </c>
      <c r="F462" s="1302">
        <v>612.15454698835845</v>
      </c>
      <c r="G462" s="1302">
        <v>612.15454698835845</v>
      </c>
      <c r="H462" s="1302">
        <v>612.15454698835845</v>
      </c>
      <c r="I462" s="1302">
        <v>612.15454698835845</v>
      </c>
      <c r="J462" s="1302">
        <v>612.15454698835845</v>
      </c>
      <c r="K462" s="1302">
        <v>612.15454698835845</v>
      </c>
    </row>
    <row r="463" spans="1:11" s="551" customFormat="1">
      <c r="A463" s="550"/>
      <c r="B463" s="528" t="s">
        <v>1027</v>
      </c>
      <c r="C463" s="551">
        <v>1648.7061846210315</v>
      </c>
      <c r="D463" s="1302">
        <v>351.24463519313304</v>
      </c>
      <c r="E463" s="1302">
        <v>351.24463519313304</v>
      </c>
      <c r="F463" s="1302">
        <v>351.24463519313304</v>
      </c>
      <c r="G463" s="1302">
        <v>351.24463519313304</v>
      </c>
      <c r="H463" s="1356">
        <v>663.49960427520011</v>
      </c>
      <c r="I463" s="1356">
        <v>663.49960427520011</v>
      </c>
      <c r="J463" s="1356">
        <v>663.49960427520011</v>
      </c>
      <c r="K463" s="1356">
        <v>663.49960427520011</v>
      </c>
    </row>
    <row r="464" spans="1:11" s="551" customFormat="1">
      <c r="A464" s="550"/>
      <c r="B464" s="528" t="s">
        <v>1028</v>
      </c>
      <c r="C464" s="551">
        <v>1648.7061846210315</v>
      </c>
      <c r="D464" s="1302">
        <v>351.24463519313304</v>
      </c>
      <c r="E464" s="1302">
        <v>351.24463519313304</v>
      </c>
      <c r="F464" s="1302">
        <v>351.24463519313304</v>
      </c>
      <c r="G464" s="1302">
        <v>351.24463519313304</v>
      </c>
      <c r="H464" s="1356">
        <v>663.49960427520011</v>
      </c>
      <c r="I464" s="1356">
        <v>663.49960427520011</v>
      </c>
      <c r="J464" s="1356">
        <v>663.49960427520011</v>
      </c>
      <c r="K464" s="1356">
        <v>663.49960427520011</v>
      </c>
    </row>
    <row r="465" spans="1:11" s="551" customFormat="1">
      <c r="A465" s="550"/>
      <c r="B465" s="528" t="s">
        <v>1029</v>
      </c>
      <c r="C465" s="551">
        <v>1725.16562650024</v>
      </c>
      <c r="D465" s="1302">
        <v>351.24463519313304</v>
      </c>
      <c r="E465" s="1302">
        <v>351.24463519313304</v>
      </c>
      <c r="F465" s="1302">
        <v>351.24463519313304</v>
      </c>
      <c r="G465" s="1302">
        <v>351.24463519313304</v>
      </c>
      <c r="H465" s="1356">
        <v>663.49960427520011</v>
      </c>
      <c r="I465" s="1356">
        <v>663.49960427520011</v>
      </c>
      <c r="J465" s="1356">
        <v>663.49960427520011</v>
      </c>
      <c r="K465" s="1356">
        <v>663.49960427520011</v>
      </c>
    </row>
    <row r="466" spans="1:11" s="551" customFormat="1">
      <c r="A466" s="550"/>
      <c r="B466" s="528" t="s">
        <v>1030</v>
      </c>
      <c r="C466" s="551">
        <v>1780.3906048051203</v>
      </c>
      <c r="D466" s="1302">
        <v>480.57416267942585</v>
      </c>
      <c r="E466" s="1302">
        <v>480.57416267942585</v>
      </c>
      <c r="F466" s="1302">
        <v>480.57416267942585</v>
      </c>
      <c r="G466" s="1302">
        <v>480.57416267942585</v>
      </c>
      <c r="H466" s="1356">
        <v>645.22483940042821</v>
      </c>
      <c r="I466" s="1356">
        <v>645.22483940042821</v>
      </c>
      <c r="J466" s="1356">
        <v>645.22483940042821</v>
      </c>
      <c r="K466" s="1356">
        <v>645.22483940042821</v>
      </c>
    </row>
    <row r="467" spans="1:11" s="551" customFormat="1">
      <c r="A467" s="550"/>
      <c r="B467" s="528" t="s">
        <v>1031</v>
      </c>
      <c r="C467" s="551">
        <v>2034.7321197772803</v>
      </c>
      <c r="D467" s="1302">
        <v>1459.6991294054401</v>
      </c>
      <c r="E467" s="1302">
        <v>1459.6991294054401</v>
      </c>
      <c r="F467" s="1302">
        <v>1459.6991294054401</v>
      </c>
      <c r="G467" s="1302">
        <v>1459.6991294054401</v>
      </c>
      <c r="H467" s="1356">
        <v>1927.8310940499039</v>
      </c>
      <c r="I467" s="1356">
        <v>1927.8310940499039</v>
      </c>
      <c r="J467" s="1356">
        <v>1927.8310940499039</v>
      </c>
      <c r="K467" s="1356">
        <v>1927.8310940499039</v>
      </c>
    </row>
    <row r="468" spans="1:11" s="551" customFormat="1">
      <c r="A468" s="550"/>
      <c r="B468" s="528" t="s">
        <v>1032</v>
      </c>
      <c r="C468" s="551">
        <v>2543.4151497216008</v>
      </c>
      <c r="D468" s="1302">
        <v>1426.9809493057792</v>
      </c>
      <c r="E468" s="1302">
        <v>1426.9809493057792</v>
      </c>
      <c r="F468" s="1302">
        <v>1426.9809493057792</v>
      </c>
      <c r="G468" s="1302">
        <v>1426.9809493057792</v>
      </c>
      <c r="H468" s="1356">
        <v>1880.3120124804991</v>
      </c>
      <c r="I468" s="1356">
        <v>1880.3120124804991</v>
      </c>
      <c r="J468" s="1356">
        <v>1880.3120124804991</v>
      </c>
      <c r="K468" s="1356">
        <v>1880.3120124804991</v>
      </c>
    </row>
    <row r="469" spans="1:11" s="551" customFormat="1">
      <c r="A469" s="550"/>
      <c r="B469" s="528" t="s">
        <v>1033</v>
      </c>
      <c r="C469" s="551">
        <v>2543.4151497216008</v>
      </c>
      <c r="D469" s="1302">
        <v>1426.9809493057792</v>
      </c>
      <c r="E469" s="1302">
        <v>1426.9809493057792</v>
      </c>
      <c r="F469" s="1302">
        <v>1426.9809493057792</v>
      </c>
      <c r="G469" s="1302">
        <v>1426.9809493057792</v>
      </c>
      <c r="H469" s="1356">
        <v>1880.3120124804991</v>
      </c>
      <c r="I469" s="1356">
        <v>1880.3120124804991</v>
      </c>
      <c r="J469" s="1356">
        <v>1880.3120124804991</v>
      </c>
      <c r="K469" s="1356">
        <v>1880.3120124804991</v>
      </c>
    </row>
    <row r="470" spans="1:11" s="551" customFormat="1">
      <c r="A470" s="550"/>
      <c r="B470" s="528" t="s">
        <v>1034</v>
      </c>
      <c r="C470" s="551">
        <v>2419.4344473007714</v>
      </c>
      <c r="D470" s="1302">
        <v>1365.5172413793102</v>
      </c>
      <c r="E470" s="1302">
        <v>1365.5172413793102</v>
      </c>
      <c r="F470" s="1302">
        <v>1365.5172413793102</v>
      </c>
      <c r="G470" s="1302">
        <v>1365.5172413793102</v>
      </c>
      <c r="H470" s="1356">
        <v>1969.411764705882</v>
      </c>
      <c r="I470" s="1356">
        <v>1969.411764705882</v>
      </c>
      <c r="J470" s="1356">
        <v>1969.411764705882</v>
      </c>
      <c r="K470" s="1356">
        <v>1969.411764705882</v>
      </c>
    </row>
    <row r="471" spans="1:11" s="551" customFormat="1">
      <c r="A471" s="550"/>
      <c r="B471" s="528" t="s">
        <v>1035</v>
      </c>
      <c r="C471" s="551">
        <v>2419.4344473007714</v>
      </c>
      <c r="D471" s="1302">
        <v>1365.5172413793102</v>
      </c>
      <c r="E471" s="1302">
        <v>1365.5172413793102</v>
      </c>
      <c r="F471" s="1302">
        <v>1365.5172413793102</v>
      </c>
      <c r="G471" s="1302">
        <v>1365.5172413793102</v>
      </c>
      <c r="H471" s="1356">
        <v>1969.411764705882</v>
      </c>
      <c r="I471" s="1356">
        <v>1969.411764705882</v>
      </c>
      <c r="J471" s="1356">
        <v>1969.411764705882</v>
      </c>
      <c r="K471" s="1356">
        <v>1969.411764705882</v>
      </c>
    </row>
    <row r="472" spans="1:11" s="551" customFormat="1">
      <c r="A472" s="550"/>
      <c r="B472" s="528" t="s">
        <v>1036</v>
      </c>
      <c r="C472" s="551">
        <v>2361.3615455381787</v>
      </c>
      <c r="D472" s="1302">
        <v>1128.5393258426968</v>
      </c>
      <c r="E472" s="1302">
        <v>1128.5393258426968</v>
      </c>
      <c r="F472" s="1302">
        <v>1128.5393258426968</v>
      </c>
      <c r="G472" s="1302">
        <v>1128.5393258426968</v>
      </c>
      <c r="H472" s="1356">
        <v>1649.2610837438424</v>
      </c>
      <c r="I472" s="1356">
        <v>1649.2610837438424</v>
      </c>
      <c r="J472" s="1356">
        <v>1649.2610837438424</v>
      </c>
      <c r="K472" s="1356">
        <v>1649.2610837438424</v>
      </c>
    </row>
    <row r="473" spans="1:11" s="551" customFormat="1">
      <c r="A473" s="550"/>
      <c r="B473" s="528" t="s">
        <v>1037</v>
      </c>
      <c r="C473" s="551">
        <v>1780.3906048051203</v>
      </c>
      <c r="D473" s="1302">
        <v>833.48205625606226</v>
      </c>
      <c r="E473" s="1302">
        <v>833.48205625606226</v>
      </c>
      <c r="F473" s="1302">
        <v>833.48205625606226</v>
      </c>
      <c r="G473" s="1302">
        <v>833.48205625606226</v>
      </c>
      <c r="H473" s="1356">
        <v>1050.9417040358744</v>
      </c>
      <c r="I473" s="1356">
        <v>1050.9417040358744</v>
      </c>
      <c r="J473" s="1356">
        <v>1050.9417040358744</v>
      </c>
      <c r="K473" s="1356">
        <v>1050.9417040358744</v>
      </c>
    </row>
    <row r="474" spans="1:11" s="551" customFormat="1">
      <c r="A474" s="550"/>
      <c r="B474" s="528" t="s">
        <v>1038</v>
      </c>
      <c r="C474" s="551">
        <v>1780.3906048051203</v>
      </c>
      <c r="D474" s="1302">
        <v>833.48205625606226</v>
      </c>
      <c r="E474" s="1302">
        <v>833.48205625606226</v>
      </c>
      <c r="F474" s="1302">
        <v>833.48205625606226</v>
      </c>
      <c r="G474" s="1302">
        <v>833.48205625606226</v>
      </c>
      <c r="H474" s="1356">
        <v>1050.9417040358744</v>
      </c>
      <c r="I474" s="1356">
        <v>1050.9417040358744</v>
      </c>
      <c r="J474" s="1356">
        <v>1050.9417040358744</v>
      </c>
      <c r="K474" s="1356">
        <v>1050.9417040358744</v>
      </c>
    </row>
    <row r="475" spans="1:11" s="551" customFormat="1">
      <c r="A475" s="550"/>
      <c r="B475" s="528" t="s">
        <v>1039</v>
      </c>
      <c r="C475" s="551">
        <v>1507.7209371840004</v>
      </c>
      <c r="D475" s="1302">
        <v>488.29015544041454</v>
      </c>
      <c r="E475" s="1302">
        <v>488.29015544041454</v>
      </c>
      <c r="F475" s="1302">
        <v>488.29015544041454</v>
      </c>
      <c r="G475" s="1302">
        <v>488.29015544041454</v>
      </c>
      <c r="H475" s="1302">
        <v>488.29015544041454</v>
      </c>
      <c r="I475" s="1302">
        <v>488.29015544041454</v>
      </c>
      <c r="J475" s="1302">
        <v>488.29015544041454</v>
      </c>
      <c r="K475" s="1302">
        <v>488.29015544041454</v>
      </c>
    </row>
    <row r="476" spans="1:11" s="551" customFormat="1">
      <c r="A476" s="550"/>
      <c r="B476" s="528" t="s">
        <v>1040</v>
      </c>
      <c r="C476" s="551">
        <v>1507.7209371840004</v>
      </c>
      <c r="D476" s="1302">
        <v>420.71428571428572</v>
      </c>
      <c r="E476" s="1302">
        <v>420.71428571428572</v>
      </c>
      <c r="F476" s="1302">
        <v>420.71428571428572</v>
      </c>
      <c r="G476" s="1302">
        <v>420.71428571428572</v>
      </c>
      <c r="H476" s="1302">
        <v>420.71428571428572</v>
      </c>
      <c r="I476" s="1302">
        <v>420.71428571428572</v>
      </c>
      <c r="J476" s="1302">
        <v>420.71428571428572</v>
      </c>
      <c r="K476" s="1302">
        <v>420.71428571428572</v>
      </c>
    </row>
    <row r="477" spans="1:11" s="551" customFormat="1">
      <c r="A477" s="550"/>
      <c r="B477" s="528" t="s">
        <v>1041</v>
      </c>
      <c r="C477" s="551">
        <v>1350.9174311926606</v>
      </c>
      <c r="D477" s="1302">
        <v>488.29015544041454</v>
      </c>
      <c r="E477" s="1302">
        <v>488.29015544041454</v>
      </c>
      <c r="F477" s="1302">
        <v>488.29015544041454</v>
      </c>
      <c r="G477" s="1302">
        <v>488.29015544041454</v>
      </c>
      <c r="H477" s="1302">
        <v>488.29015544041454</v>
      </c>
      <c r="I477" s="1302">
        <v>488.29015544041454</v>
      </c>
      <c r="J477" s="1302">
        <v>488.29015544041454</v>
      </c>
      <c r="K477" s="1302">
        <v>488.29015544041454</v>
      </c>
    </row>
    <row r="478" spans="1:11" s="551" customFormat="1">
      <c r="A478" s="550"/>
      <c r="B478" s="528" t="s">
        <v>1042</v>
      </c>
      <c r="C478" s="551">
        <v>1621.1009174311928</v>
      </c>
      <c r="D478" s="1302">
        <v>621.70423309510716</v>
      </c>
      <c r="E478" s="1302">
        <v>621.70423309510716</v>
      </c>
      <c r="F478" s="1302">
        <v>621.70423309510716</v>
      </c>
      <c r="G478" s="1302">
        <v>621.70423309510716</v>
      </c>
      <c r="H478" s="1302">
        <v>621.70423309510716</v>
      </c>
      <c r="I478" s="1302">
        <v>621.70423309510716</v>
      </c>
      <c r="J478" s="1302">
        <v>621.70423309510716</v>
      </c>
      <c r="K478" s="1302">
        <v>621.70423309510716</v>
      </c>
    </row>
    <row r="479" spans="1:11" s="551" customFormat="1">
      <c r="A479" s="550"/>
      <c r="B479" s="528" t="s">
        <v>1043</v>
      </c>
      <c r="C479" s="551">
        <v>1891.284403669725</v>
      </c>
      <c r="D479" s="1302">
        <v>1216.2282226617604</v>
      </c>
      <c r="E479" s="1302">
        <v>1216.2282226617604</v>
      </c>
      <c r="F479" s="1302">
        <v>1216.2282226617604</v>
      </c>
      <c r="G479" s="1302">
        <v>1216.2282226617604</v>
      </c>
      <c r="H479" s="1302">
        <v>1216.2282226617604</v>
      </c>
      <c r="I479" s="1302">
        <v>1216.2282226617604</v>
      </c>
      <c r="J479" s="1302">
        <v>1216.2282226617604</v>
      </c>
      <c r="K479" s="1302">
        <v>1216.2282226617604</v>
      </c>
    </row>
    <row r="480" spans="1:11" s="551" customFormat="1">
      <c r="A480" s="550"/>
      <c r="B480" s="528" t="s">
        <v>1044</v>
      </c>
      <c r="C480" s="551">
        <v>2431.6513761467895</v>
      </c>
      <c r="D480" s="1302">
        <v>1198.3018074821355</v>
      </c>
      <c r="E480" s="1302">
        <v>1198.3018074821355</v>
      </c>
      <c r="F480" s="1302">
        <v>1198.3018074821355</v>
      </c>
      <c r="G480" s="1302">
        <v>1198.3018074821355</v>
      </c>
      <c r="H480" s="1302">
        <v>1198.3018074821355</v>
      </c>
      <c r="I480" s="1302">
        <v>1198.3018074821355</v>
      </c>
      <c r="J480" s="1302">
        <v>1198.3018074821355</v>
      </c>
      <c r="K480" s="1302">
        <v>1198.3018074821355</v>
      </c>
    </row>
    <row r="481" spans="1:11" s="551" customFormat="1">
      <c r="A481" s="550"/>
      <c r="B481" s="528" t="s">
        <v>1045</v>
      </c>
      <c r="C481" s="551">
        <v>2431.6513761467895</v>
      </c>
      <c r="D481" s="1302">
        <v>1198.3018074821355</v>
      </c>
      <c r="E481" s="1302">
        <v>1198.3018074821355</v>
      </c>
      <c r="F481" s="1302">
        <v>1198.3018074821355</v>
      </c>
      <c r="G481" s="1302">
        <v>1198.3018074821355</v>
      </c>
      <c r="H481" s="1302">
        <v>1198.3018074821355</v>
      </c>
      <c r="I481" s="1302">
        <v>1198.3018074821355</v>
      </c>
      <c r="J481" s="1302">
        <v>1198.3018074821355</v>
      </c>
      <c r="K481" s="1302">
        <v>1198.3018074821355</v>
      </c>
    </row>
    <row r="482" spans="1:11" s="551" customFormat="1">
      <c r="A482" s="550"/>
      <c r="B482" s="528" t="s">
        <v>1046</v>
      </c>
      <c r="C482" s="551">
        <v>2764.1550515040008</v>
      </c>
      <c r="D482" s="1302">
        <v>1127.3272112131465</v>
      </c>
      <c r="E482" s="1302">
        <v>1127.3272112131465</v>
      </c>
      <c r="F482" s="1302">
        <v>1127.3272112131465</v>
      </c>
      <c r="G482" s="1302">
        <v>1127.3272112131465</v>
      </c>
      <c r="H482" s="1302">
        <v>1127.3272112131465</v>
      </c>
      <c r="I482" s="1302">
        <v>1127.3272112131465</v>
      </c>
      <c r="J482" s="1302">
        <v>1127.3272112131465</v>
      </c>
      <c r="K482" s="1302">
        <v>1127.3272112131465</v>
      </c>
    </row>
    <row r="483" spans="1:11" s="551" customFormat="1">
      <c r="A483" s="550"/>
      <c r="B483" s="528" t="s">
        <v>1047</v>
      </c>
      <c r="C483" s="551">
        <v>2764.1550515040008</v>
      </c>
      <c r="D483" s="1302">
        <v>1127.3272112131465</v>
      </c>
      <c r="E483" s="1302">
        <v>1127.3272112131465</v>
      </c>
      <c r="F483" s="1302">
        <v>1127.3272112131465</v>
      </c>
      <c r="G483" s="1302">
        <v>1127.3272112131465</v>
      </c>
      <c r="H483" s="1302">
        <v>1127.3272112131465</v>
      </c>
      <c r="I483" s="1302">
        <v>1127.3272112131465</v>
      </c>
      <c r="J483" s="1302">
        <v>1127.3272112131465</v>
      </c>
      <c r="K483" s="1302">
        <v>1127.3272112131465</v>
      </c>
    </row>
    <row r="484" spans="1:11" s="551" customFormat="1">
      <c r="A484" s="550"/>
      <c r="B484" s="528" t="s">
        <v>1048</v>
      </c>
      <c r="C484" s="551">
        <v>2701.8348623853217</v>
      </c>
      <c r="D484" s="1302">
        <v>1216.2282226617604</v>
      </c>
      <c r="E484" s="1302">
        <v>1216.2282226617604</v>
      </c>
      <c r="F484" s="1302">
        <v>1216.2282226617604</v>
      </c>
      <c r="G484" s="1302">
        <v>1216.2282226617604</v>
      </c>
      <c r="H484" s="1302">
        <v>1216.2282226617604</v>
      </c>
      <c r="I484" s="1302">
        <v>1216.2282226617604</v>
      </c>
      <c r="J484" s="1302">
        <v>1216.2282226617604</v>
      </c>
      <c r="K484" s="1302">
        <v>1216.2282226617604</v>
      </c>
    </row>
    <row r="485" spans="1:11" s="551" customFormat="1">
      <c r="A485" s="550"/>
      <c r="B485" s="528" t="s">
        <v>1049</v>
      </c>
      <c r="C485" s="551">
        <v>1621.1009174311928</v>
      </c>
      <c r="D485" s="1302">
        <v>488.29015544041454</v>
      </c>
      <c r="E485" s="1302">
        <v>488.29015544041454</v>
      </c>
      <c r="F485" s="1302">
        <v>488.29015544041454</v>
      </c>
      <c r="G485" s="1302">
        <v>488.29015544041454</v>
      </c>
      <c r="H485" s="1302">
        <v>488.29015544041454</v>
      </c>
      <c r="I485" s="1302">
        <v>488.29015544041454</v>
      </c>
      <c r="J485" s="1302">
        <v>488.29015544041454</v>
      </c>
      <c r="K485" s="1302">
        <v>488.29015544041454</v>
      </c>
    </row>
    <row r="486" spans="1:11" s="551" customFormat="1">
      <c r="A486" s="550"/>
      <c r="B486" s="528" t="s">
        <v>1050</v>
      </c>
      <c r="C486" s="551">
        <v>1520.8410180745113</v>
      </c>
      <c r="D486" s="1302">
        <v>420.71428571428572</v>
      </c>
      <c r="E486" s="1302">
        <v>420.71428571428572</v>
      </c>
      <c r="F486" s="1302">
        <v>420.71428571428572</v>
      </c>
      <c r="G486" s="1302">
        <v>420.71428571428572</v>
      </c>
      <c r="H486" s="1302">
        <v>420.71428571428572</v>
      </c>
      <c r="I486" s="1302">
        <v>420.71428571428572</v>
      </c>
      <c r="J486" s="1302">
        <v>420.71428571428572</v>
      </c>
      <c r="K486" s="1302">
        <v>420.71428571428572</v>
      </c>
    </row>
    <row r="487" spans="1:11" s="551" customFormat="1">
      <c r="A487" s="550"/>
      <c r="B487" s="528" t="s">
        <v>1051</v>
      </c>
      <c r="C487" s="551">
        <v>1476.5937952550405</v>
      </c>
      <c r="D487" s="1302">
        <v>510.66009852216746</v>
      </c>
      <c r="E487" s="1302">
        <v>510.66009852216746</v>
      </c>
      <c r="F487" s="1302">
        <v>510.66009852216746</v>
      </c>
      <c r="G487" s="1302">
        <v>510.66009852216746</v>
      </c>
      <c r="H487" s="1302">
        <v>510.66009852216746</v>
      </c>
      <c r="I487" s="1302">
        <v>510.66009852216746</v>
      </c>
      <c r="J487" s="1302">
        <v>510.66009852216746</v>
      </c>
      <c r="K487" s="1302">
        <v>510.66009852216746</v>
      </c>
    </row>
    <row r="488" spans="1:11" s="551" customFormat="1">
      <c r="A488" s="550"/>
      <c r="B488" s="528" t="s">
        <v>1052</v>
      </c>
      <c r="C488" s="551">
        <v>1476.5937952550405</v>
      </c>
      <c r="D488" s="1302">
        <v>440.67335487162052</v>
      </c>
      <c r="E488" s="1302">
        <v>440.67335487162052</v>
      </c>
      <c r="F488" s="1302">
        <v>440.67335487162052</v>
      </c>
      <c r="G488" s="1302">
        <v>440.67335487162052</v>
      </c>
      <c r="H488" s="1302">
        <v>440.67335487162052</v>
      </c>
      <c r="I488" s="1302">
        <v>440.67335487162052</v>
      </c>
      <c r="J488" s="1302">
        <v>440.67335487162052</v>
      </c>
      <c r="K488" s="1302">
        <v>440.67335487162052</v>
      </c>
    </row>
    <row r="489" spans="1:11" s="551" customFormat="1">
      <c r="A489" s="550"/>
      <c r="B489" s="528" t="s">
        <v>1053</v>
      </c>
      <c r="C489" s="551">
        <v>1322.3035627135189</v>
      </c>
      <c r="D489" s="1302">
        <v>510.66009852216746</v>
      </c>
      <c r="E489" s="1302">
        <v>510.66009852216746</v>
      </c>
      <c r="F489" s="1302">
        <v>510.66009852216746</v>
      </c>
      <c r="G489" s="1302">
        <v>510.66009852216746</v>
      </c>
      <c r="H489" s="1302">
        <v>510.66009852216746</v>
      </c>
      <c r="I489" s="1302">
        <v>510.66009852216746</v>
      </c>
      <c r="J489" s="1302">
        <v>510.66009852216746</v>
      </c>
      <c r="K489" s="1302">
        <v>510.66009852216746</v>
      </c>
    </row>
    <row r="490" spans="1:11" s="551" customFormat="1">
      <c r="A490" s="550"/>
      <c r="B490" s="528" t="s">
        <v>1054</v>
      </c>
      <c r="C490" s="551">
        <v>1586.7642752562226</v>
      </c>
      <c r="D490" s="1302">
        <v>655.20278099652364</v>
      </c>
      <c r="E490" s="1302">
        <v>655.20278099652364</v>
      </c>
      <c r="F490" s="1302">
        <v>655.20278099652364</v>
      </c>
      <c r="G490" s="1302">
        <v>655.20278099652364</v>
      </c>
      <c r="H490" s="1302">
        <v>655.20278099652364</v>
      </c>
      <c r="I490" s="1302">
        <v>655.20278099652364</v>
      </c>
      <c r="J490" s="1302">
        <v>655.20278099652364</v>
      </c>
      <c r="K490" s="1302">
        <v>655.20278099652364</v>
      </c>
    </row>
    <row r="491" spans="1:11" s="551" customFormat="1">
      <c r="A491" s="550"/>
      <c r="B491" s="528" t="s">
        <v>1055</v>
      </c>
      <c r="C491" s="551">
        <v>1851.2249877989263</v>
      </c>
      <c r="D491" s="1302">
        <v>1280.8566721581549</v>
      </c>
      <c r="E491" s="1302">
        <v>1280.8566721581549</v>
      </c>
      <c r="F491" s="1302">
        <v>1280.8566721581549</v>
      </c>
      <c r="G491" s="1302">
        <v>1280.8566721581549</v>
      </c>
      <c r="H491" s="1302">
        <v>1280.8566721581549</v>
      </c>
      <c r="I491" s="1302">
        <v>1280.8566721581549</v>
      </c>
      <c r="J491" s="1302">
        <v>1280.8566721581549</v>
      </c>
      <c r="K491" s="1302">
        <v>1280.8566721581549</v>
      </c>
    </row>
    <row r="492" spans="1:11" s="551" customFormat="1">
      <c r="A492" s="550"/>
      <c r="B492" s="528" t="s">
        <v>1056</v>
      </c>
      <c r="C492" s="551">
        <v>2380.1464128843336</v>
      </c>
      <c r="D492" s="1302">
        <v>1261.0431495556359</v>
      </c>
      <c r="E492" s="1302">
        <v>1261.0431495556359</v>
      </c>
      <c r="F492" s="1302">
        <v>1261.0431495556359</v>
      </c>
      <c r="G492" s="1302">
        <v>1261.0431495556359</v>
      </c>
      <c r="H492" s="1302">
        <v>1261.0431495556359</v>
      </c>
      <c r="I492" s="1302">
        <v>1261.0431495556359</v>
      </c>
      <c r="J492" s="1302">
        <v>1261.0431495556359</v>
      </c>
      <c r="K492" s="1302">
        <v>1261.0431495556359</v>
      </c>
    </row>
    <row r="493" spans="1:11" s="551" customFormat="1">
      <c r="A493" s="550"/>
      <c r="B493" s="528" t="s">
        <v>1057</v>
      </c>
      <c r="C493" s="551">
        <v>2380.1464128843336</v>
      </c>
      <c r="D493" s="1302">
        <v>1261.0431495556359</v>
      </c>
      <c r="E493" s="1302">
        <v>1261.0431495556359</v>
      </c>
      <c r="F493" s="1302">
        <v>1261.0431495556359</v>
      </c>
      <c r="G493" s="1302">
        <v>1261.0431495556359</v>
      </c>
      <c r="H493" s="1302">
        <v>1261.0431495556359</v>
      </c>
      <c r="I493" s="1302">
        <v>1261.0431495556359</v>
      </c>
      <c r="J493" s="1302">
        <v>1261.0431495556359</v>
      </c>
      <c r="K493" s="1302">
        <v>1261.0431495556359</v>
      </c>
    </row>
    <row r="494" spans="1:11" s="551" customFormat="1">
      <c r="A494" s="550"/>
      <c r="B494" s="528" t="s">
        <v>1058</v>
      </c>
      <c r="C494" s="551">
        <v>2707.0886246342407</v>
      </c>
      <c r="D494" s="1302">
        <v>1294.6945596076805</v>
      </c>
      <c r="E494" s="1302">
        <v>1294.6945596076805</v>
      </c>
      <c r="F494" s="1302">
        <v>1294.6945596076805</v>
      </c>
      <c r="G494" s="1302">
        <v>1294.6945596076805</v>
      </c>
      <c r="H494" s="1302">
        <v>1294.6945596076805</v>
      </c>
      <c r="I494" s="1302">
        <v>1294.6945596076805</v>
      </c>
      <c r="J494" s="1302">
        <v>1294.6945596076805</v>
      </c>
      <c r="K494" s="1302">
        <v>1294.6945596076805</v>
      </c>
    </row>
    <row r="495" spans="1:11" s="551" customFormat="1">
      <c r="A495" s="550"/>
      <c r="B495" s="528" t="s">
        <v>1059</v>
      </c>
      <c r="C495" s="551">
        <v>2707.0886246342407</v>
      </c>
      <c r="D495" s="1302">
        <v>1294.6945596076805</v>
      </c>
      <c r="E495" s="1302">
        <v>1294.6945596076805</v>
      </c>
      <c r="F495" s="1302">
        <v>1294.6945596076805</v>
      </c>
      <c r="G495" s="1302">
        <v>1294.6945596076805</v>
      </c>
      <c r="H495" s="1302">
        <v>1294.6945596076805</v>
      </c>
      <c r="I495" s="1302">
        <v>1294.6945596076805</v>
      </c>
      <c r="J495" s="1302">
        <v>1294.6945596076805</v>
      </c>
      <c r="K495" s="1302">
        <v>1294.6945596076805</v>
      </c>
    </row>
    <row r="496" spans="1:11" s="551" customFormat="1">
      <c r="A496" s="550"/>
      <c r="B496" s="528" t="s">
        <v>1060</v>
      </c>
      <c r="C496" s="551">
        <v>2644.6071254270378</v>
      </c>
      <c r="D496" s="1302">
        <v>1280.8566721581549</v>
      </c>
      <c r="E496" s="1302">
        <v>1280.8566721581549</v>
      </c>
      <c r="F496" s="1302">
        <v>1280.8566721581549</v>
      </c>
      <c r="G496" s="1302">
        <v>1280.8566721581549</v>
      </c>
      <c r="H496" s="1302">
        <v>1280.8566721581549</v>
      </c>
      <c r="I496" s="1302">
        <v>1280.8566721581549</v>
      </c>
      <c r="J496" s="1302">
        <v>1280.8566721581549</v>
      </c>
      <c r="K496" s="1302">
        <v>1280.8566721581549</v>
      </c>
    </row>
    <row r="497" spans="1:11" s="551" customFormat="1">
      <c r="A497" s="550"/>
      <c r="B497" s="528" t="s">
        <v>1061</v>
      </c>
      <c r="C497" s="551">
        <v>1586.7642752562226</v>
      </c>
      <c r="D497" s="1302">
        <v>510.66009852216746</v>
      </c>
      <c r="E497" s="1302">
        <v>510.66009852216746</v>
      </c>
      <c r="F497" s="1302">
        <v>510.66009852216746</v>
      </c>
      <c r="G497" s="1302">
        <v>510.66009852216746</v>
      </c>
      <c r="H497" s="1302">
        <v>510.66009852216746</v>
      </c>
      <c r="I497" s="1302">
        <v>510.66009852216746</v>
      </c>
      <c r="J497" s="1302">
        <v>510.66009852216746</v>
      </c>
      <c r="K497" s="1302">
        <v>510.66009852216746</v>
      </c>
    </row>
    <row r="498" spans="1:11" s="551" customFormat="1">
      <c r="A498" s="550"/>
      <c r="B498" s="528" t="s">
        <v>1062</v>
      </c>
      <c r="C498" s="551">
        <v>1586.7642752562226</v>
      </c>
      <c r="D498" s="1302">
        <v>440.67335487162052</v>
      </c>
      <c r="E498" s="1302">
        <v>440.67335487162052</v>
      </c>
      <c r="F498" s="1302">
        <v>440.67335487162052</v>
      </c>
      <c r="G498" s="1302">
        <v>440.67335487162052</v>
      </c>
      <c r="H498" s="1302">
        <v>440.67335487162052</v>
      </c>
      <c r="I498" s="1302">
        <v>440.67335487162052</v>
      </c>
      <c r="J498" s="1302">
        <v>440.67335487162052</v>
      </c>
      <c r="K498" s="1302">
        <v>440.67335487162052</v>
      </c>
    </row>
    <row r="499" spans="1:11" s="551" customFormat="1">
      <c r="A499" s="550"/>
      <c r="B499" s="528" t="s">
        <v>1063</v>
      </c>
      <c r="C499" s="551">
        <v>1419.7378565921356</v>
      </c>
      <c r="D499" s="1302">
        <v>729.84956470272004</v>
      </c>
      <c r="E499" s="1302">
        <v>729.84956470272004</v>
      </c>
      <c r="F499" s="1302">
        <v>729.84956470272004</v>
      </c>
      <c r="G499" s="1302">
        <v>729.84956470272004</v>
      </c>
      <c r="H499" s="1356">
        <v>984.7058823529411</v>
      </c>
      <c r="I499" s="1356">
        <v>984.7058823529411</v>
      </c>
      <c r="J499" s="1356">
        <v>984.7058823529411</v>
      </c>
      <c r="K499" s="1356">
        <v>984.7058823529411</v>
      </c>
    </row>
    <row r="500" spans="1:11" s="551" customFormat="1">
      <c r="A500" s="550"/>
      <c r="B500" s="528" t="s">
        <v>1064</v>
      </c>
      <c r="C500" s="551">
        <v>1419.7378565921356</v>
      </c>
      <c r="D500" s="1302">
        <v>608.20797058560015</v>
      </c>
      <c r="E500" s="1302">
        <v>608.20797058560015</v>
      </c>
      <c r="F500" s="1302">
        <v>608.20797058560015</v>
      </c>
      <c r="G500" s="1302">
        <v>608.20797058560015</v>
      </c>
      <c r="H500" s="1356">
        <v>858.46153846153845</v>
      </c>
      <c r="I500" s="1356">
        <v>858.46153846153845</v>
      </c>
      <c r="J500" s="1356">
        <v>858.46153846153845</v>
      </c>
      <c r="K500" s="1356">
        <v>858.46153846153845</v>
      </c>
    </row>
    <row r="501" spans="1:11" s="551" customFormat="1">
      <c r="A501" s="550"/>
      <c r="B501" s="528" t="s">
        <v>1065</v>
      </c>
      <c r="C501" s="551">
        <v>1459.6991294054401</v>
      </c>
      <c r="D501" s="1302">
        <v>729.84956470272004</v>
      </c>
      <c r="E501" s="1302">
        <v>729.84956470272004</v>
      </c>
      <c r="F501" s="1302">
        <v>729.84956470272004</v>
      </c>
      <c r="G501" s="1302">
        <v>729.84956470272004</v>
      </c>
      <c r="H501" s="1356">
        <v>984.7058823529411</v>
      </c>
      <c r="I501" s="1356">
        <v>984.7058823529411</v>
      </c>
      <c r="J501" s="1356">
        <v>984.7058823529411</v>
      </c>
      <c r="K501" s="1356">
        <v>984.7058823529411</v>
      </c>
    </row>
    <row r="502" spans="1:11" s="551" customFormat="1">
      <c r="A502" s="550"/>
      <c r="B502" s="528" t="s">
        <v>1066</v>
      </c>
      <c r="C502" s="551">
        <v>1702.9823176396806</v>
      </c>
      <c r="D502" s="1302">
        <v>705.66744730679147</v>
      </c>
      <c r="E502" s="1302">
        <v>705.66744730679147</v>
      </c>
      <c r="F502" s="1302">
        <v>705.66744730679147</v>
      </c>
      <c r="G502" s="1302">
        <v>705.66744730679147</v>
      </c>
      <c r="H502" s="1356">
        <v>997.74834437086076</v>
      </c>
      <c r="I502" s="1356">
        <v>997.74834437086076</v>
      </c>
      <c r="J502" s="1356">
        <v>997.74834437086076</v>
      </c>
      <c r="K502" s="1356">
        <v>997.74834437086076</v>
      </c>
    </row>
    <row r="503" spans="1:11" s="551" customFormat="1">
      <c r="A503" s="550"/>
      <c r="B503" s="528" t="s">
        <v>1067</v>
      </c>
      <c r="C503" s="551">
        <v>1946.2655058739203</v>
      </c>
      <c r="D503" s="1302">
        <v>1228.9655172413793</v>
      </c>
      <c r="E503" s="1302">
        <v>1228.9655172413793</v>
      </c>
      <c r="F503" s="1302">
        <v>1228.9655172413793</v>
      </c>
      <c r="G503" s="1302">
        <v>1228.9655172413793</v>
      </c>
      <c r="H503" s="1356">
        <v>1891.5254237288138</v>
      </c>
      <c r="I503" s="1356">
        <v>1891.5254237288138</v>
      </c>
      <c r="J503" s="1356">
        <v>1891.5254237288138</v>
      </c>
      <c r="K503" s="1356">
        <v>1891.5254237288138</v>
      </c>
    </row>
    <row r="504" spans="1:11" s="551" customFormat="1">
      <c r="A504" s="550"/>
      <c r="B504" s="528" t="s">
        <v>1068</v>
      </c>
      <c r="C504" s="551">
        <v>2432.8318823424006</v>
      </c>
      <c r="D504" s="1302">
        <v>1318.6036292619413</v>
      </c>
      <c r="E504" s="1302">
        <v>1318.6036292619413</v>
      </c>
      <c r="F504" s="1302">
        <v>1318.6036292619413</v>
      </c>
      <c r="G504" s="1302">
        <v>1318.6036292619413</v>
      </c>
      <c r="H504" s="1356">
        <v>1843.7046307884857</v>
      </c>
      <c r="I504" s="1356">
        <v>1843.7046307884857</v>
      </c>
      <c r="J504" s="1356">
        <v>1843.7046307884857</v>
      </c>
      <c r="K504" s="1356">
        <v>1843.7046307884857</v>
      </c>
    </row>
    <row r="505" spans="1:11" s="551" customFormat="1">
      <c r="A505" s="550"/>
      <c r="B505" s="528" t="s">
        <v>1069</v>
      </c>
      <c r="C505" s="551">
        <v>2432.8318823424006</v>
      </c>
      <c r="D505" s="1302">
        <v>1318.6036292619413</v>
      </c>
      <c r="E505" s="1302">
        <v>1318.6036292619413</v>
      </c>
      <c r="F505" s="1302">
        <v>1318.6036292619413</v>
      </c>
      <c r="G505" s="1302">
        <v>1318.6036292619413</v>
      </c>
      <c r="H505" s="1356">
        <v>1843.7046307884857</v>
      </c>
      <c r="I505" s="1356">
        <v>1843.7046307884857</v>
      </c>
      <c r="J505" s="1356">
        <v>1843.7046307884857</v>
      </c>
      <c r="K505" s="1356">
        <v>1843.7046307884857</v>
      </c>
    </row>
    <row r="506" spans="1:11" s="551" customFormat="1">
      <c r="A506" s="550"/>
      <c r="B506" s="528" t="s">
        <v>1070</v>
      </c>
      <c r="C506" s="551">
        <v>2522.3229750382061</v>
      </c>
      <c r="D506" s="1302">
        <v>1263.3174291327532</v>
      </c>
      <c r="E506" s="1302">
        <v>1263.3174291327532</v>
      </c>
      <c r="F506" s="1302">
        <v>1263.3174291327532</v>
      </c>
      <c r="G506" s="1302">
        <v>1263.3174291327532</v>
      </c>
      <c r="H506" s="1356">
        <v>1931.8454935622317</v>
      </c>
      <c r="I506" s="1356">
        <v>1931.8454935622317</v>
      </c>
      <c r="J506" s="1356">
        <v>1931.8454935622317</v>
      </c>
      <c r="K506" s="1356">
        <v>1931.8454935622317</v>
      </c>
    </row>
    <row r="507" spans="1:11" s="551" customFormat="1">
      <c r="A507" s="550"/>
      <c r="B507" s="528" t="s">
        <v>1071</v>
      </c>
      <c r="C507" s="551">
        <v>2522.3229750382061</v>
      </c>
      <c r="D507" s="1302">
        <v>1263.3174291327532</v>
      </c>
      <c r="E507" s="1302">
        <v>1263.3174291327532</v>
      </c>
      <c r="F507" s="1302">
        <v>1263.3174291327532</v>
      </c>
      <c r="G507" s="1302">
        <v>1263.3174291327532</v>
      </c>
      <c r="H507" s="1356">
        <v>1931.8454935622317</v>
      </c>
      <c r="I507" s="1356">
        <v>1931.8454935622317</v>
      </c>
      <c r="J507" s="1356">
        <v>1931.8454935622317</v>
      </c>
      <c r="K507" s="1356">
        <v>1931.8454935622317</v>
      </c>
    </row>
    <row r="508" spans="1:11" s="551" customFormat="1">
      <c r="A508" s="550"/>
      <c r="B508" s="528" t="s">
        <v>1072</v>
      </c>
      <c r="C508" s="551">
        <v>2676.1150705766404</v>
      </c>
      <c r="D508" s="1302">
        <v>1228.9655172413793</v>
      </c>
      <c r="E508" s="1302">
        <v>1228.9655172413793</v>
      </c>
      <c r="F508" s="1302">
        <v>1228.9655172413793</v>
      </c>
      <c r="G508" s="1302">
        <v>1228.9655172413793</v>
      </c>
      <c r="H508" s="1356">
        <v>1891.5254237288138</v>
      </c>
      <c r="I508" s="1356">
        <v>1891.5254237288138</v>
      </c>
      <c r="J508" s="1356">
        <v>1891.5254237288138</v>
      </c>
      <c r="K508" s="1356">
        <v>1891.5254237288138</v>
      </c>
    </row>
    <row r="509" spans="1:11" s="551" customFormat="1">
      <c r="A509" s="550"/>
      <c r="B509" s="528" t="s">
        <v>1073</v>
      </c>
      <c r="C509" s="551">
        <v>1702.9823176396806</v>
      </c>
      <c r="D509" s="1302">
        <v>729.84956470272004</v>
      </c>
      <c r="E509" s="1302">
        <v>729.84956470272004</v>
      </c>
      <c r="F509" s="1302">
        <v>729.84956470272004</v>
      </c>
      <c r="G509" s="1302">
        <v>729.84956470272004</v>
      </c>
      <c r="H509" s="1356">
        <v>984.7058823529411</v>
      </c>
      <c r="I509" s="1356">
        <v>984.7058823529411</v>
      </c>
      <c r="J509" s="1356">
        <v>984.7058823529411</v>
      </c>
      <c r="K509" s="1356">
        <v>984.7058823529411</v>
      </c>
    </row>
    <row r="510" spans="1:11" s="551" customFormat="1">
      <c r="A510" s="550"/>
      <c r="B510" s="528" t="s">
        <v>1074</v>
      </c>
      <c r="C510" s="551">
        <v>1702.9823176396806</v>
      </c>
      <c r="D510" s="1302">
        <v>608.20797058560015</v>
      </c>
      <c r="E510" s="1302">
        <v>608.20797058560015</v>
      </c>
      <c r="F510" s="1302">
        <v>608.20797058560015</v>
      </c>
      <c r="G510" s="1302">
        <v>608.20797058560015</v>
      </c>
      <c r="H510" s="1356">
        <v>858.46153846153845</v>
      </c>
      <c r="I510" s="1356">
        <v>858.46153846153845</v>
      </c>
      <c r="J510" s="1356">
        <v>858.46153846153845</v>
      </c>
      <c r="K510" s="1356">
        <v>858.46153846153845</v>
      </c>
    </row>
    <row r="511" spans="1:11" s="551" customFormat="1">
      <c r="A511" s="550"/>
      <c r="B511" s="528" t="s">
        <v>1075</v>
      </c>
      <c r="C511" s="551">
        <v>0</v>
      </c>
      <c r="D511" s="1296">
        <v>0</v>
      </c>
      <c r="E511" s="1296">
        <v>0</v>
      </c>
      <c r="F511" s="1296">
        <v>0</v>
      </c>
      <c r="G511" s="1296">
        <v>0</v>
      </c>
      <c r="H511" s="1296">
        <v>0</v>
      </c>
      <c r="I511" s="1296">
        <v>0</v>
      </c>
      <c r="J511" s="1296">
        <v>0</v>
      </c>
      <c r="K511" s="1296">
        <v>0</v>
      </c>
    </row>
    <row r="512" spans="1:11" s="551" customFormat="1">
      <c r="A512" s="550"/>
      <c r="B512" s="528" t="s">
        <v>1076</v>
      </c>
      <c r="C512" s="551">
        <v>0</v>
      </c>
      <c r="D512" s="1296">
        <v>0</v>
      </c>
      <c r="E512" s="1296">
        <v>0</v>
      </c>
      <c r="F512" s="1296">
        <v>0</v>
      </c>
      <c r="G512" s="1296">
        <v>0</v>
      </c>
      <c r="H512" s="1296">
        <v>0</v>
      </c>
      <c r="I512" s="1296">
        <v>0</v>
      </c>
      <c r="J512" s="1296">
        <v>0</v>
      </c>
      <c r="K512" s="1296">
        <v>0</v>
      </c>
    </row>
    <row r="513" spans="1:11" s="551" customFormat="1">
      <c r="A513" s="550"/>
      <c r="B513" s="528" t="s">
        <v>1077</v>
      </c>
      <c r="C513" s="551">
        <v>0</v>
      </c>
      <c r="D513" s="1296">
        <v>0</v>
      </c>
      <c r="E513" s="1296">
        <v>0</v>
      </c>
      <c r="F513" s="1296">
        <v>0</v>
      </c>
      <c r="G513" s="1296">
        <v>0</v>
      </c>
      <c r="H513" s="1296">
        <v>0</v>
      </c>
      <c r="I513" s="1296">
        <v>0</v>
      </c>
      <c r="J513" s="1296">
        <v>0</v>
      </c>
      <c r="K513" s="1296">
        <v>0</v>
      </c>
    </row>
    <row r="514" spans="1:11" s="551" customFormat="1">
      <c r="A514" s="550"/>
      <c r="B514" s="528" t="s">
        <v>1078</v>
      </c>
      <c r="C514" s="551">
        <v>0</v>
      </c>
      <c r="D514" s="1296">
        <v>0</v>
      </c>
      <c r="E514" s="1296">
        <v>0</v>
      </c>
      <c r="F514" s="1296">
        <v>0</v>
      </c>
      <c r="G514" s="1296">
        <v>0</v>
      </c>
      <c r="H514" s="1296">
        <v>0</v>
      </c>
      <c r="I514" s="1296">
        <v>0</v>
      </c>
      <c r="J514" s="1296">
        <v>0</v>
      </c>
      <c r="K514" s="1296">
        <v>0</v>
      </c>
    </row>
    <row r="515" spans="1:11" s="551" customFormat="1">
      <c r="A515" s="550"/>
      <c r="B515" s="528" t="s">
        <v>1079</v>
      </c>
      <c r="C515" s="551">
        <v>1125.7649664307205</v>
      </c>
      <c r="D515" s="1302">
        <v>995.09581854144017</v>
      </c>
      <c r="E515" s="1302">
        <v>995.09581854144017</v>
      </c>
      <c r="F515" s="1302">
        <v>995.09581854144017</v>
      </c>
      <c r="G515" s="1302">
        <v>995.09581854144017</v>
      </c>
      <c r="H515" s="1302">
        <v>995.09581854144017</v>
      </c>
      <c r="I515" s="1302">
        <v>995.09581854144017</v>
      </c>
      <c r="J515" s="1302">
        <v>995.09581854144017</v>
      </c>
      <c r="K515" s="1302">
        <v>995.09581854144017</v>
      </c>
    </row>
    <row r="516" spans="1:11" s="551" customFormat="1">
      <c r="A516" s="550"/>
      <c r="B516" s="528" t="s">
        <v>1080</v>
      </c>
      <c r="C516" s="551">
        <v>1240</v>
      </c>
      <c r="D516" s="1302">
        <v>1085.55907477248</v>
      </c>
      <c r="E516" s="1302">
        <v>1085.55907477248</v>
      </c>
      <c r="F516" s="1302">
        <v>1085.55907477248</v>
      </c>
      <c r="G516" s="1302">
        <v>1085.55907477248</v>
      </c>
      <c r="H516" s="1302">
        <v>1085.55907477248</v>
      </c>
      <c r="I516" s="1302">
        <v>1085.55907477248</v>
      </c>
      <c r="J516" s="1302">
        <v>1085.55907477248</v>
      </c>
      <c r="K516" s="1302">
        <v>1085.55907477248</v>
      </c>
    </row>
    <row r="517" spans="1:11" s="551" customFormat="1">
      <c r="A517" s="550"/>
      <c r="B517" s="528" t="s">
        <v>1081</v>
      </c>
      <c r="C517" s="551">
        <v>1240</v>
      </c>
      <c r="D517" s="1302">
        <v>1085.55907477248</v>
      </c>
      <c r="E517" s="1302">
        <v>1085.55907477248</v>
      </c>
      <c r="F517" s="1302">
        <v>1085.55907477248</v>
      </c>
      <c r="G517" s="1302">
        <v>1085.55907477248</v>
      </c>
      <c r="H517" s="1302">
        <v>1085.55907477248</v>
      </c>
      <c r="I517" s="1302">
        <v>1085.55907477248</v>
      </c>
      <c r="J517" s="1302">
        <v>1085.55907477248</v>
      </c>
      <c r="K517" s="1302">
        <v>1085.55907477248</v>
      </c>
    </row>
    <row r="518" spans="1:11" s="551" customFormat="1">
      <c r="A518" s="550"/>
      <c r="B518" s="528" t="s">
        <v>1082</v>
      </c>
      <c r="C518" s="551">
        <v>1240</v>
      </c>
      <c r="D518" s="1302">
        <v>1085.55907477248</v>
      </c>
      <c r="E518" s="1302">
        <v>1085.55907477248</v>
      </c>
      <c r="F518" s="1302">
        <v>1085.55907477248</v>
      </c>
      <c r="G518" s="1302">
        <v>1085.55907477248</v>
      </c>
      <c r="H518" s="1302">
        <v>1085.55907477248</v>
      </c>
      <c r="I518" s="1302">
        <v>1085.55907477248</v>
      </c>
      <c r="J518" s="1302">
        <v>1085.55907477248</v>
      </c>
      <c r="K518" s="1302">
        <v>1085.55907477248</v>
      </c>
    </row>
    <row r="519" spans="1:11" s="551" customFormat="1">
      <c r="A519" s="550"/>
      <c r="B519" s="528" t="s">
        <v>1083</v>
      </c>
      <c r="C519" s="551">
        <v>1240</v>
      </c>
      <c r="D519" s="1302">
        <v>1085.55907477248</v>
      </c>
      <c r="E519" s="1302">
        <v>1085.55907477248</v>
      </c>
      <c r="F519" s="1302">
        <v>1085.55907477248</v>
      </c>
      <c r="G519" s="1302">
        <v>1085.55907477248</v>
      </c>
      <c r="H519" s="1302">
        <v>1085.55907477248</v>
      </c>
      <c r="I519" s="1302">
        <v>1085.55907477248</v>
      </c>
      <c r="J519" s="1302">
        <v>1085.55907477248</v>
      </c>
      <c r="K519" s="1302">
        <v>1085.55907477248</v>
      </c>
    </row>
    <row r="520" spans="1:11" s="551" customFormat="1">
      <c r="A520" s="550"/>
      <c r="B520" s="528" t="s">
        <v>1084</v>
      </c>
      <c r="C520" s="551">
        <v>1240</v>
      </c>
      <c r="D520" s="1302">
        <v>995.09581854144017</v>
      </c>
      <c r="E520" s="1302">
        <v>995.09581854144017</v>
      </c>
      <c r="F520" s="1302">
        <v>995.09581854144017</v>
      </c>
      <c r="G520" s="1302">
        <v>995.09581854144017</v>
      </c>
      <c r="H520" s="1302">
        <v>995.09581854144017</v>
      </c>
      <c r="I520" s="1302">
        <v>995.09581854144017</v>
      </c>
      <c r="J520" s="1302">
        <v>995.09581854144017</v>
      </c>
      <c r="K520" s="1302">
        <v>995.09581854144017</v>
      </c>
    </row>
    <row r="521" spans="1:11" s="551" customFormat="1">
      <c r="A521" s="550"/>
      <c r="B521" s="528" t="s">
        <v>1085</v>
      </c>
      <c r="C521" s="551">
        <v>0</v>
      </c>
      <c r="D521" s="1302">
        <v>1240</v>
      </c>
      <c r="E521" s="1302">
        <v>1240</v>
      </c>
      <c r="F521" s="1302">
        <v>1240</v>
      </c>
      <c r="G521" s="1302">
        <v>1240</v>
      </c>
      <c r="H521" s="1302">
        <v>1240</v>
      </c>
      <c r="I521" s="1302">
        <v>1240</v>
      </c>
      <c r="J521" s="1302">
        <v>1240</v>
      </c>
      <c r="K521" s="1302">
        <v>1240</v>
      </c>
    </row>
    <row r="522" spans="1:11" s="551" customFormat="1">
      <c r="A522" s="550"/>
      <c r="B522" s="528" t="s">
        <v>1086</v>
      </c>
      <c r="C522" s="551">
        <v>0</v>
      </c>
      <c r="D522" s="1296">
        <v>0</v>
      </c>
      <c r="E522" s="1296">
        <v>0</v>
      </c>
      <c r="F522" s="1296">
        <v>0</v>
      </c>
      <c r="G522" s="1296">
        <v>0</v>
      </c>
      <c r="H522" s="1296">
        <v>0</v>
      </c>
      <c r="I522" s="1296">
        <v>0</v>
      </c>
      <c r="J522" s="1296">
        <v>0</v>
      </c>
      <c r="K522" s="1296">
        <v>0</v>
      </c>
    </row>
    <row r="523" spans="1:11" s="551" customFormat="1">
      <c r="A523" s="550"/>
      <c r="B523" s="528" t="s">
        <v>1087</v>
      </c>
      <c r="C523" s="551">
        <v>0</v>
      </c>
      <c r="D523" s="1296">
        <v>0</v>
      </c>
      <c r="E523" s="1296">
        <v>0</v>
      </c>
      <c r="F523" s="1296">
        <v>0</v>
      </c>
      <c r="G523" s="1296">
        <v>0</v>
      </c>
      <c r="H523" s="1296">
        <v>0</v>
      </c>
      <c r="I523" s="1296">
        <v>0</v>
      </c>
      <c r="J523" s="1296">
        <v>0</v>
      </c>
      <c r="K523" s="1296">
        <v>0</v>
      </c>
    </row>
    <row r="524" spans="1:11" s="551" customFormat="1">
      <c r="A524" s="550"/>
      <c r="B524" s="528" t="s">
        <v>1088</v>
      </c>
      <c r="C524" s="551">
        <v>0</v>
      </c>
      <c r="D524" s="1296">
        <v>0</v>
      </c>
      <c r="E524" s="1296">
        <v>0</v>
      </c>
      <c r="F524" s="1296">
        <v>0</v>
      </c>
      <c r="G524" s="1296">
        <v>0</v>
      </c>
      <c r="H524" s="1296">
        <v>0</v>
      </c>
      <c r="I524" s="1296">
        <v>0</v>
      </c>
      <c r="J524" s="1296">
        <v>0</v>
      </c>
      <c r="K524" s="1296">
        <v>0</v>
      </c>
    </row>
    <row r="525" spans="1:11" s="551" customFormat="1">
      <c r="A525" s="550"/>
      <c r="B525" s="528" t="s">
        <v>1089</v>
      </c>
      <c r="C525" s="551">
        <v>0</v>
      </c>
      <c r="D525" s="1296">
        <v>0</v>
      </c>
      <c r="E525" s="1296">
        <v>0</v>
      </c>
      <c r="F525" s="1296">
        <v>0</v>
      </c>
      <c r="G525" s="1296">
        <v>0</v>
      </c>
      <c r="H525" s="1296">
        <v>0</v>
      </c>
      <c r="I525" s="1296">
        <v>0</v>
      </c>
      <c r="J525" s="1296">
        <v>0</v>
      </c>
      <c r="K525" s="1296">
        <v>0</v>
      </c>
    </row>
    <row r="526" spans="1:11" s="551" customFormat="1">
      <c r="A526" s="550"/>
      <c r="B526" s="528" t="s">
        <v>1090</v>
      </c>
      <c r="C526" s="551">
        <v>1048.5955937318406</v>
      </c>
      <c r="D526" s="1302">
        <v>0</v>
      </c>
      <c r="E526" s="1302">
        <v>0</v>
      </c>
      <c r="F526" s="1302">
        <v>0</v>
      </c>
      <c r="G526" s="1302">
        <v>0</v>
      </c>
      <c r="H526" s="1302">
        <v>0</v>
      </c>
      <c r="I526" s="1302">
        <v>0</v>
      </c>
      <c r="J526" s="1302">
        <v>0</v>
      </c>
      <c r="K526" s="1302">
        <v>0</v>
      </c>
    </row>
    <row r="527" spans="1:11" s="551" customFormat="1">
      <c r="A527" s="550"/>
      <c r="B527" s="528" t="s">
        <v>1091</v>
      </c>
      <c r="C527" s="551">
        <v>1198.3949642649607</v>
      </c>
      <c r="D527" s="1302">
        <v>1059.2955487699203</v>
      </c>
      <c r="E527" s="1302">
        <v>1059.2955487699203</v>
      </c>
      <c r="F527" s="1302">
        <v>1059.2955487699203</v>
      </c>
      <c r="G527" s="1302">
        <v>1059.2955487699203</v>
      </c>
      <c r="H527" s="1302">
        <v>1059.2955487699203</v>
      </c>
      <c r="I527" s="1302">
        <v>1059.2955487699203</v>
      </c>
      <c r="J527" s="1302">
        <v>1059.2955487699203</v>
      </c>
      <c r="K527" s="1302">
        <v>1059.2955487699203</v>
      </c>
    </row>
    <row r="528" spans="1:11" s="551" customFormat="1">
      <c r="A528" s="550"/>
      <c r="B528" s="528" t="s">
        <v>1092</v>
      </c>
      <c r="C528" s="551">
        <v>1240</v>
      </c>
      <c r="D528" s="1302">
        <v>1155.5951441126401</v>
      </c>
      <c r="E528" s="1302">
        <v>1155.5951441126401</v>
      </c>
      <c r="F528" s="1302">
        <v>1155.5951441126401</v>
      </c>
      <c r="G528" s="1302">
        <v>1155.5951441126401</v>
      </c>
      <c r="H528" s="1302">
        <v>1155.5951441126401</v>
      </c>
      <c r="I528" s="1302">
        <v>1155.5951441126401</v>
      </c>
      <c r="J528" s="1302">
        <v>1155.5951441126401</v>
      </c>
      <c r="K528" s="1302">
        <v>1155.5951441126401</v>
      </c>
    </row>
    <row r="529" spans="1:11" s="551" customFormat="1">
      <c r="A529" s="550"/>
      <c r="B529" s="528" t="s">
        <v>1093</v>
      </c>
      <c r="C529" s="551">
        <v>1240</v>
      </c>
      <c r="D529" s="1302">
        <v>1155.5951441126401</v>
      </c>
      <c r="E529" s="1302">
        <v>1155.5951441126401</v>
      </c>
      <c r="F529" s="1302">
        <v>1155.5951441126401</v>
      </c>
      <c r="G529" s="1302">
        <v>1155.5951441126401</v>
      </c>
      <c r="H529" s="1302">
        <v>1155.5951441126401</v>
      </c>
      <c r="I529" s="1302">
        <v>1155.5951441126401</v>
      </c>
      <c r="J529" s="1302">
        <v>1155.5951441126401</v>
      </c>
      <c r="K529" s="1302">
        <v>1155.5951441126401</v>
      </c>
    </row>
    <row r="530" spans="1:11" s="551" customFormat="1">
      <c r="A530" s="550"/>
      <c r="B530" s="528" t="s">
        <v>1094</v>
      </c>
      <c r="C530" s="551">
        <v>1240</v>
      </c>
      <c r="D530" s="1302">
        <v>1155.5951441126401</v>
      </c>
      <c r="E530" s="1302">
        <v>1155.5951441126401</v>
      </c>
      <c r="F530" s="1302">
        <v>1155.5951441126401</v>
      </c>
      <c r="G530" s="1302">
        <v>1155.5951441126401</v>
      </c>
      <c r="H530" s="1302">
        <v>1155.5951441126401</v>
      </c>
      <c r="I530" s="1302">
        <v>1155.5951441126401</v>
      </c>
      <c r="J530" s="1302">
        <v>1155.5951441126401</v>
      </c>
      <c r="K530" s="1302">
        <v>1155.5951441126401</v>
      </c>
    </row>
    <row r="531" spans="1:11" s="551" customFormat="1">
      <c r="A531" s="550"/>
      <c r="B531" s="528" t="s">
        <v>1095</v>
      </c>
      <c r="C531" s="551">
        <v>1240</v>
      </c>
      <c r="D531" s="1302">
        <v>1155.5951441126401</v>
      </c>
      <c r="E531" s="1302">
        <v>1155.5951441126401</v>
      </c>
      <c r="F531" s="1302">
        <v>1155.5951441126401</v>
      </c>
      <c r="G531" s="1302">
        <v>1155.5951441126401</v>
      </c>
      <c r="H531" s="1302">
        <v>1155.5951441126401</v>
      </c>
      <c r="I531" s="1302">
        <v>1155.5951441126401</v>
      </c>
      <c r="J531" s="1302">
        <v>1155.5951441126401</v>
      </c>
      <c r="K531" s="1302">
        <v>1155.5951441126401</v>
      </c>
    </row>
    <row r="532" spans="1:11" s="551" customFormat="1">
      <c r="A532" s="550"/>
      <c r="B532" s="528" t="s">
        <v>1096</v>
      </c>
      <c r="C532" s="551">
        <v>1240</v>
      </c>
      <c r="D532" s="1302">
        <v>1059.2955487699203</v>
      </c>
      <c r="E532" s="1302">
        <v>1059.2955487699203</v>
      </c>
      <c r="F532" s="1302">
        <v>1059.2955487699203</v>
      </c>
      <c r="G532" s="1302">
        <v>1059.2955487699203</v>
      </c>
      <c r="H532" s="1302">
        <v>1059.2955487699203</v>
      </c>
      <c r="I532" s="1302">
        <v>1059.2955487699203</v>
      </c>
      <c r="J532" s="1302">
        <v>1059.2955487699203</v>
      </c>
      <c r="K532" s="1302">
        <v>1059.2955487699203</v>
      </c>
    </row>
    <row r="533" spans="1:11" s="551" customFormat="1">
      <c r="A533" s="550"/>
      <c r="B533" s="528" t="s">
        <v>1097</v>
      </c>
      <c r="C533" s="551">
        <v>1048.5955937318406</v>
      </c>
      <c r="D533" s="1302">
        <v>1240</v>
      </c>
      <c r="E533" s="1302">
        <v>1240</v>
      </c>
      <c r="F533" s="1302">
        <v>1240</v>
      </c>
      <c r="G533" s="1302">
        <v>1240</v>
      </c>
      <c r="H533" s="1302">
        <v>1240</v>
      </c>
      <c r="I533" s="1302">
        <v>1240</v>
      </c>
      <c r="J533" s="1302">
        <v>1240</v>
      </c>
      <c r="K533" s="1302">
        <v>1240</v>
      </c>
    </row>
    <row r="534" spans="1:11" s="551" customFormat="1">
      <c r="A534" s="550"/>
      <c r="B534" s="528" t="s">
        <v>1098</v>
      </c>
      <c r="C534" s="551">
        <v>1048.5955937318406</v>
      </c>
      <c r="D534" s="1302">
        <v>0</v>
      </c>
      <c r="E534" s="1302">
        <v>0</v>
      </c>
      <c r="F534" s="1302">
        <v>0</v>
      </c>
      <c r="G534" s="1302">
        <v>0</v>
      </c>
      <c r="H534" s="1302">
        <v>0</v>
      </c>
      <c r="I534" s="1302">
        <v>0</v>
      </c>
      <c r="J534" s="1302">
        <v>0</v>
      </c>
      <c r="K534" s="1302">
        <v>0</v>
      </c>
    </row>
    <row r="535" spans="1:11" s="551" customFormat="1">
      <c r="A535" s="550"/>
      <c r="B535" s="528" t="s">
        <v>1099</v>
      </c>
      <c r="C535" s="551">
        <v>0</v>
      </c>
      <c r="D535" s="1296">
        <v>0</v>
      </c>
      <c r="E535" s="1296">
        <v>0</v>
      </c>
      <c r="F535" s="1296">
        <v>0</v>
      </c>
      <c r="G535" s="1296">
        <v>0</v>
      </c>
      <c r="H535" s="1296">
        <v>0</v>
      </c>
      <c r="I535" s="1296">
        <v>0</v>
      </c>
      <c r="J535" s="1296">
        <v>0</v>
      </c>
      <c r="K535" s="1296">
        <v>0</v>
      </c>
    </row>
    <row r="536" spans="1:11" s="551" customFormat="1">
      <c r="A536" s="550"/>
      <c r="B536" s="528" t="s">
        <v>1100</v>
      </c>
      <c r="C536" s="551">
        <v>0</v>
      </c>
      <c r="D536" s="1296">
        <v>0</v>
      </c>
      <c r="E536" s="1296">
        <v>0</v>
      </c>
      <c r="F536" s="1296">
        <v>0</v>
      </c>
      <c r="G536" s="1296">
        <v>0</v>
      </c>
      <c r="H536" s="1296">
        <v>0</v>
      </c>
      <c r="I536" s="1296">
        <v>0</v>
      </c>
      <c r="J536" s="1296">
        <v>0</v>
      </c>
      <c r="K536" s="1296">
        <v>0</v>
      </c>
    </row>
    <row r="537" spans="1:11" s="551" customFormat="1">
      <c r="A537" s="550"/>
      <c r="B537" s="528" t="s">
        <v>1101</v>
      </c>
      <c r="C537" s="551">
        <v>995.24940641280011</v>
      </c>
      <c r="D537" s="1302">
        <v>0</v>
      </c>
      <c r="E537" s="1302">
        <v>0</v>
      </c>
      <c r="F537" s="1302">
        <v>0</v>
      </c>
      <c r="G537" s="1302">
        <v>0</v>
      </c>
      <c r="H537" s="1302">
        <v>0</v>
      </c>
      <c r="I537" s="1302">
        <v>0</v>
      </c>
      <c r="J537" s="1302">
        <v>0</v>
      </c>
      <c r="K537" s="1302">
        <v>0</v>
      </c>
    </row>
    <row r="538" spans="1:11" s="551" customFormat="1">
      <c r="A538" s="550"/>
      <c r="B538" s="528" t="s">
        <v>1102</v>
      </c>
      <c r="C538" s="551">
        <v>1161.1243074816002</v>
      </c>
      <c r="D538" s="1302">
        <v>0</v>
      </c>
      <c r="E538" s="1302">
        <v>0</v>
      </c>
      <c r="F538" s="1302">
        <v>0</v>
      </c>
      <c r="G538" s="1302">
        <v>0</v>
      </c>
      <c r="H538" s="1302">
        <v>0</v>
      </c>
      <c r="I538" s="1302">
        <v>0</v>
      </c>
      <c r="J538" s="1302">
        <v>0</v>
      </c>
      <c r="K538" s="1302">
        <v>0</v>
      </c>
    </row>
    <row r="539" spans="1:11" s="551" customFormat="1">
      <c r="A539" s="550"/>
      <c r="B539" s="528" t="s">
        <v>1103</v>
      </c>
      <c r="C539" s="551">
        <v>1240</v>
      </c>
      <c r="D539" s="1302">
        <v>1094.7743470540802</v>
      </c>
      <c r="E539" s="1302">
        <v>1094.7743470540802</v>
      </c>
      <c r="F539" s="1302">
        <v>1094.7743470540802</v>
      </c>
      <c r="G539" s="1302">
        <v>1094.7743470540802</v>
      </c>
      <c r="H539" s="1302">
        <v>1094.7743470540802</v>
      </c>
      <c r="I539" s="1302">
        <v>1094.7743470540802</v>
      </c>
      <c r="J539" s="1302">
        <v>1094.7743470540802</v>
      </c>
      <c r="K539" s="1302">
        <v>1094.7743470540802</v>
      </c>
    </row>
    <row r="540" spans="1:11" s="551" customFormat="1">
      <c r="A540" s="550"/>
      <c r="B540" s="528" t="s">
        <v>1104</v>
      </c>
      <c r="C540" s="551">
        <v>1240</v>
      </c>
      <c r="D540" s="1302">
        <v>1194.2992876953601</v>
      </c>
      <c r="E540" s="1302">
        <v>1194.2992876953601</v>
      </c>
      <c r="F540" s="1302">
        <v>1194.2992876953601</v>
      </c>
      <c r="G540" s="1355">
        <v>995.24940641280011</v>
      </c>
      <c r="H540" s="1355">
        <v>995.24940641280011</v>
      </c>
      <c r="I540" s="1355">
        <v>995.24940641280011</v>
      </c>
      <c r="J540" s="1355">
        <v>995.24940641280011</v>
      </c>
      <c r="K540" s="1355">
        <v>995.24940641280011</v>
      </c>
    </row>
    <row r="541" spans="1:11" s="551" customFormat="1">
      <c r="A541" s="550"/>
      <c r="B541" s="528" t="s">
        <v>1105</v>
      </c>
      <c r="C541" s="551">
        <v>1240</v>
      </c>
      <c r="D541" s="1302">
        <v>1194.2992876953601</v>
      </c>
      <c r="E541" s="1302">
        <v>1194.2992876953601</v>
      </c>
      <c r="F541" s="1302">
        <v>1194.2992876953601</v>
      </c>
      <c r="G541" s="1355">
        <v>995.24940641280011</v>
      </c>
      <c r="H541" s="1355">
        <v>995.24940641280011</v>
      </c>
      <c r="I541" s="1355">
        <v>995.24940641280011</v>
      </c>
      <c r="J541" s="1355">
        <v>995.24940641280011</v>
      </c>
      <c r="K541" s="1355">
        <v>995.24940641280011</v>
      </c>
    </row>
    <row r="542" spans="1:11" s="551" customFormat="1">
      <c r="A542" s="550"/>
      <c r="B542" s="528" t="s">
        <v>1106</v>
      </c>
      <c r="C542" s="551">
        <v>1240</v>
      </c>
      <c r="D542" s="1302">
        <v>1194.2992876953601</v>
      </c>
      <c r="E542" s="1302">
        <v>1194.2992876953601</v>
      </c>
      <c r="F542" s="1302">
        <v>1194.2992876953601</v>
      </c>
      <c r="G542" s="1355">
        <v>995.24940641280011</v>
      </c>
      <c r="H542" s="1355">
        <v>995.24940641280011</v>
      </c>
      <c r="I542" s="1355">
        <v>995.24940641280011</v>
      </c>
      <c r="J542" s="1355">
        <v>995.24940641280011</v>
      </c>
      <c r="K542" s="1355">
        <v>995.24940641280011</v>
      </c>
    </row>
    <row r="543" spans="1:11" s="551" customFormat="1">
      <c r="A543" s="550"/>
      <c r="B543" s="528" t="s">
        <v>1107</v>
      </c>
      <c r="C543" s="551">
        <v>1240</v>
      </c>
      <c r="D543" s="1302">
        <v>1194.2992876953601</v>
      </c>
      <c r="E543" s="1302">
        <v>1194.2992876953601</v>
      </c>
      <c r="F543" s="1302">
        <v>1194.2992876953601</v>
      </c>
      <c r="G543" s="1355">
        <v>995.24940641280011</v>
      </c>
      <c r="H543" s="1355">
        <v>995.24940641280011</v>
      </c>
      <c r="I543" s="1355">
        <v>995.24940641280011</v>
      </c>
      <c r="J543" s="1355">
        <v>995.24940641280011</v>
      </c>
      <c r="K543" s="1355">
        <v>995.24940641280011</v>
      </c>
    </row>
    <row r="544" spans="1:11" s="551" customFormat="1">
      <c r="A544" s="550"/>
      <c r="B544" s="528" t="s">
        <v>1108</v>
      </c>
      <c r="C544" s="551">
        <v>1240</v>
      </c>
      <c r="D544" s="1302">
        <v>1094.7743470540802</v>
      </c>
      <c r="E544" s="1302">
        <v>1094.7743470540802</v>
      </c>
      <c r="F544" s="1302">
        <v>1094.7743470540802</v>
      </c>
      <c r="G544" s="1355">
        <v>995.24940641280011</v>
      </c>
      <c r="H544" s="1355">
        <v>995.24940641280011</v>
      </c>
      <c r="I544" s="1355">
        <v>995.24940641280011</v>
      </c>
      <c r="J544" s="1355">
        <v>995.24940641280011</v>
      </c>
      <c r="K544" s="1355">
        <v>995.24940641280011</v>
      </c>
    </row>
    <row r="545" spans="1:11" s="551" customFormat="1">
      <c r="A545" s="550"/>
      <c r="B545" s="528" t="s">
        <v>1109</v>
      </c>
      <c r="C545" s="551">
        <v>1161.1243074816002</v>
      </c>
      <c r="D545" s="1302">
        <v>1240</v>
      </c>
      <c r="E545" s="1302">
        <v>1240</v>
      </c>
      <c r="F545" s="1302">
        <v>1240</v>
      </c>
      <c r="G545" s="1355">
        <v>1194.2992876953601</v>
      </c>
      <c r="H545" s="1355">
        <v>1194.2992876953601</v>
      </c>
      <c r="I545" s="1355">
        <v>1194.2992876953601</v>
      </c>
      <c r="J545" s="1355">
        <v>1194.2992876953601</v>
      </c>
      <c r="K545" s="1355">
        <v>1194.2992876953601</v>
      </c>
    </row>
    <row r="546" spans="1:11" s="551" customFormat="1">
      <c r="A546" s="550"/>
      <c r="B546" s="528" t="s">
        <v>1110</v>
      </c>
      <c r="C546" s="551">
        <v>1161.1243074816002</v>
      </c>
      <c r="D546" s="1302">
        <v>0</v>
      </c>
      <c r="E546" s="1302">
        <v>0</v>
      </c>
      <c r="F546" s="1302">
        <v>0</v>
      </c>
      <c r="G546" s="1302">
        <v>0</v>
      </c>
      <c r="H546" s="1302">
        <v>0</v>
      </c>
      <c r="I546" s="1302">
        <v>0</v>
      </c>
      <c r="J546" s="1302">
        <v>0</v>
      </c>
      <c r="K546" s="1302">
        <v>0</v>
      </c>
    </row>
    <row r="547" spans="1:11" s="551" customFormat="1">
      <c r="A547" s="550"/>
      <c r="B547" s="528" t="s">
        <v>1111</v>
      </c>
      <c r="C547" s="551">
        <v>0</v>
      </c>
      <c r="D547" s="1302">
        <v>1155.9193851744003</v>
      </c>
      <c r="E547" s="1302">
        <v>1155.9193851744003</v>
      </c>
      <c r="F547" s="1302">
        <v>1155.9193851744003</v>
      </c>
      <c r="G547" s="1302">
        <v>1155.9193851744003</v>
      </c>
      <c r="H547" s="1302">
        <v>1155.9193851744003</v>
      </c>
      <c r="I547" s="1302">
        <v>1155.9193851744003</v>
      </c>
      <c r="J547" s="1302">
        <v>1155.9193851744003</v>
      </c>
      <c r="K547" s="1302">
        <v>1155.9193851744003</v>
      </c>
    </row>
    <row r="548" spans="1:11" s="551" customFormat="1">
      <c r="A548" s="550"/>
      <c r="B548" s="528" t="s">
        <v>1112</v>
      </c>
      <c r="C548" s="551">
        <v>0</v>
      </c>
      <c r="D548" s="1302">
        <v>1155.9193851744003</v>
      </c>
      <c r="E548" s="1302">
        <v>1155.9193851744003</v>
      </c>
      <c r="F548" s="1302">
        <v>1155.9193851744003</v>
      </c>
      <c r="G548" s="1302">
        <v>1155.9193851744003</v>
      </c>
      <c r="H548" s="1302">
        <v>1155.9193851744003</v>
      </c>
      <c r="I548" s="1302">
        <v>1155.9193851744003</v>
      </c>
      <c r="J548" s="1302">
        <v>1155.9193851744003</v>
      </c>
      <c r="K548" s="1302">
        <v>1155.9193851744003</v>
      </c>
    </row>
    <row r="549" spans="1:11" s="551" customFormat="1">
      <c r="A549" s="550"/>
      <c r="B549" s="528" t="s">
        <v>1113</v>
      </c>
      <c r="C549" s="551">
        <v>0</v>
      </c>
      <c r="D549" s="1302">
        <v>1240</v>
      </c>
      <c r="E549" s="1302">
        <v>1240</v>
      </c>
      <c r="F549" s="1302">
        <v>1240</v>
      </c>
      <c r="G549" s="1302">
        <v>1240</v>
      </c>
      <c r="H549" s="1302">
        <v>1240</v>
      </c>
      <c r="I549" s="1302">
        <v>1240</v>
      </c>
      <c r="J549" s="1302">
        <v>1240</v>
      </c>
      <c r="K549" s="1302">
        <v>1240</v>
      </c>
    </row>
    <row r="550" spans="1:11" s="551" customFormat="1">
      <c r="A550" s="550"/>
      <c r="B550" s="528" t="s">
        <v>1114</v>
      </c>
      <c r="C550" s="551">
        <v>0</v>
      </c>
      <c r="D550" s="1302">
        <v>1240</v>
      </c>
      <c r="E550" s="1302">
        <v>1240</v>
      </c>
      <c r="F550" s="1302">
        <v>1240</v>
      </c>
      <c r="G550" s="1302">
        <v>1240</v>
      </c>
      <c r="H550" s="1302">
        <v>1240</v>
      </c>
      <c r="I550" s="1302">
        <v>1240</v>
      </c>
      <c r="J550" s="1302">
        <v>1240</v>
      </c>
      <c r="K550" s="1302">
        <v>1240</v>
      </c>
    </row>
    <row r="551" spans="1:11" s="551" customFormat="1">
      <c r="A551" s="550"/>
      <c r="B551" s="528" t="s">
        <v>1115</v>
      </c>
      <c r="C551" s="551">
        <v>0</v>
      </c>
      <c r="D551" s="1302">
        <v>1240</v>
      </c>
      <c r="E551" s="1302">
        <v>1240</v>
      </c>
      <c r="F551" s="1302">
        <v>1240</v>
      </c>
      <c r="G551" s="1302">
        <v>1240</v>
      </c>
      <c r="H551" s="1302">
        <v>1240</v>
      </c>
      <c r="I551" s="1302">
        <v>1240</v>
      </c>
      <c r="J551" s="1302">
        <v>1240</v>
      </c>
      <c r="K551" s="1302">
        <v>1240</v>
      </c>
    </row>
    <row r="552" spans="1:11" s="551" customFormat="1">
      <c r="A552" s="550"/>
      <c r="B552" s="528" t="s">
        <v>1116</v>
      </c>
      <c r="C552" s="551">
        <v>1206.1767497472003</v>
      </c>
      <c r="D552" s="1302">
        <v>2311.8387703488006</v>
      </c>
      <c r="E552" s="1302">
        <v>2311.8387703488006</v>
      </c>
      <c r="F552" s="1302">
        <v>2311.8387703488006</v>
      </c>
      <c r="G552" s="1302">
        <v>2311.8387703488006</v>
      </c>
      <c r="H552" s="1302">
        <v>2311.8387703488006</v>
      </c>
      <c r="I552" s="1302">
        <v>2311.8387703488006</v>
      </c>
      <c r="J552" s="1302">
        <v>2311.8387703488006</v>
      </c>
      <c r="K552" s="1302">
        <v>2311.8387703488006</v>
      </c>
    </row>
    <row r="553" spans="1:11" s="551" customFormat="1">
      <c r="A553" s="550"/>
      <c r="B553" s="528" t="s">
        <v>1117</v>
      </c>
      <c r="C553" s="551">
        <v>1206.1767497472003</v>
      </c>
      <c r="D553" s="1302">
        <v>2311.8387703488006</v>
      </c>
      <c r="E553" s="1302">
        <v>2311.8387703488006</v>
      </c>
      <c r="F553" s="1302">
        <v>2311.8387703488006</v>
      </c>
      <c r="G553" s="1302">
        <v>2311.8387703488006</v>
      </c>
      <c r="H553" s="1302">
        <v>2311.8387703488006</v>
      </c>
      <c r="I553" s="1302">
        <v>2311.8387703488006</v>
      </c>
      <c r="J553" s="1302">
        <v>2311.8387703488006</v>
      </c>
      <c r="K553" s="1302">
        <v>2311.8387703488006</v>
      </c>
    </row>
    <row r="554" spans="1:11" s="551" customFormat="1">
      <c r="A554" s="550"/>
      <c r="B554" s="528" t="s">
        <v>1118</v>
      </c>
      <c r="C554" s="551">
        <v>1240</v>
      </c>
      <c r="D554" s="1302">
        <v>2480</v>
      </c>
      <c r="E554" s="1302">
        <v>2480</v>
      </c>
      <c r="F554" s="1302">
        <v>2480</v>
      </c>
      <c r="G554" s="1302">
        <v>2480</v>
      </c>
      <c r="H554" s="1302">
        <v>2480</v>
      </c>
      <c r="I554" s="1302">
        <v>2480</v>
      </c>
      <c r="J554" s="1302">
        <v>2480</v>
      </c>
      <c r="K554" s="1302">
        <v>2480</v>
      </c>
    </row>
    <row r="555" spans="1:11" s="551" customFormat="1">
      <c r="A555" s="550"/>
      <c r="B555" s="528" t="s">
        <v>1119</v>
      </c>
      <c r="C555" s="551">
        <v>1240</v>
      </c>
      <c r="D555" s="1302">
        <v>2480</v>
      </c>
      <c r="E555" s="1302">
        <v>2480</v>
      </c>
      <c r="F555" s="1302">
        <v>2480</v>
      </c>
      <c r="G555" s="1302">
        <v>2480</v>
      </c>
      <c r="H555" s="1302">
        <v>2480</v>
      </c>
      <c r="I555" s="1302">
        <v>2480</v>
      </c>
      <c r="J555" s="1302">
        <v>2480</v>
      </c>
      <c r="K555" s="1302">
        <v>2480</v>
      </c>
    </row>
    <row r="556" spans="1:11" s="551" customFormat="1">
      <c r="A556" s="550"/>
      <c r="B556" s="528" t="s">
        <v>1120</v>
      </c>
      <c r="C556" s="551">
        <v>1240</v>
      </c>
      <c r="D556" s="1302">
        <v>2480</v>
      </c>
      <c r="E556" s="1302">
        <v>2480</v>
      </c>
      <c r="F556" s="1302">
        <v>2480</v>
      </c>
      <c r="G556" s="1302">
        <v>2480</v>
      </c>
      <c r="H556" s="1302">
        <v>2480</v>
      </c>
      <c r="I556" s="1302">
        <v>2480</v>
      </c>
      <c r="J556" s="1302">
        <v>2480</v>
      </c>
      <c r="K556" s="1302">
        <v>2480</v>
      </c>
    </row>
    <row r="557" spans="1:11" s="551" customFormat="1">
      <c r="A557" s="550"/>
      <c r="B557" s="528" t="s">
        <v>1121</v>
      </c>
      <c r="C557" s="551">
        <v>0</v>
      </c>
      <c r="D557" s="1302">
        <v>1240</v>
      </c>
      <c r="E557" s="1302">
        <v>1240</v>
      </c>
      <c r="F557" s="1302">
        <v>1240</v>
      </c>
      <c r="G557" s="1302">
        <v>1240</v>
      </c>
      <c r="H557" s="1302">
        <v>1240</v>
      </c>
      <c r="I557" s="1302">
        <v>1240</v>
      </c>
      <c r="J557" s="1302">
        <v>1240</v>
      </c>
      <c r="K557" s="1302">
        <v>1240</v>
      </c>
    </row>
    <row r="558" spans="1:11" s="551" customFormat="1">
      <c r="A558" s="550"/>
      <c r="B558" s="528" t="s">
        <v>1122</v>
      </c>
      <c r="C558" s="551">
        <v>0</v>
      </c>
      <c r="D558" s="1302">
        <v>1240</v>
      </c>
      <c r="E558" s="1302">
        <v>1240</v>
      </c>
      <c r="F558" s="1302">
        <v>1240</v>
      </c>
      <c r="G558" s="1302">
        <v>1240</v>
      </c>
      <c r="H558" s="1302">
        <v>1240</v>
      </c>
      <c r="I558" s="1302">
        <v>1240</v>
      </c>
      <c r="J558" s="1302">
        <v>1240</v>
      </c>
      <c r="K558" s="1302">
        <v>1240</v>
      </c>
    </row>
    <row r="559" spans="1:11" s="551" customFormat="1">
      <c r="A559" s="550"/>
      <c r="B559" s="528" t="s">
        <v>1123</v>
      </c>
      <c r="C559" s="551">
        <v>0</v>
      </c>
      <c r="D559" s="1302">
        <v>1230.4948293792004</v>
      </c>
      <c r="E559" s="1302">
        <v>1230.4948293792004</v>
      </c>
      <c r="F559" s="1302">
        <v>1230.4948293792004</v>
      </c>
      <c r="G559" s="1302">
        <v>1230.4948293792004</v>
      </c>
      <c r="H559" s="1302">
        <v>1230.4948293792004</v>
      </c>
      <c r="I559" s="1302">
        <v>1230.4948293792004</v>
      </c>
      <c r="J559" s="1302">
        <v>1230.4948293792004</v>
      </c>
      <c r="K559" s="1302">
        <v>1230.4948293792004</v>
      </c>
    </row>
    <row r="560" spans="1:11" s="551" customFormat="1">
      <c r="A560" s="550"/>
      <c r="B560" s="528" t="s">
        <v>1124</v>
      </c>
      <c r="C560" s="551">
        <v>0</v>
      </c>
      <c r="D560" s="1302">
        <v>1230.4948293792004</v>
      </c>
      <c r="E560" s="1302">
        <v>1230.4948293792004</v>
      </c>
      <c r="F560" s="1302">
        <v>1230.4948293792004</v>
      </c>
      <c r="G560" s="1302">
        <v>1230.4948293792004</v>
      </c>
      <c r="H560" s="1302">
        <v>1230.4948293792004</v>
      </c>
      <c r="I560" s="1302">
        <v>1230.4948293792004</v>
      </c>
      <c r="J560" s="1302">
        <v>1230.4948293792004</v>
      </c>
      <c r="K560" s="1302">
        <v>1230.4948293792004</v>
      </c>
    </row>
    <row r="561" spans="1:11" s="551" customFormat="1">
      <c r="A561" s="550"/>
      <c r="B561" s="528" t="s">
        <v>1125</v>
      </c>
      <c r="C561" s="551">
        <v>0</v>
      </c>
      <c r="D561" s="1302">
        <v>1240</v>
      </c>
      <c r="E561" s="1302">
        <v>1240</v>
      </c>
      <c r="F561" s="1302">
        <v>1240</v>
      </c>
      <c r="G561" s="1302">
        <v>1240</v>
      </c>
      <c r="H561" s="1302">
        <v>1240</v>
      </c>
      <c r="I561" s="1302">
        <v>1240</v>
      </c>
      <c r="J561" s="1302">
        <v>1240</v>
      </c>
      <c r="K561" s="1302">
        <v>1240</v>
      </c>
    </row>
    <row r="562" spans="1:11" s="551" customFormat="1">
      <c r="A562" s="550"/>
      <c r="B562" s="528" t="s">
        <v>1126</v>
      </c>
      <c r="C562" s="551">
        <v>0</v>
      </c>
      <c r="D562" s="1302">
        <v>1240</v>
      </c>
      <c r="E562" s="1302">
        <v>1240</v>
      </c>
      <c r="F562" s="1302">
        <v>1240</v>
      </c>
      <c r="G562" s="1302">
        <v>1240</v>
      </c>
      <c r="H562" s="1302">
        <v>1240</v>
      </c>
      <c r="I562" s="1302">
        <v>1240</v>
      </c>
      <c r="J562" s="1302">
        <v>1240</v>
      </c>
      <c r="K562" s="1302">
        <v>1240</v>
      </c>
    </row>
    <row r="563" spans="1:11" s="551" customFormat="1">
      <c r="A563" s="550"/>
      <c r="B563" s="528" t="s">
        <v>1127</v>
      </c>
      <c r="C563" s="551">
        <v>1112.7953239603205</v>
      </c>
      <c r="D563" s="1302">
        <v>1240</v>
      </c>
      <c r="E563" s="1302">
        <v>1240</v>
      </c>
      <c r="F563" s="1302">
        <v>1240</v>
      </c>
      <c r="G563" s="1355">
        <v>1968.7917270067207</v>
      </c>
      <c r="H563" s="1355">
        <v>1968.7917270067207</v>
      </c>
      <c r="I563" s="1355">
        <v>1968.7917270067207</v>
      </c>
      <c r="J563" s="1355">
        <v>1968.7917270067207</v>
      </c>
      <c r="K563" s="1355">
        <v>1968.7917270067207</v>
      </c>
    </row>
    <row r="564" spans="1:11" s="551" customFormat="1">
      <c r="A564" s="550"/>
      <c r="B564" s="528" t="s">
        <v>1128</v>
      </c>
      <c r="C564" s="551">
        <v>1240</v>
      </c>
      <c r="D564" s="1302">
        <v>2460.9896587584008</v>
      </c>
      <c r="E564" s="1302">
        <v>2460.9896587584008</v>
      </c>
      <c r="F564" s="1302">
        <v>2460.9896587584008</v>
      </c>
      <c r="G564" s="1302">
        <v>2460.9896587584008</v>
      </c>
      <c r="H564" s="1302">
        <v>2460.9896587584008</v>
      </c>
      <c r="I564" s="1302">
        <v>2460.9896587584008</v>
      </c>
      <c r="J564" s="1302">
        <v>2460.9896587584008</v>
      </c>
      <c r="K564" s="1302">
        <v>2460.9896587584008</v>
      </c>
    </row>
    <row r="565" spans="1:11" s="551" customFormat="1">
      <c r="A565" s="550"/>
      <c r="B565" s="528" t="s">
        <v>1129</v>
      </c>
      <c r="C565" s="551">
        <v>1240</v>
      </c>
      <c r="D565" s="1302">
        <v>2460.9896587584008</v>
      </c>
      <c r="E565" s="1302">
        <v>2460.9896587584008</v>
      </c>
      <c r="F565" s="1302">
        <v>2460.9896587584008</v>
      </c>
      <c r="G565" s="1302">
        <v>2460.9896587584008</v>
      </c>
      <c r="H565" s="1302">
        <v>2460.9896587584008</v>
      </c>
      <c r="I565" s="1302">
        <v>2460.9896587584008</v>
      </c>
      <c r="J565" s="1302">
        <v>2460.9896587584008</v>
      </c>
      <c r="K565" s="1302">
        <v>2460.9896587584008</v>
      </c>
    </row>
    <row r="566" spans="1:11" s="551" customFormat="1">
      <c r="A566" s="550"/>
      <c r="B566" s="528" t="s">
        <v>1130</v>
      </c>
      <c r="C566" s="551">
        <v>1240</v>
      </c>
      <c r="D566" s="1302">
        <v>2480</v>
      </c>
      <c r="E566" s="1302">
        <v>2480</v>
      </c>
      <c r="F566" s="1302">
        <v>2480</v>
      </c>
      <c r="G566" s="1302">
        <v>2480</v>
      </c>
      <c r="H566" s="1302">
        <v>2480</v>
      </c>
      <c r="I566" s="1302">
        <v>2480</v>
      </c>
      <c r="J566" s="1302">
        <v>2480</v>
      </c>
      <c r="K566" s="1302">
        <v>2480</v>
      </c>
    </row>
    <row r="567" spans="1:11" s="551" customFormat="1">
      <c r="A567" s="550"/>
      <c r="B567" s="528" t="s">
        <v>1131</v>
      </c>
      <c r="C567" s="551">
        <v>1240</v>
      </c>
      <c r="D567" s="1302">
        <v>2480</v>
      </c>
      <c r="E567" s="1302">
        <v>2480</v>
      </c>
      <c r="F567" s="1302">
        <v>2480</v>
      </c>
      <c r="G567" s="1302">
        <v>2480</v>
      </c>
      <c r="H567" s="1302">
        <v>2480</v>
      </c>
      <c r="I567" s="1302">
        <v>2480</v>
      </c>
      <c r="J567" s="1302">
        <v>2480</v>
      </c>
      <c r="K567" s="1302">
        <v>2480</v>
      </c>
    </row>
    <row r="568" spans="1:11" s="551" customFormat="1">
      <c r="A568" s="550"/>
      <c r="B568" s="528" t="s">
        <v>1132</v>
      </c>
      <c r="C568" s="551">
        <v>1240</v>
      </c>
      <c r="D568" s="1302">
        <v>2480</v>
      </c>
      <c r="E568" s="1302">
        <v>2480</v>
      </c>
      <c r="F568" s="1302">
        <v>2480</v>
      </c>
      <c r="G568" s="1302">
        <v>2480</v>
      </c>
      <c r="H568" s="1302">
        <v>2480</v>
      </c>
      <c r="I568" s="1302">
        <v>2480</v>
      </c>
      <c r="J568" s="1302">
        <v>2480</v>
      </c>
      <c r="K568" s="1302">
        <v>2480</v>
      </c>
    </row>
    <row r="569" spans="1:11" s="551" customFormat="1">
      <c r="A569" s="550"/>
      <c r="B569" s="528" t="s">
        <v>1133</v>
      </c>
      <c r="C569" s="551">
        <v>0</v>
      </c>
      <c r="D569" s="1302">
        <v>1240</v>
      </c>
      <c r="E569" s="1302">
        <v>1240</v>
      </c>
      <c r="F569" s="1302">
        <v>1240</v>
      </c>
      <c r="G569" s="1302">
        <v>1240</v>
      </c>
      <c r="H569" s="1302">
        <v>1240</v>
      </c>
      <c r="I569" s="1302">
        <v>1240</v>
      </c>
      <c r="J569" s="1302">
        <v>1240</v>
      </c>
      <c r="K569" s="1302">
        <v>1240</v>
      </c>
    </row>
    <row r="570" spans="1:11" s="551" customFormat="1">
      <c r="A570" s="550"/>
      <c r="B570" s="528" t="s">
        <v>1134</v>
      </c>
      <c r="C570" s="551">
        <v>0</v>
      </c>
      <c r="D570" s="1302">
        <v>1240</v>
      </c>
      <c r="E570" s="1302">
        <v>1240</v>
      </c>
      <c r="F570" s="1302">
        <v>1240</v>
      </c>
      <c r="G570" s="1302">
        <v>1240</v>
      </c>
      <c r="H570" s="1302">
        <v>1240</v>
      </c>
      <c r="I570" s="1302">
        <v>1240</v>
      </c>
      <c r="J570" s="1302">
        <v>1240</v>
      </c>
      <c r="K570" s="1302">
        <v>1240</v>
      </c>
    </row>
    <row r="571" spans="1:11" s="551" customFormat="1">
      <c r="A571" s="550"/>
      <c r="B571" s="528" t="s">
        <v>1135</v>
      </c>
      <c r="C571" s="551">
        <v>0</v>
      </c>
      <c r="D571" s="1302">
        <v>1240</v>
      </c>
      <c r="E571" s="1302">
        <v>1240</v>
      </c>
      <c r="F571" s="1302">
        <v>1240</v>
      </c>
      <c r="G571" s="1302">
        <v>1240</v>
      </c>
      <c r="H571" s="1356">
        <v>1105.8326737920004</v>
      </c>
      <c r="I571" s="1356">
        <v>1105.8326737920004</v>
      </c>
      <c r="J571" s="1356">
        <v>1105.8326737920004</v>
      </c>
      <c r="K571" s="1356">
        <v>1105.8326737920004</v>
      </c>
    </row>
    <row r="572" spans="1:11" s="551" customFormat="1">
      <c r="A572" s="550"/>
      <c r="B572" s="528" t="s">
        <v>1136</v>
      </c>
      <c r="C572" s="551">
        <v>0</v>
      </c>
      <c r="D572" s="1302">
        <v>1240</v>
      </c>
      <c r="E572" s="1302">
        <v>1240</v>
      </c>
      <c r="F572" s="1302">
        <v>1240</v>
      </c>
      <c r="G572" s="1302">
        <v>1240</v>
      </c>
      <c r="H572" s="1356">
        <v>1105.8326737920004</v>
      </c>
      <c r="I572" s="1356">
        <v>1105.8326737920004</v>
      </c>
      <c r="J572" s="1356">
        <v>1105.8326737920004</v>
      </c>
      <c r="K572" s="1356">
        <v>1105.8326737920004</v>
      </c>
    </row>
    <row r="573" spans="1:11" s="551" customFormat="1">
      <c r="A573" s="550"/>
      <c r="B573" s="528" t="s">
        <v>1137</v>
      </c>
      <c r="C573" s="551">
        <v>0</v>
      </c>
      <c r="D573" s="1302">
        <v>1240</v>
      </c>
      <c r="E573" s="1302">
        <v>1240</v>
      </c>
      <c r="F573" s="1302">
        <v>1240</v>
      </c>
      <c r="G573" s="1302">
        <v>1240</v>
      </c>
      <c r="H573" s="1302">
        <v>1240</v>
      </c>
      <c r="I573" s="1302">
        <v>1240</v>
      </c>
      <c r="J573" s="1302">
        <v>1240</v>
      </c>
      <c r="K573" s="1302">
        <v>1240</v>
      </c>
    </row>
    <row r="574" spans="1:11" s="551" customFormat="1">
      <c r="A574" s="550"/>
      <c r="B574" s="528" t="s">
        <v>1138</v>
      </c>
      <c r="C574" s="551">
        <v>1006.3077331507202</v>
      </c>
      <c r="D574" s="1302">
        <v>1240</v>
      </c>
      <c r="E574" s="1302">
        <v>1240</v>
      </c>
      <c r="F574" s="1302">
        <v>1240</v>
      </c>
      <c r="G574" s="1302">
        <v>1240</v>
      </c>
      <c r="H574" s="1302">
        <v>1240</v>
      </c>
      <c r="I574" s="1302">
        <v>1240</v>
      </c>
      <c r="J574" s="1302">
        <v>1240</v>
      </c>
      <c r="K574" s="1302">
        <v>1240</v>
      </c>
    </row>
    <row r="575" spans="1:11" s="551" customFormat="1">
      <c r="A575" s="550"/>
      <c r="B575" s="528" t="s">
        <v>1139</v>
      </c>
      <c r="C575" s="551">
        <v>1150.0659807436803</v>
      </c>
      <c r="D575" s="1302">
        <v>1240</v>
      </c>
      <c r="E575" s="1302">
        <v>1240</v>
      </c>
      <c r="F575" s="1302">
        <v>1240</v>
      </c>
      <c r="G575" s="1355">
        <v>2034.7321197772803</v>
      </c>
      <c r="H575" s="1356">
        <v>1240</v>
      </c>
      <c r="I575" s="1356">
        <v>1240</v>
      </c>
      <c r="J575" s="1356">
        <v>1240</v>
      </c>
      <c r="K575" s="1356">
        <v>1240</v>
      </c>
    </row>
    <row r="576" spans="1:11" s="551" customFormat="1">
      <c r="A576" s="550"/>
      <c r="B576" s="528" t="s">
        <v>1140</v>
      </c>
      <c r="C576" s="551">
        <v>1240</v>
      </c>
      <c r="D576" s="1302">
        <v>2480</v>
      </c>
      <c r="E576" s="1302">
        <v>2480</v>
      </c>
      <c r="F576" s="1302">
        <v>2480</v>
      </c>
      <c r="G576" s="1302">
        <v>2480</v>
      </c>
      <c r="H576" s="1356">
        <v>2211.6653475840008</v>
      </c>
      <c r="I576" s="1356">
        <v>2211.6653475840008</v>
      </c>
      <c r="J576" s="1356">
        <v>2211.6653475840008</v>
      </c>
      <c r="K576" s="1356">
        <v>2211.6653475840008</v>
      </c>
    </row>
    <row r="577" spans="1:11" s="551" customFormat="1">
      <c r="A577" s="550"/>
      <c r="B577" s="528" t="s">
        <v>1141</v>
      </c>
      <c r="C577" s="551">
        <v>1240</v>
      </c>
      <c r="D577" s="1302">
        <v>2480</v>
      </c>
      <c r="E577" s="1302">
        <v>2480</v>
      </c>
      <c r="F577" s="1302">
        <v>2480</v>
      </c>
      <c r="G577" s="1302">
        <v>2480</v>
      </c>
      <c r="H577" s="1356">
        <v>2211.6653475840008</v>
      </c>
      <c r="I577" s="1356">
        <v>2211.6653475840008</v>
      </c>
      <c r="J577" s="1356">
        <v>2211.6653475840008</v>
      </c>
      <c r="K577" s="1356">
        <v>2211.6653475840008</v>
      </c>
    </row>
    <row r="578" spans="1:11" s="551" customFormat="1">
      <c r="A578" s="550"/>
      <c r="B578" s="528" t="s">
        <v>1142</v>
      </c>
      <c r="C578" s="551">
        <v>1240</v>
      </c>
      <c r="D578" s="1302">
        <v>2480</v>
      </c>
      <c r="E578" s="1302">
        <v>2480</v>
      </c>
      <c r="F578" s="1302">
        <v>2480</v>
      </c>
      <c r="G578" s="1302">
        <v>2480</v>
      </c>
      <c r="H578" s="1302">
        <v>2480</v>
      </c>
      <c r="I578" s="1302">
        <v>2480</v>
      </c>
      <c r="J578" s="1302">
        <v>2480</v>
      </c>
      <c r="K578" s="1302">
        <v>2480</v>
      </c>
    </row>
    <row r="579" spans="1:11" s="551" customFormat="1">
      <c r="A579" s="550"/>
      <c r="B579" s="528" t="s">
        <v>1143</v>
      </c>
      <c r="C579" s="551">
        <v>1240</v>
      </c>
      <c r="D579" s="1302">
        <v>2480</v>
      </c>
      <c r="E579" s="1302">
        <v>2480</v>
      </c>
      <c r="F579" s="1302">
        <v>2480</v>
      </c>
      <c r="G579" s="1302">
        <v>2480</v>
      </c>
      <c r="H579" s="1302">
        <v>2480</v>
      </c>
      <c r="I579" s="1302">
        <v>2480</v>
      </c>
      <c r="J579" s="1302">
        <v>2480</v>
      </c>
      <c r="K579" s="1302">
        <v>2480</v>
      </c>
    </row>
    <row r="580" spans="1:11" s="551" customFormat="1">
      <c r="A580" s="550"/>
      <c r="B580" s="528" t="s">
        <v>1144</v>
      </c>
      <c r="C580" s="551">
        <v>1240</v>
      </c>
      <c r="D580" s="1302">
        <v>2480</v>
      </c>
      <c r="E580" s="1302">
        <v>2480</v>
      </c>
      <c r="F580" s="1302">
        <v>2480</v>
      </c>
      <c r="G580" s="1302">
        <v>2480</v>
      </c>
      <c r="H580" s="1356">
        <v>2432.8318823424006</v>
      </c>
      <c r="I580" s="1356">
        <v>2432.8318823424006</v>
      </c>
      <c r="J580" s="1356">
        <v>2432.8318823424006</v>
      </c>
      <c r="K580" s="1356">
        <v>2432.8318823424006</v>
      </c>
    </row>
    <row r="581" spans="1:11" s="551" customFormat="1">
      <c r="A581" s="550"/>
      <c r="B581" s="528" t="s">
        <v>1145</v>
      </c>
      <c r="C581" s="551">
        <v>1006.3077331507202</v>
      </c>
      <c r="D581" s="1302">
        <v>1240</v>
      </c>
      <c r="E581" s="1302">
        <v>1240</v>
      </c>
      <c r="F581" s="1302">
        <v>1240</v>
      </c>
      <c r="G581" s="1302">
        <v>1240</v>
      </c>
      <c r="H581" s="1302">
        <v>1240</v>
      </c>
      <c r="I581" s="1302">
        <v>1240</v>
      </c>
      <c r="J581" s="1302">
        <v>1240</v>
      </c>
      <c r="K581" s="1302">
        <v>1240</v>
      </c>
    </row>
    <row r="582" spans="1:11" s="551" customFormat="1">
      <c r="A582" s="550"/>
      <c r="B582" s="528" t="s">
        <v>1146</v>
      </c>
      <c r="C582" s="551">
        <v>1006.3077331507202</v>
      </c>
      <c r="D582" s="1302">
        <v>1240</v>
      </c>
      <c r="E582" s="1302">
        <v>1240</v>
      </c>
      <c r="F582" s="1302">
        <v>1240</v>
      </c>
      <c r="G582" s="1302">
        <v>1240</v>
      </c>
      <c r="H582" s="1302">
        <v>1240</v>
      </c>
      <c r="I582" s="1302">
        <v>1240</v>
      </c>
      <c r="J582" s="1302">
        <v>1240</v>
      </c>
      <c r="K582" s="1302">
        <v>1240</v>
      </c>
    </row>
    <row r="583" spans="1:11" s="551" customFormat="1">
      <c r="A583" s="550"/>
      <c r="B583" s="528" t="s">
        <v>1147</v>
      </c>
      <c r="C583" s="551">
        <v>0</v>
      </c>
      <c r="D583" s="1302">
        <v>1155.9193851744003</v>
      </c>
      <c r="E583" s="1302">
        <v>1155.9193851744003</v>
      </c>
      <c r="F583" s="1302">
        <v>1155.9193851744003</v>
      </c>
      <c r="G583" s="1302">
        <v>1155.9193851744003</v>
      </c>
      <c r="H583" s="1302">
        <v>1155.9193851744003</v>
      </c>
      <c r="I583" s="1302">
        <v>1155.9193851744003</v>
      </c>
      <c r="J583" s="1302">
        <v>1155.9193851744003</v>
      </c>
      <c r="K583" s="1302">
        <v>1155.9193851744003</v>
      </c>
    </row>
    <row r="584" spans="1:11" s="551" customFormat="1">
      <c r="A584" s="550"/>
      <c r="B584" s="528" t="s">
        <v>1148</v>
      </c>
      <c r="C584" s="551">
        <v>0</v>
      </c>
      <c r="D584" s="1302">
        <v>1155.9193851744003</v>
      </c>
      <c r="E584" s="1302">
        <v>1155.9193851744003</v>
      </c>
      <c r="F584" s="1302">
        <v>1155.9193851744003</v>
      </c>
      <c r="G584" s="1302">
        <v>1155.9193851744003</v>
      </c>
      <c r="H584" s="1302">
        <v>1155.9193851744003</v>
      </c>
      <c r="I584" s="1302">
        <v>1155.9193851744003</v>
      </c>
      <c r="J584" s="1302">
        <v>1155.9193851744003</v>
      </c>
      <c r="K584" s="1302">
        <v>1155.9193851744003</v>
      </c>
    </row>
    <row r="585" spans="1:11" s="551" customFormat="1">
      <c r="A585" s="550"/>
      <c r="B585" s="528" t="s">
        <v>1149</v>
      </c>
      <c r="C585" s="551">
        <v>0</v>
      </c>
      <c r="D585" s="1302">
        <v>1240</v>
      </c>
      <c r="E585" s="1302">
        <v>1240</v>
      </c>
      <c r="F585" s="1302">
        <v>1240</v>
      </c>
      <c r="G585" s="1302">
        <v>1240</v>
      </c>
      <c r="H585" s="1302">
        <v>1240</v>
      </c>
      <c r="I585" s="1302">
        <v>1240</v>
      </c>
      <c r="J585" s="1302">
        <v>1240</v>
      </c>
      <c r="K585" s="1302">
        <v>1240</v>
      </c>
    </row>
    <row r="586" spans="1:11" s="551" customFormat="1">
      <c r="A586" s="550"/>
      <c r="B586" s="528" t="s">
        <v>1150</v>
      </c>
      <c r="C586" s="551">
        <v>0</v>
      </c>
      <c r="D586" s="1302">
        <v>1240</v>
      </c>
      <c r="E586" s="1302">
        <v>1240</v>
      </c>
      <c r="F586" s="1302">
        <v>1240</v>
      </c>
      <c r="G586" s="1302">
        <v>1240</v>
      </c>
      <c r="H586" s="1302">
        <v>1240</v>
      </c>
      <c r="I586" s="1302">
        <v>1240</v>
      </c>
      <c r="J586" s="1302">
        <v>1240</v>
      </c>
      <c r="K586" s="1302">
        <v>1240</v>
      </c>
    </row>
    <row r="587" spans="1:11" s="551" customFormat="1">
      <c r="A587" s="550"/>
      <c r="B587" s="528" t="s">
        <v>1151</v>
      </c>
      <c r="C587" s="551">
        <v>0</v>
      </c>
      <c r="D587" s="1302">
        <v>1240</v>
      </c>
      <c r="E587" s="1302">
        <v>1240</v>
      </c>
      <c r="F587" s="1302">
        <v>1240</v>
      </c>
      <c r="G587" s="1302">
        <v>1240</v>
      </c>
      <c r="H587" s="1302">
        <v>1240</v>
      </c>
      <c r="I587" s="1302">
        <v>1240</v>
      </c>
      <c r="J587" s="1302">
        <v>1240</v>
      </c>
      <c r="K587" s="1302">
        <v>1240</v>
      </c>
    </row>
    <row r="588" spans="1:11" s="551" customFormat="1">
      <c r="A588" s="550"/>
      <c r="B588" s="528" t="s">
        <v>1152</v>
      </c>
      <c r="C588" s="551">
        <v>1206.1767497472003</v>
      </c>
      <c r="D588" s="1302">
        <v>2311.8387703488006</v>
      </c>
      <c r="E588" s="1302">
        <v>2311.8387703488006</v>
      </c>
      <c r="F588" s="1302">
        <v>2311.8387703488006</v>
      </c>
      <c r="G588" s="1302">
        <v>2311.8387703488006</v>
      </c>
      <c r="H588" s="1302">
        <v>2311.8387703488006</v>
      </c>
      <c r="I588" s="1302">
        <v>2311.8387703488006</v>
      </c>
      <c r="J588" s="1302">
        <v>2311.8387703488006</v>
      </c>
      <c r="K588" s="1302">
        <v>2311.8387703488006</v>
      </c>
    </row>
    <row r="589" spans="1:11" s="551" customFormat="1">
      <c r="A589" s="550"/>
      <c r="B589" s="528" t="s">
        <v>1153</v>
      </c>
      <c r="C589" s="551">
        <v>1206.1767497472003</v>
      </c>
      <c r="D589" s="1302">
        <v>2311.8387703488006</v>
      </c>
      <c r="E589" s="1302">
        <v>2311.8387703488006</v>
      </c>
      <c r="F589" s="1302">
        <v>2311.8387703488006</v>
      </c>
      <c r="G589" s="1302">
        <v>2311.8387703488006</v>
      </c>
      <c r="H589" s="1302">
        <v>2311.8387703488006</v>
      </c>
      <c r="I589" s="1302">
        <v>2311.8387703488006</v>
      </c>
      <c r="J589" s="1302">
        <v>2311.8387703488006</v>
      </c>
      <c r="K589" s="1302">
        <v>2311.8387703488006</v>
      </c>
    </row>
    <row r="590" spans="1:11" s="551" customFormat="1">
      <c r="A590" s="550"/>
      <c r="B590" s="528" t="s">
        <v>1154</v>
      </c>
      <c r="C590" s="551">
        <v>1240</v>
      </c>
      <c r="D590" s="1302">
        <v>2480</v>
      </c>
      <c r="E590" s="1302">
        <v>2480</v>
      </c>
      <c r="F590" s="1302">
        <v>2480</v>
      </c>
      <c r="G590" s="1302">
        <v>2480</v>
      </c>
      <c r="H590" s="1302">
        <v>2480</v>
      </c>
      <c r="I590" s="1302">
        <v>2480</v>
      </c>
      <c r="J590" s="1302">
        <v>2480</v>
      </c>
      <c r="K590" s="1302">
        <v>2480</v>
      </c>
    </row>
    <row r="591" spans="1:11" s="551" customFormat="1">
      <c r="A591" s="550"/>
      <c r="B591" s="528" t="s">
        <v>1155</v>
      </c>
      <c r="C591" s="551">
        <v>1240</v>
      </c>
      <c r="D591" s="1302">
        <v>2480</v>
      </c>
      <c r="E591" s="1302">
        <v>2480</v>
      </c>
      <c r="F591" s="1302">
        <v>2480</v>
      </c>
      <c r="G591" s="1302">
        <v>2480</v>
      </c>
      <c r="H591" s="1302">
        <v>2480</v>
      </c>
      <c r="I591" s="1302">
        <v>2480</v>
      </c>
      <c r="J591" s="1302">
        <v>2480</v>
      </c>
      <c r="K591" s="1302">
        <v>2480</v>
      </c>
    </row>
    <row r="592" spans="1:11" s="551" customFormat="1">
      <c r="A592" s="550"/>
      <c r="B592" s="528" t="s">
        <v>1156</v>
      </c>
      <c r="C592" s="551">
        <v>1240</v>
      </c>
      <c r="D592" s="1302">
        <v>2480</v>
      </c>
      <c r="E592" s="1302">
        <v>2480</v>
      </c>
      <c r="F592" s="1302">
        <v>2480</v>
      </c>
      <c r="G592" s="1302">
        <v>2480</v>
      </c>
      <c r="H592" s="1302">
        <v>2480</v>
      </c>
      <c r="I592" s="1302">
        <v>2480</v>
      </c>
      <c r="J592" s="1302">
        <v>2480</v>
      </c>
      <c r="K592" s="1302">
        <v>2480</v>
      </c>
    </row>
    <row r="593" spans="1:11" s="551" customFormat="1">
      <c r="A593" s="550"/>
      <c r="B593" s="528" t="s">
        <v>1157</v>
      </c>
      <c r="C593" s="551">
        <v>0</v>
      </c>
      <c r="D593" s="1302">
        <v>1240</v>
      </c>
      <c r="E593" s="1302">
        <v>1240</v>
      </c>
      <c r="F593" s="1302">
        <v>1240</v>
      </c>
      <c r="G593" s="1302">
        <v>1240</v>
      </c>
      <c r="H593" s="1302">
        <v>1240</v>
      </c>
      <c r="I593" s="1302">
        <v>1240</v>
      </c>
      <c r="J593" s="1302">
        <v>1240</v>
      </c>
      <c r="K593" s="1302">
        <v>1240</v>
      </c>
    </row>
    <row r="594" spans="1:11" s="551" customFormat="1">
      <c r="A594" s="550"/>
      <c r="B594" s="528" t="s">
        <v>1158</v>
      </c>
      <c r="C594" s="551">
        <v>0</v>
      </c>
      <c r="D594" s="1302">
        <v>1240</v>
      </c>
      <c r="E594" s="1302">
        <v>1240</v>
      </c>
      <c r="F594" s="1302">
        <v>1240</v>
      </c>
      <c r="G594" s="1302">
        <v>1240</v>
      </c>
      <c r="H594" s="1302">
        <v>1240</v>
      </c>
      <c r="I594" s="1302">
        <v>1240</v>
      </c>
      <c r="J594" s="1302">
        <v>1240</v>
      </c>
      <c r="K594" s="1302">
        <v>1240</v>
      </c>
    </row>
    <row r="595" spans="1:11" s="551" customFormat="1">
      <c r="A595" s="550"/>
      <c r="B595" s="528" t="s">
        <v>1159</v>
      </c>
      <c r="C595" s="551">
        <v>0</v>
      </c>
      <c r="D595" s="1302">
        <v>1230.4948293792004</v>
      </c>
      <c r="E595" s="1302">
        <v>1230.4948293792004</v>
      </c>
      <c r="F595" s="1302">
        <v>1230.4948293792004</v>
      </c>
      <c r="G595" s="1302">
        <v>1230.4948293792004</v>
      </c>
      <c r="H595" s="1302">
        <v>1230.4948293792004</v>
      </c>
      <c r="I595" s="1302">
        <v>1230.4948293792004</v>
      </c>
      <c r="J595" s="1302">
        <v>1230.4948293792004</v>
      </c>
      <c r="K595" s="1302">
        <v>1230.4948293792004</v>
      </c>
    </row>
    <row r="596" spans="1:11" s="551" customFormat="1">
      <c r="A596" s="550"/>
      <c r="B596" s="528" t="s">
        <v>1160</v>
      </c>
      <c r="C596" s="551">
        <v>0</v>
      </c>
      <c r="D596" s="1302">
        <v>1230.4948293792004</v>
      </c>
      <c r="E596" s="1302">
        <v>1230.4948293792004</v>
      </c>
      <c r="F596" s="1302">
        <v>1230.4948293792004</v>
      </c>
      <c r="G596" s="1302">
        <v>1230.4948293792004</v>
      </c>
      <c r="H596" s="1302">
        <v>1230.4948293792004</v>
      </c>
      <c r="I596" s="1302">
        <v>1230.4948293792004</v>
      </c>
      <c r="J596" s="1302">
        <v>1230.4948293792004</v>
      </c>
      <c r="K596" s="1302">
        <v>1230.4948293792004</v>
      </c>
    </row>
    <row r="597" spans="1:11" s="551" customFormat="1">
      <c r="A597" s="550"/>
      <c r="B597" s="528" t="s">
        <v>1161</v>
      </c>
      <c r="C597" s="551">
        <v>0</v>
      </c>
      <c r="D597" s="1302">
        <v>1240</v>
      </c>
      <c r="E597" s="1302">
        <v>1240</v>
      </c>
      <c r="F597" s="1302">
        <v>1240</v>
      </c>
      <c r="G597" s="1302">
        <v>1240</v>
      </c>
      <c r="H597" s="1302">
        <v>1240</v>
      </c>
      <c r="I597" s="1302">
        <v>1240</v>
      </c>
      <c r="J597" s="1302">
        <v>1240</v>
      </c>
      <c r="K597" s="1302">
        <v>1240</v>
      </c>
    </row>
    <row r="598" spans="1:11" s="551" customFormat="1">
      <c r="A598" s="550"/>
      <c r="B598" s="528" t="s">
        <v>1162</v>
      </c>
      <c r="C598" s="551">
        <v>0</v>
      </c>
      <c r="D598" s="1302">
        <v>1240</v>
      </c>
      <c r="E598" s="1302">
        <v>1240</v>
      </c>
      <c r="F598" s="1302">
        <v>1240</v>
      </c>
      <c r="G598" s="1302">
        <v>1240</v>
      </c>
      <c r="H598" s="1302">
        <v>1240</v>
      </c>
      <c r="I598" s="1302">
        <v>1240</v>
      </c>
      <c r="J598" s="1302">
        <v>1240</v>
      </c>
      <c r="K598" s="1302">
        <v>1240</v>
      </c>
    </row>
    <row r="599" spans="1:11" s="551" customFormat="1">
      <c r="A599" s="550"/>
      <c r="B599" s="528" t="s">
        <v>1163</v>
      </c>
      <c r="C599" s="551">
        <v>1112.7953239603205</v>
      </c>
      <c r="D599" s="1302">
        <v>1240</v>
      </c>
      <c r="E599" s="1302">
        <v>1240</v>
      </c>
      <c r="F599" s="1302">
        <v>1240</v>
      </c>
      <c r="G599" s="1355">
        <v>1968.7917270067207</v>
      </c>
      <c r="H599" s="1355">
        <v>1968.7917270067207</v>
      </c>
      <c r="I599" s="1355">
        <v>1968.7917270067207</v>
      </c>
      <c r="J599" s="1355">
        <v>1968.7917270067207</v>
      </c>
      <c r="K599" s="1355">
        <v>1968.7917270067207</v>
      </c>
    </row>
    <row r="600" spans="1:11" s="551" customFormat="1">
      <c r="A600" s="550"/>
      <c r="B600" s="528" t="s">
        <v>1164</v>
      </c>
      <c r="C600" s="551">
        <v>1240</v>
      </c>
      <c r="D600" s="1302">
        <v>2460.9896587584008</v>
      </c>
      <c r="E600" s="1302">
        <v>2460.9896587584008</v>
      </c>
      <c r="F600" s="1302">
        <v>2460.9896587584008</v>
      </c>
      <c r="G600" s="1302">
        <v>2460.9896587584008</v>
      </c>
      <c r="H600" s="1302">
        <v>2460.9896587584008</v>
      </c>
      <c r="I600" s="1302">
        <v>2460.9896587584008</v>
      </c>
      <c r="J600" s="1302">
        <v>2460.9896587584008</v>
      </c>
      <c r="K600" s="1302">
        <v>2460.9896587584008</v>
      </c>
    </row>
    <row r="601" spans="1:11" s="551" customFormat="1">
      <c r="A601" s="550"/>
      <c r="B601" s="528" t="s">
        <v>1165</v>
      </c>
      <c r="C601" s="551">
        <v>1240</v>
      </c>
      <c r="D601" s="1302">
        <v>2460.9896587584008</v>
      </c>
      <c r="E601" s="1302">
        <v>2460.9896587584008</v>
      </c>
      <c r="F601" s="1302">
        <v>2460.9896587584008</v>
      </c>
      <c r="G601" s="1302">
        <v>2460.9896587584008</v>
      </c>
      <c r="H601" s="1302">
        <v>2460.9896587584008</v>
      </c>
      <c r="I601" s="1302">
        <v>2460.9896587584008</v>
      </c>
      <c r="J601" s="1302">
        <v>2460.9896587584008</v>
      </c>
      <c r="K601" s="1302">
        <v>2460.9896587584008</v>
      </c>
    </row>
    <row r="602" spans="1:11" s="551" customFormat="1">
      <c r="A602" s="550"/>
      <c r="B602" s="528" t="s">
        <v>1166</v>
      </c>
      <c r="C602" s="551">
        <v>1240</v>
      </c>
      <c r="D602" s="1302">
        <v>2480</v>
      </c>
      <c r="E602" s="1302">
        <v>2480</v>
      </c>
      <c r="F602" s="1302">
        <v>2480</v>
      </c>
      <c r="G602" s="1302">
        <v>2480</v>
      </c>
      <c r="H602" s="1302">
        <v>2480</v>
      </c>
      <c r="I602" s="1302">
        <v>2480</v>
      </c>
      <c r="J602" s="1302">
        <v>2480</v>
      </c>
      <c r="K602" s="1302">
        <v>2480</v>
      </c>
    </row>
    <row r="603" spans="1:11" s="551" customFormat="1">
      <c r="A603" s="550"/>
      <c r="B603" s="528" t="s">
        <v>1167</v>
      </c>
      <c r="C603" s="551">
        <v>1240</v>
      </c>
      <c r="D603" s="1302">
        <v>2480</v>
      </c>
      <c r="E603" s="1302">
        <v>2480</v>
      </c>
      <c r="F603" s="1302">
        <v>2480</v>
      </c>
      <c r="G603" s="1302">
        <v>2480</v>
      </c>
      <c r="H603" s="1302">
        <v>2480</v>
      </c>
      <c r="I603" s="1302">
        <v>2480</v>
      </c>
      <c r="J603" s="1302">
        <v>2480</v>
      </c>
      <c r="K603" s="1302">
        <v>2480</v>
      </c>
    </row>
    <row r="604" spans="1:11" s="551" customFormat="1">
      <c r="A604" s="550"/>
      <c r="B604" s="528" t="s">
        <v>1168</v>
      </c>
      <c r="C604" s="551">
        <v>1240</v>
      </c>
      <c r="D604" s="1302">
        <v>2480</v>
      </c>
      <c r="E604" s="1302">
        <v>2480</v>
      </c>
      <c r="F604" s="1302">
        <v>2480</v>
      </c>
      <c r="G604" s="1302">
        <v>2480</v>
      </c>
      <c r="H604" s="1302">
        <v>2480</v>
      </c>
      <c r="I604" s="1302">
        <v>2480</v>
      </c>
      <c r="J604" s="1302">
        <v>2480</v>
      </c>
      <c r="K604" s="1302">
        <v>2480</v>
      </c>
    </row>
    <row r="605" spans="1:11" s="551" customFormat="1">
      <c r="A605" s="550"/>
      <c r="B605" s="528" t="s">
        <v>1169</v>
      </c>
      <c r="C605" s="551">
        <v>0</v>
      </c>
      <c r="D605" s="1302">
        <v>1240</v>
      </c>
      <c r="E605" s="1302">
        <v>1240</v>
      </c>
      <c r="F605" s="1302">
        <v>1240</v>
      </c>
      <c r="G605" s="1302">
        <v>1240</v>
      </c>
      <c r="H605" s="1302">
        <v>1240</v>
      </c>
      <c r="I605" s="1302">
        <v>1240</v>
      </c>
      <c r="J605" s="1302">
        <v>1240</v>
      </c>
      <c r="K605" s="1302">
        <v>1240</v>
      </c>
    </row>
    <row r="606" spans="1:11" s="551" customFormat="1">
      <c r="A606" s="550"/>
      <c r="B606" s="528" t="s">
        <v>1170</v>
      </c>
      <c r="C606" s="551">
        <v>0</v>
      </c>
      <c r="D606" s="1302">
        <v>1240</v>
      </c>
      <c r="E606" s="1302">
        <v>1240</v>
      </c>
      <c r="F606" s="1302">
        <v>1240</v>
      </c>
      <c r="G606" s="1302">
        <v>1240</v>
      </c>
      <c r="H606" s="1302">
        <v>1240</v>
      </c>
      <c r="I606" s="1302">
        <v>1240</v>
      </c>
      <c r="J606" s="1302">
        <v>1240</v>
      </c>
      <c r="K606" s="1302">
        <v>1240</v>
      </c>
    </row>
    <row r="607" spans="1:11" s="551" customFormat="1">
      <c r="A607" s="550"/>
      <c r="B607" s="528" t="s">
        <v>1171</v>
      </c>
      <c r="C607" s="551">
        <v>0</v>
      </c>
      <c r="D607" s="1302">
        <v>1240</v>
      </c>
      <c r="E607" s="1302">
        <v>1240</v>
      </c>
      <c r="F607" s="1302">
        <v>1240</v>
      </c>
      <c r="G607" s="1302">
        <v>1240</v>
      </c>
      <c r="H607" s="1356">
        <v>1105.8326737920004</v>
      </c>
      <c r="I607" s="1356">
        <v>1105.8326737920004</v>
      </c>
      <c r="J607" s="1356">
        <v>1105.8326737920004</v>
      </c>
      <c r="K607" s="1356">
        <v>1105.8326737920004</v>
      </c>
    </row>
    <row r="608" spans="1:11" s="551" customFormat="1">
      <c r="A608" s="550"/>
      <c r="B608" s="528" t="s">
        <v>1172</v>
      </c>
      <c r="C608" s="551">
        <v>0</v>
      </c>
      <c r="D608" s="1302">
        <v>1240</v>
      </c>
      <c r="E608" s="1302">
        <v>1240</v>
      </c>
      <c r="F608" s="1302">
        <v>1240</v>
      </c>
      <c r="G608" s="1302">
        <v>1240</v>
      </c>
      <c r="H608" s="1356">
        <v>1105.8326737920004</v>
      </c>
      <c r="I608" s="1356">
        <v>1105.8326737920004</v>
      </c>
      <c r="J608" s="1356">
        <v>1105.8326737920004</v>
      </c>
      <c r="K608" s="1356">
        <v>1105.8326737920004</v>
      </c>
    </row>
    <row r="609" spans="1:11" s="551" customFormat="1">
      <c r="A609" s="550"/>
      <c r="B609" s="528" t="s">
        <v>1173</v>
      </c>
      <c r="C609" s="551">
        <v>0</v>
      </c>
      <c r="D609" s="1302">
        <v>1240</v>
      </c>
      <c r="E609" s="1302">
        <v>1240</v>
      </c>
      <c r="F609" s="1302">
        <v>1240</v>
      </c>
      <c r="G609" s="1302">
        <v>1240</v>
      </c>
      <c r="H609" s="1302">
        <v>1240</v>
      </c>
      <c r="I609" s="1302">
        <v>1240</v>
      </c>
      <c r="J609" s="1302">
        <v>1240</v>
      </c>
      <c r="K609" s="1302">
        <v>1240</v>
      </c>
    </row>
    <row r="610" spans="1:11" s="551" customFormat="1">
      <c r="A610" s="550"/>
      <c r="B610" s="528" t="s">
        <v>1174</v>
      </c>
      <c r="C610" s="551">
        <v>1006.3077331507202</v>
      </c>
      <c r="D610" s="1302">
        <v>1240</v>
      </c>
      <c r="E610" s="1302">
        <v>1240</v>
      </c>
      <c r="F610" s="1302">
        <v>1240</v>
      </c>
      <c r="G610" s="1302">
        <v>1240</v>
      </c>
      <c r="H610" s="1302">
        <v>1240</v>
      </c>
      <c r="I610" s="1302">
        <v>1240</v>
      </c>
      <c r="J610" s="1302">
        <v>1240</v>
      </c>
      <c r="K610" s="1302">
        <v>1240</v>
      </c>
    </row>
    <row r="611" spans="1:11" s="551" customFormat="1">
      <c r="A611" s="550"/>
      <c r="B611" s="528" t="s">
        <v>1175</v>
      </c>
      <c r="C611" s="551">
        <v>1150.0659807436803</v>
      </c>
      <c r="D611" s="1302">
        <v>1240</v>
      </c>
      <c r="E611" s="1302">
        <v>1240</v>
      </c>
      <c r="F611" s="1302">
        <v>1240</v>
      </c>
      <c r="G611" s="1355">
        <v>2034.7321197772803</v>
      </c>
      <c r="H611" s="1356">
        <v>1240</v>
      </c>
      <c r="I611" s="1356">
        <v>1240</v>
      </c>
      <c r="J611" s="1356">
        <v>1240</v>
      </c>
      <c r="K611" s="1356">
        <v>1240</v>
      </c>
    </row>
    <row r="612" spans="1:11" s="551" customFormat="1">
      <c r="A612" s="550"/>
      <c r="B612" s="528" t="s">
        <v>1176</v>
      </c>
      <c r="C612" s="551">
        <v>1240</v>
      </c>
      <c r="D612" s="1302">
        <v>2480</v>
      </c>
      <c r="E612" s="1302">
        <v>2480</v>
      </c>
      <c r="F612" s="1302">
        <v>2480</v>
      </c>
      <c r="G612" s="1302">
        <v>2480</v>
      </c>
      <c r="H612" s="1356">
        <v>2211.6653475840008</v>
      </c>
      <c r="I612" s="1356">
        <v>2211.6653475840008</v>
      </c>
      <c r="J612" s="1356">
        <v>2211.6653475840008</v>
      </c>
      <c r="K612" s="1356">
        <v>2211.6653475840008</v>
      </c>
    </row>
    <row r="613" spans="1:11" s="551" customFormat="1">
      <c r="A613" s="550"/>
      <c r="B613" s="528" t="s">
        <v>1177</v>
      </c>
      <c r="C613" s="551">
        <v>1240</v>
      </c>
      <c r="D613" s="1302">
        <v>2480</v>
      </c>
      <c r="E613" s="1302">
        <v>2480</v>
      </c>
      <c r="F613" s="1302">
        <v>2480</v>
      </c>
      <c r="G613" s="1302">
        <v>2480</v>
      </c>
      <c r="H613" s="1356">
        <v>2211.6653475840008</v>
      </c>
      <c r="I613" s="1356">
        <v>2211.6653475840008</v>
      </c>
      <c r="J613" s="1356">
        <v>2211.6653475840008</v>
      </c>
      <c r="K613" s="1356">
        <v>2211.6653475840008</v>
      </c>
    </row>
    <row r="614" spans="1:11" s="551" customFormat="1">
      <c r="A614" s="550"/>
      <c r="B614" s="528" t="s">
        <v>1178</v>
      </c>
      <c r="C614" s="551">
        <v>1240</v>
      </c>
      <c r="D614" s="1302">
        <v>2480</v>
      </c>
      <c r="E614" s="1302">
        <v>2480</v>
      </c>
      <c r="F614" s="1302">
        <v>2480</v>
      </c>
      <c r="G614" s="1302">
        <v>2480</v>
      </c>
      <c r="H614" s="1302">
        <v>2480</v>
      </c>
      <c r="I614" s="1302">
        <v>2480</v>
      </c>
      <c r="J614" s="1302">
        <v>2480</v>
      </c>
      <c r="K614" s="1302">
        <v>2480</v>
      </c>
    </row>
    <row r="615" spans="1:11" s="551" customFormat="1">
      <c r="A615" s="550"/>
      <c r="B615" s="528" t="s">
        <v>1179</v>
      </c>
      <c r="C615" s="551">
        <v>1240</v>
      </c>
      <c r="D615" s="1302">
        <v>2480</v>
      </c>
      <c r="E615" s="1302">
        <v>2480</v>
      </c>
      <c r="F615" s="1302">
        <v>2480</v>
      </c>
      <c r="G615" s="1302">
        <v>2480</v>
      </c>
      <c r="H615" s="1302">
        <v>2480</v>
      </c>
      <c r="I615" s="1302">
        <v>2480</v>
      </c>
      <c r="J615" s="1302">
        <v>2480</v>
      </c>
      <c r="K615" s="1302">
        <v>2480</v>
      </c>
    </row>
    <row r="616" spans="1:11" s="551" customFormat="1">
      <c r="A616" s="550"/>
      <c r="B616" s="528" t="s">
        <v>1180</v>
      </c>
      <c r="C616" s="551">
        <v>1240</v>
      </c>
      <c r="D616" s="1302">
        <v>2480</v>
      </c>
      <c r="E616" s="1302">
        <v>2480</v>
      </c>
      <c r="F616" s="1302">
        <v>2480</v>
      </c>
      <c r="G616" s="1302">
        <v>2480</v>
      </c>
      <c r="H616" s="1356">
        <v>2432.8318823424006</v>
      </c>
      <c r="I616" s="1356">
        <v>2432.8318823424006</v>
      </c>
      <c r="J616" s="1356">
        <v>2432.8318823424006</v>
      </c>
      <c r="K616" s="1356">
        <v>2432.8318823424006</v>
      </c>
    </row>
    <row r="617" spans="1:11" s="551" customFormat="1">
      <c r="A617" s="550"/>
      <c r="B617" s="528" t="s">
        <v>1181</v>
      </c>
      <c r="C617" s="551">
        <v>1006.3077331507202</v>
      </c>
      <c r="D617" s="1302">
        <v>1240</v>
      </c>
      <c r="E617" s="1302">
        <v>1240</v>
      </c>
      <c r="F617" s="1302">
        <v>1240</v>
      </c>
      <c r="G617" s="1302">
        <v>1240</v>
      </c>
      <c r="H617" s="1302">
        <v>1240</v>
      </c>
      <c r="I617" s="1302">
        <v>1240</v>
      </c>
      <c r="J617" s="1302">
        <v>1240</v>
      </c>
      <c r="K617" s="1302">
        <v>1240</v>
      </c>
    </row>
    <row r="618" spans="1:11" s="551" customFormat="1">
      <c r="A618" s="550"/>
      <c r="B618" s="528" t="s">
        <v>1182</v>
      </c>
      <c r="C618" s="551">
        <v>1006.3077331507202</v>
      </c>
      <c r="D618" s="1302">
        <v>1240</v>
      </c>
      <c r="E618" s="1302">
        <v>1240</v>
      </c>
      <c r="F618" s="1302">
        <v>1240</v>
      </c>
      <c r="G618" s="1302">
        <v>1240</v>
      </c>
      <c r="H618" s="1302">
        <v>1240</v>
      </c>
      <c r="I618" s="1302">
        <v>1240</v>
      </c>
      <c r="J618" s="1302">
        <v>1240</v>
      </c>
      <c r="K618" s="1302">
        <v>1240</v>
      </c>
    </row>
    <row r="619" spans="1:11" s="551" customFormat="1">
      <c r="A619" s="550"/>
      <c r="B619" s="528" t="s">
        <v>1183</v>
      </c>
      <c r="C619" s="551">
        <v>0</v>
      </c>
      <c r="D619" s="1302">
        <v>1155.9193851744003</v>
      </c>
      <c r="E619" s="1302">
        <v>1155.9193851744003</v>
      </c>
      <c r="F619" s="1302">
        <v>1155.9193851744003</v>
      </c>
      <c r="G619" s="1302">
        <v>1155.9193851744003</v>
      </c>
      <c r="H619" s="1302">
        <v>1155.9193851744003</v>
      </c>
      <c r="I619" s="1302">
        <v>1155.9193851744003</v>
      </c>
      <c r="J619" s="1302">
        <v>1155.9193851744003</v>
      </c>
      <c r="K619" s="1302">
        <v>1155.9193851744003</v>
      </c>
    </row>
    <row r="620" spans="1:11" s="551" customFormat="1">
      <c r="A620" s="550"/>
      <c r="B620" s="528" t="s">
        <v>1184</v>
      </c>
      <c r="C620" s="551">
        <v>0</v>
      </c>
      <c r="D620" s="1302">
        <v>1155.9193851744003</v>
      </c>
      <c r="E620" s="1302">
        <v>1155.9193851744003</v>
      </c>
      <c r="F620" s="1302">
        <v>1155.9193851744003</v>
      </c>
      <c r="G620" s="1302">
        <v>1155.9193851744003</v>
      </c>
      <c r="H620" s="1302">
        <v>1155.9193851744003</v>
      </c>
      <c r="I620" s="1302">
        <v>1155.9193851744003</v>
      </c>
      <c r="J620" s="1302">
        <v>1155.9193851744003</v>
      </c>
      <c r="K620" s="1302">
        <v>1155.9193851744003</v>
      </c>
    </row>
    <row r="621" spans="1:11" s="551" customFormat="1">
      <c r="A621" s="550"/>
      <c r="B621" s="528" t="s">
        <v>1185</v>
      </c>
      <c r="C621" s="551">
        <v>0</v>
      </c>
      <c r="D621" s="1302">
        <v>1240</v>
      </c>
      <c r="E621" s="1302">
        <v>1240</v>
      </c>
      <c r="F621" s="1302">
        <v>1240</v>
      </c>
      <c r="G621" s="1302">
        <v>1240</v>
      </c>
      <c r="H621" s="1302">
        <v>1240</v>
      </c>
      <c r="I621" s="1302">
        <v>1240</v>
      </c>
      <c r="J621" s="1302">
        <v>1240</v>
      </c>
      <c r="K621" s="1302">
        <v>1240</v>
      </c>
    </row>
    <row r="622" spans="1:11" s="551" customFormat="1">
      <c r="A622" s="550"/>
      <c r="B622" s="528" t="s">
        <v>1186</v>
      </c>
      <c r="C622" s="551">
        <v>0</v>
      </c>
      <c r="D622" s="1302">
        <v>1240</v>
      </c>
      <c r="E622" s="1302">
        <v>1240</v>
      </c>
      <c r="F622" s="1302">
        <v>1240</v>
      </c>
      <c r="G622" s="1302">
        <v>1240</v>
      </c>
      <c r="H622" s="1302">
        <v>1240</v>
      </c>
      <c r="I622" s="1302">
        <v>1240</v>
      </c>
      <c r="J622" s="1302">
        <v>1240</v>
      </c>
      <c r="K622" s="1302">
        <v>1240</v>
      </c>
    </row>
    <row r="623" spans="1:11" s="551" customFormat="1">
      <c r="A623" s="550"/>
      <c r="B623" s="528" t="s">
        <v>1187</v>
      </c>
      <c r="C623" s="551">
        <v>1125.7649664307205</v>
      </c>
      <c r="D623" s="1302">
        <v>1240</v>
      </c>
      <c r="E623" s="1302">
        <v>1240</v>
      </c>
      <c r="F623" s="1302">
        <v>1240</v>
      </c>
      <c r="G623" s="1302">
        <v>1240</v>
      </c>
      <c r="H623" s="1302">
        <v>1240</v>
      </c>
      <c r="I623" s="1302">
        <v>1240</v>
      </c>
      <c r="J623" s="1302">
        <v>1240</v>
      </c>
      <c r="K623" s="1302">
        <v>1240</v>
      </c>
    </row>
    <row r="624" spans="1:11" s="551" customFormat="1">
      <c r="A624" s="550"/>
      <c r="B624" s="528" t="s">
        <v>1188</v>
      </c>
      <c r="C624" s="551">
        <v>1240</v>
      </c>
      <c r="D624" s="1302">
        <v>2311.8387703488006</v>
      </c>
      <c r="E624" s="1302">
        <v>2311.8387703488006</v>
      </c>
      <c r="F624" s="1302">
        <v>2311.8387703488006</v>
      </c>
      <c r="G624" s="1302">
        <v>2311.8387703488006</v>
      </c>
      <c r="H624" s="1302">
        <v>2311.8387703488006</v>
      </c>
      <c r="I624" s="1302">
        <v>2311.8387703488006</v>
      </c>
      <c r="J624" s="1302">
        <v>2311.8387703488006</v>
      </c>
      <c r="K624" s="1302">
        <v>2311.8387703488006</v>
      </c>
    </row>
    <row r="625" spans="1:11" s="551" customFormat="1">
      <c r="A625" s="550"/>
      <c r="B625" s="528" t="s">
        <v>1189</v>
      </c>
      <c r="C625" s="551">
        <v>1240</v>
      </c>
      <c r="D625" s="1302">
        <v>2311.8387703488006</v>
      </c>
      <c r="E625" s="1302">
        <v>2311.8387703488006</v>
      </c>
      <c r="F625" s="1302">
        <v>2311.8387703488006</v>
      </c>
      <c r="G625" s="1302">
        <v>2311.8387703488006</v>
      </c>
      <c r="H625" s="1302">
        <v>2311.8387703488006</v>
      </c>
      <c r="I625" s="1302">
        <v>2311.8387703488006</v>
      </c>
      <c r="J625" s="1302">
        <v>2311.8387703488006</v>
      </c>
      <c r="K625" s="1302">
        <v>2311.8387703488006</v>
      </c>
    </row>
    <row r="626" spans="1:11" s="551" customFormat="1">
      <c r="A626" s="550"/>
      <c r="B626" s="528" t="s">
        <v>1190</v>
      </c>
      <c r="C626" s="551">
        <v>1240</v>
      </c>
      <c r="D626" s="1302">
        <v>2480</v>
      </c>
      <c r="E626" s="1302">
        <v>2480</v>
      </c>
      <c r="F626" s="1302">
        <v>2480</v>
      </c>
      <c r="G626" s="1302">
        <v>2480</v>
      </c>
      <c r="H626" s="1302">
        <v>2480</v>
      </c>
      <c r="I626" s="1302">
        <v>2480</v>
      </c>
      <c r="J626" s="1302">
        <v>2480</v>
      </c>
      <c r="K626" s="1302">
        <v>2480</v>
      </c>
    </row>
    <row r="627" spans="1:11" s="551" customFormat="1">
      <c r="A627" s="550"/>
      <c r="B627" s="528" t="s">
        <v>1191</v>
      </c>
      <c r="C627" s="551">
        <v>1240</v>
      </c>
      <c r="D627" s="1302">
        <v>2480</v>
      </c>
      <c r="E627" s="1302">
        <v>2480</v>
      </c>
      <c r="F627" s="1302">
        <v>2480</v>
      </c>
      <c r="G627" s="1302">
        <v>2480</v>
      </c>
      <c r="H627" s="1302">
        <v>2480</v>
      </c>
      <c r="I627" s="1302">
        <v>2480</v>
      </c>
      <c r="J627" s="1302">
        <v>2480</v>
      </c>
      <c r="K627" s="1302">
        <v>2480</v>
      </c>
    </row>
    <row r="628" spans="1:11" s="551" customFormat="1">
      <c r="A628" s="550"/>
      <c r="B628" s="528" t="s">
        <v>1192</v>
      </c>
      <c r="C628" s="551">
        <v>1240</v>
      </c>
      <c r="D628" s="1302">
        <v>2480</v>
      </c>
      <c r="E628" s="1302">
        <v>2480</v>
      </c>
      <c r="F628" s="1302">
        <v>2480</v>
      </c>
      <c r="G628" s="1302">
        <v>2480</v>
      </c>
      <c r="H628" s="1302">
        <v>2480</v>
      </c>
      <c r="I628" s="1302">
        <v>2480</v>
      </c>
      <c r="J628" s="1302">
        <v>2480</v>
      </c>
      <c r="K628" s="1302">
        <v>2480</v>
      </c>
    </row>
    <row r="629" spans="1:11" s="551" customFormat="1">
      <c r="A629" s="550"/>
      <c r="B629" s="528" t="s">
        <v>1193</v>
      </c>
      <c r="C629" s="551">
        <v>0</v>
      </c>
      <c r="D629" s="1302">
        <v>1240</v>
      </c>
      <c r="E629" s="1302">
        <v>1240</v>
      </c>
      <c r="F629" s="1302">
        <v>1240</v>
      </c>
      <c r="G629" s="1302">
        <v>1240</v>
      </c>
      <c r="H629" s="1302">
        <v>1240</v>
      </c>
      <c r="I629" s="1302">
        <v>1240</v>
      </c>
      <c r="J629" s="1302">
        <v>1240</v>
      </c>
      <c r="K629" s="1302">
        <v>1240</v>
      </c>
    </row>
    <row r="630" spans="1:11" s="551" customFormat="1">
      <c r="A630" s="550"/>
      <c r="B630" s="528" t="s">
        <v>1194</v>
      </c>
      <c r="C630" s="551">
        <v>0</v>
      </c>
      <c r="D630" s="1302">
        <v>1240</v>
      </c>
      <c r="E630" s="1302">
        <v>1240</v>
      </c>
      <c r="F630" s="1302">
        <v>1240</v>
      </c>
      <c r="G630" s="1302">
        <v>1240</v>
      </c>
      <c r="H630" s="1302">
        <v>1240</v>
      </c>
      <c r="I630" s="1302">
        <v>1240</v>
      </c>
      <c r="J630" s="1302">
        <v>1240</v>
      </c>
      <c r="K630" s="1302">
        <v>1240</v>
      </c>
    </row>
    <row r="631" spans="1:11" s="551" customFormat="1">
      <c r="A631" s="550"/>
      <c r="B631" s="528" t="s">
        <v>1195</v>
      </c>
      <c r="C631" s="551">
        <v>0</v>
      </c>
      <c r="D631" s="1302">
        <v>1230.4948293792004</v>
      </c>
      <c r="E631" s="1302">
        <v>1230.4948293792004</v>
      </c>
      <c r="F631" s="1302">
        <v>1230.4948293792004</v>
      </c>
      <c r="G631" s="1302">
        <v>1230.4948293792004</v>
      </c>
      <c r="H631" s="1302">
        <v>1230.4948293792004</v>
      </c>
      <c r="I631" s="1302">
        <v>1230.4948293792004</v>
      </c>
      <c r="J631" s="1302">
        <v>1230.4948293792004</v>
      </c>
      <c r="K631" s="1302">
        <v>1230.4948293792004</v>
      </c>
    </row>
    <row r="632" spans="1:11" s="551" customFormat="1">
      <c r="A632" s="550"/>
      <c r="B632" s="528" t="s">
        <v>1196</v>
      </c>
      <c r="C632" s="551">
        <v>0</v>
      </c>
      <c r="D632" s="1302">
        <v>1230.4948293792004</v>
      </c>
      <c r="E632" s="1302">
        <v>1230.4948293792004</v>
      </c>
      <c r="F632" s="1302">
        <v>1230.4948293792004</v>
      </c>
      <c r="G632" s="1302">
        <v>1230.4948293792004</v>
      </c>
      <c r="H632" s="1302">
        <v>1230.4948293792004</v>
      </c>
      <c r="I632" s="1302">
        <v>1230.4948293792004</v>
      </c>
      <c r="J632" s="1302">
        <v>1230.4948293792004</v>
      </c>
      <c r="K632" s="1302">
        <v>1230.4948293792004</v>
      </c>
    </row>
    <row r="633" spans="1:11" s="551" customFormat="1">
      <c r="A633" s="550"/>
      <c r="B633" s="528" t="s">
        <v>1197</v>
      </c>
      <c r="C633" s="551">
        <v>0</v>
      </c>
      <c r="D633" s="1302">
        <v>1240</v>
      </c>
      <c r="E633" s="1302">
        <v>1240</v>
      </c>
      <c r="F633" s="1302">
        <v>1240</v>
      </c>
      <c r="G633" s="1302">
        <v>1240</v>
      </c>
      <c r="H633" s="1302">
        <v>1240</v>
      </c>
      <c r="I633" s="1302">
        <v>1240</v>
      </c>
      <c r="J633" s="1302">
        <v>1240</v>
      </c>
      <c r="K633" s="1302">
        <v>1240</v>
      </c>
    </row>
    <row r="634" spans="1:11" s="551" customFormat="1">
      <c r="A634" s="550"/>
      <c r="B634" s="528" t="s">
        <v>1198</v>
      </c>
      <c r="C634" s="551">
        <v>0</v>
      </c>
      <c r="D634" s="1302">
        <v>1240</v>
      </c>
      <c r="E634" s="1302">
        <v>1240</v>
      </c>
      <c r="F634" s="1302">
        <v>1240</v>
      </c>
      <c r="G634" s="1302">
        <v>1240</v>
      </c>
      <c r="H634" s="1302">
        <v>1240</v>
      </c>
      <c r="I634" s="1302">
        <v>1240</v>
      </c>
      <c r="J634" s="1302">
        <v>1240</v>
      </c>
      <c r="K634" s="1302">
        <v>1240</v>
      </c>
    </row>
    <row r="635" spans="1:11" s="551" customFormat="1">
      <c r="A635" s="550"/>
      <c r="B635" s="528" t="s">
        <v>1199</v>
      </c>
      <c r="C635" s="551">
        <v>1112.7953239603205</v>
      </c>
      <c r="D635" s="1302">
        <v>1240</v>
      </c>
      <c r="E635" s="1302">
        <v>1240</v>
      </c>
      <c r="F635" s="1302">
        <v>1240</v>
      </c>
      <c r="G635" s="1355">
        <v>1968.7917270067207</v>
      </c>
      <c r="H635" s="1355">
        <v>1968.7917270067207</v>
      </c>
      <c r="I635" s="1355">
        <v>1968.7917270067207</v>
      </c>
      <c r="J635" s="1355">
        <v>1968.7917270067207</v>
      </c>
      <c r="K635" s="1355">
        <v>1968.7917270067207</v>
      </c>
    </row>
    <row r="636" spans="1:11" s="551" customFormat="1">
      <c r="A636" s="550"/>
      <c r="B636" s="528" t="s">
        <v>1200</v>
      </c>
      <c r="C636" s="551">
        <v>1240</v>
      </c>
      <c r="D636" s="1302">
        <v>2460.9896587584008</v>
      </c>
      <c r="E636" s="1302">
        <v>2460.9896587584008</v>
      </c>
      <c r="F636" s="1302">
        <v>2460.9896587584008</v>
      </c>
      <c r="G636" s="1302">
        <v>2460.9896587584008</v>
      </c>
      <c r="H636" s="1302">
        <v>2460.9896587584008</v>
      </c>
      <c r="I636" s="1302">
        <v>2460.9896587584008</v>
      </c>
      <c r="J636" s="1302">
        <v>2460.9896587584008</v>
      </c>
      <c r="K636" s="1302">
        <v>2460.9896587584008</v>
      </c>
    </row>
    <row r="637" spans="1:11" s="551" customFormat="1">
      <c r="A637" s="550"/>
      <c r="B637" s="528" t="s">
        <v>1201</v>
      </c>
      <c r="C637" s="551">
        <v>1240</v>
      </c>
      <c r="D637" s="1302">
        <v>2460.9896587584008</v>
      </c>
      <c r="E637" s="1302">
        <v>2460.9896587584008</v>
      </c>
      <c r="F637" s="1302">
        <v>2460.9896587584008</v>
      </c>
      <c r="G637" s="1302">
        <v>2460.9896587584008</v>
      </c>
      <c r="H637" s="1302">
        <v>2460.9896587584008</v>
      </c>
      <c r="I637" s="1302">
        <v>2460.9896587584008</v>
      </c>
      <c r="J637" s="1302">
        <v>2460.9896587584008</v>
      </c>
      <c r="K637" s="1302">
        <v>2460.9896587584008</v>
      </c>
    </row>
    <row r="638" spans="1:11" s="551" customFormat="1">
      <c r="A638" s="550"/>
      <c r="B638" s="528" t="s">
        <v>1202</v>
      </c>
      <c r="C638" s="551">
        <v>1240</v>
      </c>
      <c r="D638" s="1302">
        <v>2480</v>
      </c>
      <c r="E638" s="1302">
        <v>2480</v>
      </c>
      <c r="F638" s="1302">
        <v>2480</v>
      </c>
      <c r="G638" s="1302">
        <v>2480</v>
      </c>
      <c r="H638" s="1302">
        <v>2480</v>
      </c>
      <c r="I638" s="1302">
        <v>2480</v>
      </c>
      <c r="J638" s="1302">
        <v>2480</v>
      </c>
      <c r="K638" s="1302">
        <v>2480</v>
      </c>
    </row>
    <row r="639" spans="1:11" s="551" customFormat="1">
      <c r="A639" s="550"/>
      <c r="B639" s="528" t="s">
        <v>1203</v>
      </c>
      <c r="C639" s="551">
        <v>1240</v>
      </c>
      <c r="D639" s="1302">
        <v>2480</v>
      </c>
      <c r="E639" s="1302">
        <v>2480</v>
      </c>
      <c r="F639" s="1302">
        <v>2480</v>
      </c>
      <c r="G639" s="1302">
        <v>2480</v>
      </c>
      <c r="H639" s="1302">
        <v>2480</v>
      </c>
      <c r="I639" s="1302">
        <v>2480</v>
      </c>
      <c r="J639" s="1302">
        <v>2480</v>
      </c>
      <c r="K639" s="1302">
        <v>2480</v>
      </c>
    </row>
    <row r="640" spans="1:11" s="551" customFormat="1">
      <c r="A640" s="550"/>
      <c r="B640" s="528" t="s">
        <v>1204</v>
      </c>
      <c r="C640" s="551">
        <v>1240</v>
      </c>
      <c r="D640" s="1302">
        <v>2480</v>
      </c>
      <c r="E640" s="1302">
        <v>2480</v>
      </c>
      <c r="F640" s="1302">
        <v>2480</v>
      </c>
      <c r="G640" s="1302">
        <v>2480</v>
      </c>
      <c r="H640" s="1302">
        <v>2480</v>
      </c>
      <c r="I640" s="1302">
        <v>2480</v>
      </c>
      <c r="J640" s="1302">
        <v>2480</v>
      </c>
      <c r="K640" s="1302">
        <v>2480</v>
      </c>
    </row>
    <row r="641" spans="1:11" s="551" customFormat="1">
      <c r="A641" s="550"/>
      <c r="B641" s="528" t="s">
        <v>1205</v>
      </c>
      <c r="C641" s="551">
        <v>0</v>
      </c>
      <c r="D641" s="1302">
        <v>1240</v>
      </c>
      <c r="E641" s="1302">
        <v>1240</v>
      </c>
      <c r="F641" s="1302">
        <v>1240</v>
      </c>
      <c r="G641" s="1302">
        <v>1240</v>
      </c>
      <c r="H641" s="1302">
        <v>1240</v>
      </c>
      <c r="I641" s="1302">
        <v>1240</v>
      </c>
      <c r="J641" s="1302">
        <v>1240</v>
      </c>
      <c r="K641" s="1302">
        <v>1240</v>
      </c>
    </row>
    <row r="642" spans="1:11" s="551" customFormat="1">
      <c r="A642" s="550"/>
      <c r="B642" s="528" t="s">
        <v>1206</v>
      </c>
      <c r="C642" s="551">
        <v>0</v>
      </c>
      <c r="D642" s="1302">
        <v>1240</v>
      </c>
      <c r="E642" s="1302">
        <v>1240</v>
      </c>
      <c r="F642" s="1302">
        <v>1240</v>
      </c>
      <c r="G642" s="1302">
        <v>1240</v>
      </c>
      <c r="H642" s="1302">
        <v>1240</v>
      </c>
      <c r="I642" s="1302">
        <v>1240</v>
      </c>
      <c r="J642" s="1302">
        <v>1240</v>
      </c>
      <c r="K642" s="1302">
        <v>1240</v>
      </c>
    </row>
    <row r="643" spans="1:11" s="551" customFormat="1">
      <c r="A643" s="550"/>
      <c r="B643" s="528" t="s">
        <v>1207</v>
      </c>
      <c r="C643" s="551">
        <v>0</v>
      </c>
      <c r="D643" s="1302">
        <v>1240</v>
      </c>
      <c r="E643" s="1302">
        <v>1240</v>
      </c>
      <c r="F643" s="1302">
        <v>1240</v>
      </c>
      <c r="G643" s="1302">
        <v>1240</v>
      </c>
      <c r="H643" s="1356">
        <v>1105.8326737920004</v>
      </c>
      <c r="I643" s="1356">
        <v>1105.8326737920004</v>
      </c>
      <c r="J643" s="1356">
        <v>1105.8326737920004</v>
      </c>
      <c r="K643" s="1356">
        <v>1105.8326737920004</v>
      </c>
    </row>
    <row r="644" spans="1:11" s="551" customFormat="1">
      <c r="A644" s="550"/>
      <c r="B644" s="528" t="s">
        <v>1208</v>
      </c>
      <c r="C644" s="551">
        <v>0</v>
      </c>
      <c r="D644" s="1302">
        <v>1240</v>
      </c>
      <c r="E644" s="1302">
        <v>1240</v>
      </c>
      <c r="F644" s="1302">
        <v>1240</v>
      </c>
      <c r="G644" s="1302">
        <v>1240</v>
      </c>
      <c r="H644" s="1356">
        <v>1105.8326737920004</v>
      </c>
      <c r="I644" s="1356">
        <v>1105.8326737920004</v>
      </c>
      <c r="J644" s="1356">
        <v>1105.8326737920004</v>
      </c>
      <c r="K644" s="1356">
        <v>1105.8326737920004</v>
      </c>
    </row>
    <row r="645" spans="1:11" s="551" customFormat="1">
      <c r="A645" s="550"/>
      <c r="B645" s="528" t="s">
        <v>1209</v>
      </c>
      <c r="C645" s="551">
        <v>0</v>
      </c>
      <c r="D645" s="1302">
        <v>1240</v>
      </c>
      <c r="E645" s="1302">
        <v>1240</v>
      </c>
      <c r="F645" s="1302">
        <v>1240</v>
      </c>
      <c r="G645" s="1302">
        <v>1240</v>
      </c>
      <c r="H645" s="1302">
        <v>1240</v>
      </c>
      <c r="I645" s="1302">
        <v>1240</v>
      </c>
      <c r="J645" s="1302">
        <v>1240</v>
      </c>
      <c r="K645" s="1302">
        <v>1240</v>
      </c>
    </row>
    <row r="646" spans="1:11" s="551" customFormat="1">
      <c r="A646" s="550"/>
      <c r="B646" s="528" t="s">
        <v>1210</v>
      </c>
      <c r="C646" s="551">
        <v>1083.7160203161602</v>
      </c>
      <c r="D646" s="1302">
        <v>1240</v>
      </c>
      <c r="E646" s="1302">
        <v>1240</v>
      </c>
      <c r="F646" s="1302">
        <v>1240</v>
      </c>
      <c r="G646" s="1302">
        <v>1240</v>
      </c>
      <c r="H646" s="1302">
        <v>1240</v>
      </c>
      <c r="I646" s="1302">
        <v>1240</v>
      </c>
      <c r="J646" s="1302">
        <v>1240</v>
      </c>
      <c r="K646" s="1302">
        <v>1240</v>
      </c>
    </row>
    <row r="647" spans="1:11" s="551" customFormat="1">
      <c r="A647" s="550"/>
      <c r="B647" s="528" t="s">
        <v>1211</v>
      </c>
      <c r="C647" s="551">
        <v>1238.5325946470402</v>
      </c>
      <c r="D647" s="1302">
        <v>1240</v>
      </c>
      <c r="E647" s="1302">
        <v>1240</v>
      </c>
      <c r="F647" s="1302">
        <v>1240</v>
      </c>
      <c r="G647" s="1355">
        <v>2034.7321197772803</v>
      </c>
      <c r="H647" s="1356">
        <v>1240</v>
      </c>
      <c r="I647" s="1356">
        <v>1240</v>
      </c>
      <c r="J647" s="1356">
        <v>1240</v>
      </c>
      <c r="K647" s="1356">
        <v>1240</v>
      </c>
    </row>
    <row r="648" spans="1:11" s="551" customFormat="1">
      <c r="A648" s="550"/>
      <c r="B648" s="528" t="s">
        <v>1212</v>
      </c>
      <c r="C648" s="551">
        <v>1240</v>
      </c>
      <c r="D648" s="1302">
        <v>2480</v>
      </c>
      <c r="E648" s="1302">
        <v>2480</v>
      </c>
      <c r="F648" s="1302">
        <v>2480</v>
      </c>
      <c r="G648" s="1302">
        <v>2480</v>
      </c>
      <c r="H648" s="1356">
        <v>2211.6653475840008</v>
      </c>
      <c r="I648" s="1356">
        <v>2211.6653475840008</v>
      </c>
      <c r="J648" s="1356">
        <v>2211.6653475840008</v>
      </c>
      <c r="K648" s="1356">
        <v>2211.6653475840008</v>
      </c>
    </row>
    <row r="649" spans="1:11" s="551" customFormat="1">
      <c r="A649" s="550"/>
      <c r="B649" s="528" t="s">
        <v>1213</v>
      </c>
      <c r="C649" s="551">
        <v>1240</v>
      </c>
      <c r="D649" s="1302">
        <v>2480</v>
      </c>
      <c r="E649" s="1302">
        <v>2480</v>
      </c>
      <c r="F649" s="1302">
        <v>2480</v>
      </c>
      <c r="G649" s="1302">
        <v>2480</v>
      </c>
      <c r="H649" s="1356">
        <v>2211.6653475840008</v>
      </c>
      <c r="I649" s="1356">
        <v>2211.6653475840008</v>
      </c>
      <c r="J649" s="1356">
        <v>2211.6653475840008</v>
      </c>
      <c r="K649" s="1356">
        <v>2211.6653475840008</v>
      </c>
    </row>
    <row r="650" spans="1:11" s="551" customFormat="1">
      <c r="A650" s="550"/>
      <c r="B650" s="528" t="s">
        <v>1214</v>
      </c>
      <c r="C650" s="551">
        <v>1240</v>
      </c>
      <c r="D650" s="1302">
        <v>2480</v>
      </c>
      <c r="E650" s="1302">
        <v>2480</v>
      </c>
      <c r="F650" s="1302">
        <v>2480</v>
      </c>
      <c r="G650" s="1302">
        <v>2480</v>
      </c>
      <c r="H650" s="1302">
        <v>2480</v>
      </c>
      <c r="I650" s="1302">
        <v>2480</v>
      </c>
      <c r="J650" s="1302">
        <v>2480</v>
      </c>
      <c r="K650" s="1302">
        <v>2480</v>
      </c>
    </row>
    <row r="651" spans="1:11" s="551" customFormat="1">
      <c r="A651" s="550"/>
      <c r="B651" s="528" t="s">
        <v>1215</v>
      </c>
      <c r="C651" s="551">
        <v>1240</v>
      </c>
      <c r="D651" s="1302">
        <v>2480</v>
      </c>
      <c r="E651" s="1302">
        <v>2480</v>
      </c>
      <c r="F651" s="1302">
        <v>2480</v>
      </c>
      <c r="G651" s="1302">
        <v>2480</v>
      </c>
      <c r="H651" s="1302">
        <v>2480</v>
      </c>
      <c r="I651" s="1302">
        <v>2480</v>
      </c>
      <c r="J651" s="1302">
        <v>2480</v>
      </c>
      <c r="K651" s="1302">
        <v>2480</v>
      </c>
    </row>
    <row r="652" spans="1:11" s="551" customFormat="1">
      <c r="A652" s="550"/>
      <c r="B652" s="528" t="s">
        <v>1216</v>
      </c>
      <c r="C652" s="551">
        <v>1240</v>
      </c>
      <c r="D652" s="1302">
        <v>2480</v>
      </c>
      <c r="E652" s="1302">
        <v>2480</v>
      </c>
      <c r="F652" s="1302">
        <v>2480</v>
      </c>
      <c r="G652" s="1302">
        <v>2480</v>
      </c>
      <c r="H652" s="1356">
        <v>2432.8318823424006</v>
      </c>
      <c r="I652" s="1356">
        <v>2432.8318823424006</v>
      </c>
      <c r="J652" s="1356">
        <v>2432.8318823424006</v>
      </c>
      <c r="K652" s="1356">
        <v>2432.8318823424006</v>
      </c>
    </row>
    <row r="653" spans="1:11" s="551" customFormat="1">
      <c r="A653" s="550"/>
      <c r="B653" s="528" t="s">
        <v>1217</v>
      </c>
      <c r="C653" s="551">
        <v>1083.7160203161602</v>
      </c>
      <c r="D653" s="1302">
        <v>1240</v>
      </c>
      <c r="E653" s="1302">
        <v>1240</v>
      </c>
      <c r="F653" s="1302">
        <v>1240</v>
      </c>
      <c r="G653" s="1302">
        <v>1240</v>
      </c>
      <c r="H653" s="1302">
        <v>1240</v>
      </c>
      <c r="I653" s="1302">
        <v>1240</v>
      </c>
      <c r="J653" s="1302">
        <v>1240</v>
      </c>
      <c r="K653" s="1302">
        <v>1240</v>
      </c>
    </row>
    <row r="654" spans="1:11" s="551" customFormat="1">
      <c r="A654" s="550"/>
      <c r="B654" s="528" t="s">
        <v>1218</v>
      </c>
      <c r="C654" s="551">
        <v>1083.7160203161602</v>
      </c>
      <c r="D654" s="1302">
        <v>1240</v>
      </c>
      <c r="E654" s="1302">
        <v>1240</v>
      </c>
      <c r="F654" s="1302">
        <v>1240</v>
      </c>
      <c r="G654" s="1302">
        <v>1240</v>
      </c>
      <c r="H654" s="1302">
        <v>1240</v>
      </c>
      <c r="I654" s="1302">
        <v>1240</v>
      </c>
      <c r="J654" s="1302">
        <v>1240</v>
      </c>
      <c r="K654" s="1302">
        <v>1240</v>
      </c>
    </row>
    <row r="655" spans="1:11" s="551" customFormat="1">
      <c r="A655" s="550"/>
      <c r="B655" s="528" t="s">
        <v>1219</v>
      </c>
      <c r="C655" s="551">
        <v>3447.8772174606338</v>
      </c>
      <c r="D655" s="1302">
        <v>2067.0782712607047</v>
      </c>
      <c r="E655" s="1302">
        <v>2067.0782712607047</v>
      </c>
      <c r="F655" s="1302">
        <v>2067.0782712607047</v>
      </c>
      <c r="G655" s="1302">
        <v>2067.0782712607047</v>
      </c>
      <c r="H655" s="1302">
        <v>2067.0782712607047</v>
      </c>
      <c r="I655" s="1302">
        <v>2067.0782712607047</v>
      </c>
      <c r="J655" s="1302">
        <v>2067.0782712607047</v>
      </c>
      <c r="K655" s="1302">
        <v>2067.0782712607047</v>
      </c>
    </row>
    <row r="656" spans="1:11" s="551" customFormat="1">
      <c r="A656" s="550"/>
      <c r="B656" s="528" t="s">
        <v>1220</v>
      </c>
      <c r="C656" s="551">
        <v>3447.8772174606338</v>
      </c>
      <c r="D656" s="1302">
        <v>2067.0782712607047</v>
      </c>
      <c r="E656" s="1302">
        <v>2067.0782712607047</v>
      </c>
      <c r="F656" s="1302">
        <v>2067.0782712607047</v>
      </c>
      <c r="G656" s="1302">
        <v>2067.0782712607047</v>
      </c>
      <c r="H656" s="1302">
        <v>2067.0782712607047</v>
      </c>
      <c r="I656" s="1302">
        <v>2067.0782712607047</v>
      </c>
      <c r="J656" s="1302">
        <v>2067.0782712607047</v>
      </c>
      <c r="K656" s="1302">
        <v>2067.0782712607047</v>
      </c>
    </row>
    <row r="657" spans="1:11" s="551" customFormat="1">
      <c r="A657" s="550"/>
      <c r="B657" s="528" t="s">
        <v>1221</v>
      </c>
      <c r="C657" s="551">
        <v>4427.9383313088001</v>
      </c>
      <c r="D657" s="1302">
        <v>2067.0782712607047</v>
      </c>
      <c r="E657" s="1302">
        <v>2067.0782712607047</v>
      </c>
      <c r="F657" s="1302">
        <v>2067.0782712607047</v>
      </c>
      <c r="G657" s="1302">
        <v>2067.0782712607047</v>
      </c>
      <c r="H657" s="1302">
        <v>2067.0782712607047</v>
      </c>
      <c r="I657" s="1302">
        <v>2067.0782712607047</v>
      </c>
      <c r="J657" s="1302">
        <v>2067.0782712607047</v>
      </c>
      <c r="K657" s="1302">
        <v>2067.0782712607047</v>
      </c>
    </row>
    <row r="658" spans="1:11" s="551" customFormat="1">
      <c r="A658" s="550"/>
      <c r="B658" s="528" t="s">
        <v>1222</v>
      </c>
      <c r="C658" s="551">
        <v>4721.0698689956334</v>
      </c>
      <c r="D658" s="1302">
        <v>8117.8869407328011</v>
      </c>
      <c r="E658" s="1302">
        <v>8117.8869407328011</v>
      </c>
      <c r="F658" s="1302">
        <v>8117.8869407328011</v>
      </c>
      <c r="G658" s="1302">
        <v>8117.8869407328011</v>
      </c>
      <c r="H658" s="1302">
        <v>8117.8869407328011</v>
      </c>
      <c r="I658" s="1302">
        <v>8117.8869407328011</v>
      </c>
      <c r="J658" s="1302">
        <v>8117.8869407328011</v>
      </c>
      <c r="K658" s="1302">
        <v>8117.8869407328011</v>
      </c>
    </row>
    <row r="659" spans="1:11" s="551" customFormat="1">
      <c r="A659" s="550"/>
      <c r="B659" s="528" t="s">
        <v>1223</v>
      </c>
      <c r="C659" s="551">
        <v>5665.2838427947599</v>
      </c>
      <c r="D659" s="1302">
        <v>7460.6284658040659</v>
      </c>
      <c r="E659" s="1302">
        <v>7460.6284658040659</v>
      </c>
      <c r="F659" s="1302">
        <v>7460.6284658040659</v>
      </c>
      <c r="G659" s="1302">
        <v>7460.6284658040659</v>
      </c>
      <c r="H659" s="1302">
        <v>7460.6284658040659</v>
      </c>
      <c r="I659" s="1302">
        <v>7460.6284658040659</v>
      </c>
      <c r="J659" s="1302">
        <v>7460.6284658040659</v>
      </c>
      <c r="K659" s="1302">
        <v>7460.6284658040659</v>
      </c>
    </row>
    <row r="660" spans="1:11" s="551" customFormat="1">
      <c r="A660" s="550"/>
      <c r="B660" s="528" t="s">
        <v>1224</v>
      </c>
      <c r="C660" s="551">
        <v>7379.8972188480011</v>
      </c>
      <c r="D660" s="1302">
        <v>9889.953716308195</v>
      </c>
      <c r="E660" s="1302">
        <v>9889.953716308195</v>
      </c>
      <c r="F660" s="1302">
        <v>9889.953716308195</v>
      </c>
      <c r="G660" s="1302">
        <v>9889.953716308195</v>
      </c>
      <c r="H660" s="1302">
        <v>9889.953716308195</v>
      </c>
      <c r="I660" s="1302">
        <v>9889.953716308195</v>
      </c>
      <c r="J660" s="1302">
        <v>9889.953716308195</v>
      </c>
      <c r="K660" s="1302">
        <v>9889.953716308195</v>
      </c>
    </row>
    <row r="661" spans="1:11" s="551" customFormat="1">
      <c r="A661" s="550"/>
      <c r="B661" s="528" t="s">
        <v>1225</v>
      </c>
      <c r="C661" s="551">
        <v>7379.8972188480011</v>
      </c>
      <c r="D661" s="1302">
        <v>9889.953716308195</v>
      </c>
      <c r="E661" s="1302">
        <v>9889.953716308195</v>
      </c>
      <c r="F661" s="1302">
        <v>9889.953716308195</v>
      </c>
      <c r="G661" s="1302">
        <v>9889.953716308195</v>
      </c>
      <c r="H661" s="1302">
        <v>9889.953716308195</v>
      </c>
      <c r="I661" s="1302">
        <v>9889.953716308195</v>
      </c>
      <c r="J661" s="1302">
        <v>9889.953716308195</v>
      </c>
      <c r="K661" s="1302">
        <v>9889.953716308195</v>
      </c>
    </row>
    <row r="662" spans="1:11" s="551" customFormat="1">
      <c r="A662" s="550"/>
      <c r="B662" s="528" t="s">
        <v>1226</v>
      </c>
      <c r="C662" s="551">
        <v>8849.7584083372822</v>
      </c>
      <c r="D662" s="1302">
        <v>8627.4314214463848</v>
      </c>
      <c r="E662" s="1302">
        <v>8627.4314214463848</v>
      </c>
      <c r="F662" s="1302">
        <v>8627.4314214463848</v>
      </c>
      <c r="G662" s="1302">
        <v>8627.4314214463848</v>
      </c>
      <c r="H662" s="1302">
        <v>8627.4314214463848</v>
      </c>
      <c r="I662" s="1302">
        <v>8627.4314214463848</v>
      </c>
      <c r="J662" s="1302">
        <v>8627.4314214463848</v>
      </c>
      <c r="K662" s="1302">
        <v>8627.4314214463848</v>
      </c>
    </row>
    <row r="663" spans="1:11" s="551" customFormat="1">
      <c r="A663" s="550"/>
      <c r="B663" s="528" t="s">
        <v>1227</v>
      </c>
      <c r="C663" s="551">
        <v>8849.7584083372822</v>
      </c>
      <c r="D663" s="1302">
        <v>8627.4314214463848</v>
      </c>
      <c r="E663" s="1302">
        <v>8627.4314214463848</v>
      </c>
      <c r="F663" s="1302">
        <v>8627.4314214463848</v>
      </c>
      <c r="G663" s="1302">
        <v>8627.4314214463848</v>
      </c>
      <c r="H663" s="1302">
        <v>8627.4314214463848</v>
      </c>
      <c r="I663" s="1302">
        <v>8627.4314214463848</v>
      </c>
      <c r="J663" s="1302">
        <v>8627.4314214463848</v>
      </c>
      <c r="K663" s="1302">
        <v>8627.4314214463848</v>
      </c>
    </row>
    <row r="664" spans="1:11" s="551" customFormat="1">
      <c r="A664" s="550"/>
      <c r="B664" s="528" t="s">
        <v>1228</v>
      </c>
      <c r="C664" s="551">
        <v>7721.1463352777064</v>
      </c>
      <c r="D664" s="1302">
        <v>7639.4952681388013</v>
      </c>
      <c r="E664" s="1302">
        <v>7639.4952681388013</v>
      </c>
      <c r="F664" s="1302">
        <v>7639.4952681388013</v>
      </c>
      <c r="G664" s="1302">
        <v>7639.4952681388013</v>
      </c>
      <c r="H664" s="1302">
        <v>7639.4952681388013</v>
      </c>
      <c r="I664" s="1302">
        <v>7639.4952681388013</v>
      </c>
      <c r="J664" s="1302">
        <v>7639.4952681388013</v>
      </c>
      <c r="K664" s="1302">
        <v>7639.4952681388013</v>
      </c>
    </row>
    <row r="665" spans="1:11" s="551" customFormat="1">
      <c r="A665" s="550"/>
      <c r="B665" s="528" t="s">
        <v>1229</v>
      </c>
      <c r="C665" s="551">
        <v>4721.0698689956334</v>
      </c>
      <c r="D665" s="1302">
        <v>1837.6062322946175</v>
      </c>
      <c r="E665" s="1302">
        <v>1837.6062322946175</v>
      </c>
      <c r="F665" s="1302">
        <v>1837.6062322946175</v>
      </c>
      <c r="G665" s="1302">
        <v>1837.6062322946175</v>
      </c>
      <c r="H665" s="1302">
        <v>1837.6062322946175</v>
      </c>
      <c r="I665" s="1302">
        <v>1837.6062322946175</v>
      </c>
      <c r="J665" s="1302">
        <v>1837.6062322946175</v>
      </c>
      <c r="K665" s="1302">
        <v>1837.6062322946175</v>
      </c>
    </row>
    <row r="666" spans="1:11" s="551" customFormat="1">
      <c r="A666" s="550"/>
      <c r="B666" s="528" t="s">
        <v>1230</v>
      </c>
      <c r="C666" s="551">
        <v>4721.0698689956334</v>
      </c>
      <c r="D666" s="1302">
        <v>1837.6062322946175</v>
      </c>
      <c r="E666" s="1302">
        <v>1837.6062322946175</v>
      </c>
      <c r="F666" s="1302">
        <v>1837.6062322946175</v>
      </c>
      <c r="G666" s="1302">
        <v>1837.6062322946175</v>
      </c>
      <c r="H666" s="1302">
        <v>1837.6062322946175</v>
      </c>
      <c r="I666" s="1302">
        <v>1837.6062322946175</v>
      </c>
      <c r="J666" s="1302">
        <v>1837.6062322946175</v>
      </c>
      <c r="K666" s="1302">
        <v>1837.6062322946175</v>
      </c>
    </row>
    <row r="667" spans="1:11" s="551" customFormat="1">
      <c r="A667" s="550"/>
      <c r="B667" s="528" t="s">
        <v>1231</v>
      </c>
      <c r="C667" s="551">
        <v>4189.877130700801</v>
      </c>
      <c r="D667" s="1302">
        <v>2088.8150943396226</v>
      </c>
      <c r="E667" s="1302">
        <v>2088.8150943396226</v>
      </c>
      <c r="F667" s="1302">
        <v>2088.8150943396226</v>
      </c>
      <c r="G667" s="1302">
        <v>2088.8150943396226</v>
      </c>
      <c r="H667" s="1302">
        <v>2088.8150943396226</v>
      </c>
      <c r="I667" s="1302">
        <v>2088.8150943396226</v>
      </c>
      <c r="J667" s="1302">
        <v>2088.8150943396226</v>
      </c>
      <c r="K667" s="1302">
        <v>2088.8150943396226</v>
      </c>
    </row>
    <row r="668" spans="1:11" s="551" customFormat="1">
      <c r="A668" s="550"/>
      <c r="B668" s="528" t="s">
        <v>1232</v>
      </c>
      <c r="C668" s="551">
        <v>4189.877130700801</v>
      </c>
      <c r="D668" s="1302">
        <v>2088.8150943396226</v>
      </c>
      <c r="E668" s="1302">
        <v>2088.8150943396226</v>
      </c>
      <c r="F668" s="1302">
        <v>2088.8150943396226</v>
      </c>
      <c r="G668" s="1302">
        <v>2088.8150943396226</v>
      </c>
      <c r="H668" s="1302">
        <v>2088.8150943396226</v>
      </c>
      <c r="I668" s="1302">
        <v>2088.8150943396226</v>
      </c>
      <c r="J668" s="1302">
        <v>2088.8150943396226</v>
      </c>
      <c r="K668" s="1302">
        <v>2088.8150943396226</v>
      </c>
    </row>
    <row r="669" spans="1:11" s="551" customFormat="1">
      <c r="A669" s="550"/>
      <c r="B669" s="528" t="s">
        <v>1233</v>
      </c>
      <c r="C669" s="551">
        <v>4567.1287128712866</v>
      </c>
      <c r="D669" s="1302">
        <v>2088.8150943396226</v>
      </c>
      <c r="E669" s="1302">
        <v>2088.8150943396226</v>
      </c>
      <c r="F669" s="1302">
        <v>2088.8150943396226</v>
      </c>
      <c r="G669" s="1302">
        <v>2088.8150943396226</v>
      </c>
      <c r="H669" s="1302">
        <v>2088.8150943396226</v>
      </c>
      <c r="I669" s="1302">
        <v>2088.8150943396226</v>
      </c>
      <c r="J669" s="1302">
        <v>2088.8150943396226</v>
      </c>
      <c r="K669" s="1302">
        <v>2088.8150943396226</v>
      </c>
    </row>
    <row r="670" spans="1:11" s="551" customFormat="1">
      <c r="A670" s="550"/>
      <c r="B670" s="528" t="s">
        <v>1234</v>
      </c>
      <c r="C670" s="551">
        <v>5694.8148148148148</v>
      </c>
      <c r="D670" s="1302">
        <v>9217.7296875417615</v>
      </c>
      <c r="E670" s="1302">
        <v>9217.7296875417615</v>
      </c>
      <c r="F670" s="1302">
        <v>9217.7296875417615</v>
      </c>
      <c r="G670" s="1302">
        <v>9217.7296875417615</v>
      </c>
      <c r="H670" s="1302">
        <v>9217.7296875417615</v>
      </c>
      <c r="I670" s="1302">
        <v>9217.7296875417615</v>
      </c>
      <c r="J670" s="1302">
        <v>9217.7296875417615</v>
      </c>
      <c r="K670" s="1302">
        <v>9217.7296875417615</v>
      </c>
    </row>
    <row r="671" spans="1:11" s="551" customFormat="1">
      <c r="A671" s="550"/>
      <c r="B671" s="528" t="s">
        <v>1235</v>
      </c>
      <c r="C671" s="551">
        <v>6643.9506172839501</v>
      </c>
      <c r="D671" s="1302">
        <v>8601.9580419580434</v>
      </c>
      <c r="E671" s="1302">
        <v>8601.9580419580434</v>
      </c>
      <c r="F671" s="1302">
        <v>8601.9580419580434</v>
      </c>
      <c r="G671" s="1302">
        <v>8601.9580419580434</v>
      </c>
      <c r="H671" s="1302">
        <v>8601.9580419580434</v>
      </c>
      <c r="I671" s="1302">
        <v>8601.9580419580434</v>
      </c>
      <c r="J671" s="1302">
        <v>8601.9580419580434</v>
      </c>
      <c r="K671" s="1302">
        <v>8601.9580419580434</v>
      </c>
    </row>
    <row r="672" spans="1:11" s="551" customFormat="1">
      <c r="A672" s="550"/>
      <c r="B672" s="528" t="s">
        <v>1236</v>
      </c>
      <c r="C672" s="551">
        <v>8379.754261401602</v>
      </c>
      <c r="D672" s="1302">
        <v>11067.557840616966</v>
      </c>
      <c r="E672" s="1302">
        <v>11067.557840616966</v>
      </c>
      <c r="F672" s="1302">
        <v>11067.557840616966</v>
      </c>
      <c r="G672" s="1302">
        <v>11067.557840616966</v>
      </c>
      <c r="H672" s="1302">
        <v>11067.557840616966</v>
      </c>
      <c r="I672" s="1302">
        <v>11067.557840616966</v>
      </c>
      <c r="J672" s="1302">
        <v>11067.557840616966</v>
      </c>
      <c r="K672" s="1302">
        <v>11067.557840616966</v>
      </c>
    </row>
    <row r="673" spans="1:11" s="551" customFormat="1">
      <c r="A673" s="550"/>
      <c r="B673" s="528" t="s">
        <v>1237</v>
      </c>
      <c r="C673" s="551">
        <v>8379.754261401602</v>
      </c>
      <c r="D673" s="1302">
        <v>11067.557840616966</v>
      </c>
      <c r="E673" s="1302">
        <v>11067.557840616966</v>
      </c>
      <c r="F673" s="1302">
        <v>11067.557840616966</v>
      </c>
      <c r="G673" s="1302">
        <v>11067.557840616966</v>
      </c>
      <c r="H673" s="1302">
        <v>11067.557840616966</v>
      </c>
      <c r="I673" s="1302">
        <v>11067.557840616966</v>
      </c>
      <c r="J673" s="1302">
        <v>11067.557840616966</v>
      </c>
      <c r="K673" s="1302">
        <v>11067.557840616966</v>
      </c>
    </row>
    <row r="674" spans="1:11" s="551" customFormat="1">
      <c r="A674" s="550"/>
      <c r="B674" s="528" t="s">
        <v>1238</v>
      </c>
      <c r="C674" s="551">
        <v>9877.5160599571736</v>
      </c>
      <c r="D674" s="1302">
        <v>9785.550972304065</v>
      </c>
      <c r="E674" s="1302">
        <v>9785.550972304065</v>
      </c>
      <c r="F674" s="1302">
        <v>9785.550972304065</v>
      </c>
      <c r="G674" s="1302">
        <v>9785.550972304065</v>
      </c>
      <c r="H674" s="1302">
        <v>9785.550972304065</v>
      </c>
      <c r="I674" s="1302">
        <v>9785.550972304065</v>
      </c>
      <c r="J674" s="1302">
        <v>9785.550972304065</v>
      </c>
      <c r="K674" s="1302">
        <v>9785.550972304065</v>
      </c>
    </row>
    <row r="675" spans="1:11" s="551" customFormat="1">
      <c r="A675" s="550"/>
      <c r="B675" s="528" t="s">
        <v>1239</v>
      </c>
      <c r="C675" s="551">
        <v>9877.5160599571736</v>
      </c>
      <c r="D675" s="1302">
        <v>9785.550972304065</v>
      </c>
      <c r="E675" s="1302">
        <v>9785.550972304065</v>
      </c>
      <c r="F675" s="1302">
        <v>9785.550972304065</v>
      </c>
      <c r="G675" s="1302">
        <v>9785.550972304065</v>
      </c>
      <c r="H675" s="1302">
        <v>9785.550972304065</v>
      </c>
      <c r="I675" s="1302">
        <v>9785.550972304065</v>
      </c>
      <c r="J675" s="1302">
        <v>9785.550972304065</v>
      </c>
      <c r="K675" s="1302">
        <v>9785.550972304065</v>
      </c>
    </row>
    <row r="676" spans="1:11" s="551" customFormat="1">
      <c r="A676" s="550"/>
      <c r="B676" s="528" t="s">
        <v>1240</v>
      </c>
      <c r="C676" s="551">
        <v>8728.3486238532114</v>
      </c>
      <c r="D676" s="1302">
        <v>8796.7580452920138</v>
      </c>
      <c r="E676" s="1302">
        <v>8796.7580452920138</v>
      </c>
      <c r="F676" s="1302">
        <v>8796.7580452920138</v>
      </c>
      <c r="G676" s="1302">
        <v>8796.7580452920138</v>
      </c>
      <c r="H676" s="1302">
        <v>8796.7580452920138</v>
      </c>
      <c r="I676" s="1302">
        <v>8796.7580452920138</v>
      </c>
      <c r="J676" s="1302">
        <v>8796.7580452920138</v>
      </c>
      <c r="K676" s="1302">
        <v>8796.7580452920138</v>
      </c>
    </row>
    <row r="677" spans="1:11" s="551" customFormat="1">
      <c r="A677" s="550"/>
      <c r="B677" s="528" t="s">
        <v>1241</v>
      </c>
      <c r="C677" s="551">
        <v>5694.8148148148148</v>
      </c>
      <c r="D677" s="1302">
        <v>1867.8454530116414</v>
      </c>
      <c r="E677" s="1302">
        <v>1867.8454530116414</v>
      </c>
      <c r="F677" s="1302">
        <v>1867.8454530116414</v>
      </c>
      <c r="G677" s="1302">
        <v>1867.8454530116414</v>
      </c>
      <c r="H677" s="1302">
        <v>1867.8454530116414</v>
      </c>
      <c r="I677" s="1302">
        <v>1867.8454530116414</v>
      </c>
      <c r="J677" s="1302">
        <v>1867.8454530116414</v>
      </c>
      <c r="K677" s="1302">
        <v>1867.8454530116414</v>
      </c>
    </row>
    <row r="678" spans="1:11" s="551" customFormat="1">
      <c r="A678" s="550"/>
      <c r="B678" s="528" t="s">
        <v>1242</v>
      </c>
      <c r="C678" s="551">
        <v>5694.8148148148148</v>
      </c>
      <c r="D678" s="1302">
        <v>1867.8454530116414</v>
      </c>
      <c r="E678" s="1302">
        <v>1867.8454530116414</v>
      </c>
      <c r="F678" s="1302">
        <v>1867.8454530116414</v>
      </c>
      <c r="G678" s="1302">
        <v>1867.8454530116414</v>
      </c>
      <c r="H678" s="1302">
        <v>1867.8454530116414</v>
      </c>
      <c r="I678" s="1302">
        <v>1867.8454530116414</v>
      </c>
      <c r="J678" s="1302">
        <v>1867.8454530116414</v>
      </c>
      <c r="K678" s="1302">
        <v>1867.8454530116414</v>
      </c>
    </row>
    <row r="679" spans="1:11" s="551" customFormat="1">
      <c r="A679" s="550"/>
      <c r="B679" s="528" t="s">
        <v>1243</v>
      </c>
      <c r="C679" s="551">
        <v>4551.2938153789682</v>
      </c>
      <c r="D679" s="1302">
        <v>2128.755364806867</v>
      </c>
      <c r="E679" s="1302">
        <v>2128.755364806867</v>
      </c>
      <c r="F679" s="1302">
        <v>2128.755364806867</v>
      </c>
      <c r="G679" s="1302">
        <v>2128.755364806867</v>
      </c>
      <c r="H679" s="1356">
        <v>2948.8871301120007</v>
      </c>
      <c r="I679" s="1356">
        <v>2948.8871301120007</v>
      </c>
      <c r="J679" s="1356">
        <v>2948.8871301120007</v>
      </c>
      <c r="K679" s="1356">
        <v>2948.8871301120007</v>
      </c>
    </row>
    <row r="680" spans="1:11" s="551" customFormat="1">
      <c r="A680" s="550"/>
      <c r="B680" s="528" t="s">
        <v>1244</v>
      </c>
      <c r="C680" s="551">
        <v>4551.2938153789682</v>
      </c>
      <c r="D680" s="1302">
        <v>2128.755364806867</v>
      </c>
      <c r="E680" s="1302">
        <v>2128.755364806867</v>
      </c>
      <c r="F680" s="1302">
        <v>2128.755364806867</v>
      </c>
      <c r="G680" s="1302">
        <v>2128.755364806867</v>
      </c>
      <c r="H680" s="1356">
        <v>2948.8871301120007</v>
      </c>
      <c r="I680" s="1356">
        <v>2948.8871301120007</v>
      </c>
      <c r="J680" s="1356">
        <v>2948.8871301120007</v>
      </c>
      <c r="K680" s="1356">
        <v>2948.8871301120007</v>
      </c>
    </row>
    <row r="681" spans="1:11" s="551" customFormat="1">
      <c r="A681" s="550"/>
      <c r="B681" s="528" t="s">
        <v>1245</v>
      </c>
      <c r="C681" s="551">
        <v>5714.8343734997588</v>
      </c>
      <c r="D681" s="1302">
        <v>2128.755364806867</v>
      </c>
      <c r="E681" s="1302">
        <v>2128.755364806867</v>
      </c>
      <c r="F681" s="1302">
        <v>2128.755364806867</v>
      </c>
      <c r="G681" s="1302">
        <v>2128.755364806867</v>
      </c>
      <c r="H681" s="1356">
        <v>2948.8871301120007</v>
      </c>
      <c r="I681" s="1356">
        <v>2948.8871301120007</v>
      </c>
      <c r="J681" s="1356">
        <v>2948.8871301120007</v>
      </c>
      <c r="K681" s="1356">
        <v>2948.8871301120007</v>
      </c>
    </row>
    <row r="682" spans="1:11" s="551" customFormat="1">
      <c r="A682" s="550"/>
      <c r="B682" s="528" t="s">
        <v>1246</v>
      </c>
      <c r="C682" s="551">
        <v>6880.7366369280016</v>
      </c>
      <c r="D682" s="1302">
        <v>10679.425837320576</v>
      </c>
      <c r="E682" s="1302">
        <v>10679.425837320576</v>
      </c>
      <c r="F682" s="1302">
        <v>10679.425837320576</v>
      </c>
      <c r="G682" s="1302">
        <v>10679.425837320576</v>
      </c>
      <c r="H682" s="1356">
        <v>10514.775160599573</v>
      </c>
      <c r="I682" s="1356">
        <v>10514.775160599573</v>
      </c>
      <c r="J682" s="1356">
        <v>10514.775160599573</v>
      </c>
      <c r="K682" s="1356">
        <v>10514.775160599573</v>
      </c>
    </row>
    <row r="683" spans="1:11" s="551" customFormat="1">
      <c r="A683" s="550"/>
      <c r="B683" s="528" t="s">
        <v>1247</v>
      </c>
      <c r="C683" s="551">
        <v>7863.6990136320019</v>
      </c>
      <c r="D683" s="1302">
        <v>10812.586143744002</v>
      </c>
      <c r="E683" s="1302">
        <v>10812.586143744002</v>
      </c>
      <c r="F683" s="1302">
        <v>10812.586143744002</v>
      </c>
      <c r="G683" s="1302">
        <v>10812.586143744002</v>
      </c>
      <c r="H683" s="1356">
        <v>10472.168905950095</v>
      </c>
      <c r="I683" s="1356">
        <v>10472.168905950095</v>
      </c>
      <c r="J683" s="1356">
        <v>10472.168905950095</v>
      </c>
      <c r="K683" s="1356">
        <v>10472.168905950095</v>
      </c>
    </row>
    <row r="684" spans="1:11" s="551" customFormat="1">
      <c r="A684" s="550"/>
      <c r="B684" s="528" t="s">
        <v>1248</v>
      </c>
      <c r="C684" s="551">
        <v>9829.6237670400023</v>
      </c>
      <c r="D684" s="1302">
        <v>13453.01905069422</v>
      </c>
      <c r="E684" s="1302">
        <v>13453.01905069422</v>
      </c>
      <c r="F684" s="1302">
        <v>13453.01905069422</v>
      </c>
      <c r="G684" s="1302">
        <v>13453.01905069422</v>
      </c>
      <c r="H684" s="1356">
        <v>12999.687987519501</v>
      </c>
      <c r="I684" s="1356">
        <v>12999.687987519501</v>
      </c>
      <c r="J684" s="1356">
        <v>12999.687987519501</v>
      </c>
      <c r="K684" s="1356">
        <v>12999.687987519501</v>
      </c>
    </row>
    <row r="685" spans="1:11" s="551" customFormat="1">
      <c r="A685" s="550"/>
      <c r="B685" s="528" t="s">
        <v>1249</v>
      </c>
      <c r="C685" s="551">
        <v>9829.6237670400023</v>
      </c>
      <c r="D685" s="1302">
        <v>13453.01905069422</v>
      </c>
      <c r="E685" s="1302">
        <v>13453.01905069422</v>
      </c>
      <c r="F685" s="1302">
        <v>13453.01905069422</v>
      </c>
      <c r="G685" s="1302">
        <v>13453.01905069422</v>
      </c>
      <c r="H685" s="1356">
        <v>12999.687987519501</v>
      </c>
      <c r="I685" s="1356">
        <v>12999.687987519501</v>
      </c>
      <c r="J685" s="1356">
        <v>12999.687987519501</v>
      </c>
      <c r="K685" s="1356">
        <v>12999.687987519501</v>
      </c>
    </row>
    <row r="686" spans="1:11" s="551" customFormat="1">
      <c r="A686" s="550"/>
      <c r="B686" s="528" t="s">
        <v>1250</v>
      </c>
      <c r="C686" s="551">
        <v>11220.565552699227</v>
      </c>
      <c r="D686" s="1302">
        <v>11034.482758620692</v>
      </c>
      <c r="E686" s="1302">
        <v>11034.482758620692</v>
      </c>
      <c r="F686" s="1302">
        <v>11034.482758620692</v>
      </c>
      <c r="G686" s="1302">
        <v>11034.482758620692</v>
      </c>
      <c r="H686" s="1356">
        <v>11670.588235294119</v>
      </c>
      <c r="I686" s="1356">
        <v>11670.588235294119</v>
      </c>
      <c r="J686" s="1356">
        <v>11670.588235294119</v>
      </c>
      <c r="K686" s="1356">
        <v>11670.588235294119</v>
      </c>
    </row>
    <row r="687" spans="1:11" s="551" customFormat="1">
      <c r="A687" s="550"/>
      <c r="B687" s="528" t="s">
        <v>1251</v>
      </c>
      <c r="C687" s="551">
        <v>11220.565552699227</v>
      </c>
      <c r="D687" s="1302">
        <v>11034.482758620692</v>
      </c>
      <c r="E687" s="1302">
        <v>11034.482758620692</v>
      </c>
      <c r="F687" s="1302">
        <v>11034.482758620692</v>
      </c>
      <c r="G687" s="1302">
        <v>11034.482758620692</v>
      </c>
      <c r="H687" s="1356">
        <v>11670.588235294119</v>
      </c>
      <c r="I687" s="1356">
        <v>11670.588235294119</v>
      </c>
      <c r="J687" s="1356">
        <v>11670.588235294119</v>
      </c>
      <c r="K687" s="1356">
        <v>11670.588235294119</v>
      </c>
    </row>
    <row r="688" spans="1:11" s="551" customFormat="1">
      <c r="A688" s="550"/>
      <c r="B688" s="528" t="s">
        <v>1252</v>
      </c>
      <c r="C688" s="551">
        <v>10038.638454461821</v>
      </c>
      <c r="D688" s="1302">
        <v>10031.460674157304</v>
      </c>
      <c r="E688" s="1302">
        <v>10031.460674157304</v>
      </c>
      <c r="F688" s="1302">
        <v>10031.460674157304</v>
      </c>
      <c r="G688" s="1302">
        <v>10031.460674157304</v>
      </c>
      <c r="H688" s="1356">
        <v>10750.738916256158</v>
      </c>
      <c r="I688" s="1356">
        <v>10750.738916256158</v>
      </c>
      <c r="J688" s="1356">
        <v>10750.738916256158</v>
      </c>
      <c r="K688" s="1356">
        <v>10750.738916256158</v>
      </c>
    </row>
    <row r="689" spans="1:11" s="551" customFormat="1">
      <c r="A689" s="550"/>
      <c r="B689" s="528" t="s">
        <v>1253</v>
      </c>
      <c r="C689" s="551">
        <v>6880.7366369280016</v>
      </c>
      <c r="D689" s="1302">
        <v>2886.5179437439378</v>
      </c>
      <c r="E689" s="1302">
        <v>2886.5179437439378</v>
      </c>
      <c r="F689" s="1302">
        <v>2886.5179437439378</v>
      </c>
      <c r="G689" s="1302">
        <v>2886.5179437439378</v>
      </c>
      <c r="H689" s="1356">
        <v>2669.0582959641256</v>
      </c>
      <c r="I689" s="1356">
        <v>2669.0582959641256</v>
      </c>
      <c r="J689" s="1356">
        <v>2669.0582959641256</v>
      </c>
      <c r="K689" s="1356">
        <v>2669.0582959641256</v>
      </c>
    </row>
    <row r="690" spans="1:11" s="551" customFormat="1">
      <c r="A690" s="550"/>
      <c r="B690" s="528" t="s">
        <v>1254</v>
      </c>
      <c r="C690" s="551">
        <v>6880.7366369280016</v>
      </c>
      <c r="D690" s="1302">
        <v>2886.5179437439378</v>
      </c>
      <c r="E690" s="1302">
        <v>2886.5179437439378</v>
      </c>
      <c r="F690" s="1302">
        <v>2886.5179437439378</v>
      </c>
      <c r="G690" s="1302">
        <v>2886.5179437439378</v>
      </c>
      <c r="H690" s="1356">
        <v>2669.0582959641256</v>
      </c>
      <c r="I690" s="1356">
        <v>2669.0582959641256</v>
      </c>
      <c r="J690" s="1356">
        <v>2669.0582959641256</v>
      </c>
      <c r="K690" s="1356">
        <v>2669.0582959641256</v>
      </c>
    </row>
    <row r="691" spans="1:11" s="551" customFormat="1">
      <c r="A691" s="550"/>
      <c r="B691" s="528" t="s">
        <v>1255</v>
      </c>
      <c r="C691" s="551">
        <v>4509.9371892960007</v>
      </c>
      <c r="D691" s="1302">
        <v>1991.7098445595855</v>
      </c>
      <c r="E691" s="1302">
        <v>1991.7098445595855</v>
      </c>
      <c r="F691" s="1302">
        <v>1991.7098445595855</v>
      </c>
      <c r="G691" s="1302">
        <v>1991.7098445595855</v>
      </c>
      <c r="H691" s="1302">
        <v>1991.7098445595855</v>
      </c>
      <c r="I691" s="1302">
        <v>1991.7098445595855</v>
      </c>
      <c r="J691" s="1302">
        <v>1991.7098445595855</v>
      </c>
      <c r="K691" s="1302">
        <v>1991.7098445595855</v>
      </c>
    </row>
    <row r="692" spans="1:11" s="551" customFormat="1">
      <c r="A692" s="550"/>
      <c r="B692" s="528" t="s">
        <v>1256</v>
      </c>
      <c r="C692" s="551">
        <v>4509.9371892960007</v>
      </c>
      <c r="D692" s="1302">
        <v>2059.2857142857142</v>
      </c>
      <c r="E692" s="1302">
        <v>2059.2857142857142</v>
      </c>
      <c r="F692" s="1302">
        <v>2059.2857142857142</v>
      </c>
      <c r="G692" s="1302">
        <v>2059.2857142857142</v>
      </c>
      <c r="H692" s="1302">
        <v>2059.2857142857142</v>
      </c>
      <c r="I692" s="1302">
        <v>2059.2857142857142</v>
      </c>
      <c r="J692" s="1302">
        <v>2059.2857142857142</v>
      </c>
      <c r="K692" s="1302">
        <v>2059.2857142857142</v>
      </c>
    </row>
    <row r="693" spans="1:11" s="551" customFormat="1">
      <c r="A693" s="550"/>
      <c r="B693" s="528" t="s">
        <v>1257</v>
      </c>
      <c r="C693" s="551">
        <v>4849.0825688073392</v>
      </c>
      <c r="D693" s="1302">
        <v>1991.7098445595855</v>
      </c>
      <c r="E693" s="1302">
        <v>1991.7098445595855</v>
      </c>
      <c r="F693" s="1302">
        <v>1991.7098445595855</v>
      </c>
      <c r="G693" s="1302">
        <v>1991.7098445595855</v>
      </c>
      <c r="H693" s="1302">
        <v>1991.7098445595855</v>
      </c>
      <c r="I693" s="1302">
        <v>1991.7098445595855</v>
      </c>
      <c r="J693" s="1302">
        <v>1991.7098445595855</v>
      </c>
      <c r="K693" s="1302">
        <v>1991.7098445595855</v>
      </c>
    </row>
    <row r="694" spans="1:11" s="551" customFormat="1">
      <c r="A694" s="550"/>
      <c r="B694" s="528" t="s">
        <v>1258</v>
      </c>
      <c r="C694" s="551">
        <v>5818.899082568807</v>
      </c>
      <c r="D694" s="1302">
        <v>9298.2957669048919</v>
      </c>
      <c r="E694" s="1302">
        <v>9298.2957669048919</v>
      </c>
      <c r="F694" s="1302">
        <v>9298.2957669048919</v>
      </c>
      <c r="G694" s="1302">
        <v>9298.2957669048919</v>
      </c>
      <c r="H694" s="1302">
        <v>9298.2957669048919</v>
      </c>
      <c r="I694" s="1302">
        <v>9298.2957669048919</v>
      </c>
      <c r="J694" s="1302">
        <v>9298.2957669048919</v>
      </c>
      <c r="K694" s="1302">
        <v>9298.2957669048919</v>
      </c>
    </row>
    <row r="695" spans="1:11" s="551" customFormat="1">
      <c r="A695" s="550"/>
      <c r="B695" s="528" t="s">
        <v>1259</v>
      </c>
      <c r="C695" s="551">
        <v>6788.7155963302748</v>
      </c>
      <c r="D695" s="1302">
        <v>9921.8618164512009</v>
      </c>
      <c r="E695" s="1302">
        <v>9921.8618164512009</v>
      </c>
      <c r="F695" s="1302">
        <v>9921.8618164512009</v>
      </c>
      <c r="G695" s="1302">
        <v>9921.8618164512009</v>
      </c>
      <c r="H695" s="1302">
        <v>9921.8618164512009</v>
      </c>
      <c r="I695" s="1302">
        <v>9921.8618164512009</v>
      </c>
      <c r="J695" s="1302">
        <v>9921.8618164512009</v>
      </c>
      <c r="K695" s="1302">
        <v>9921.8618164512009</v>
      </c>
    </row>
    <row r="696" spans="1:11" s="551" customFormat="1">
      <c r="A696" s="550"/>
      <c r="B696" s="528" t="s">
        <v>1260</v>
      </c>
      <c r="C696" s="551">
        <v>8728.3486238532132</v>
      </c>
      <c r="D696" s="1302">
        <v>12441.698192517864</v>
      </c>
      <c r="E696" s="1302">
        <v>12441.698192517864</v>
      </c>
      <c r="F696" s="1302">
        <v>12441.698192517864</v>
      </c>
      <c r="G696" s="1302">
        <v>12441.698192517864</v>
      </c>
      <c r="H696" s="1302">
        <v>12441.698192517864</v>
      </c>
      <c r="I696" s="1302">
        <v>12441.698192517864</v>
      </c>
      <c r="J696" s="1302">
        <v>12441.698192517864</v>
      </c>
      <c r="K696" s="1302">
        <v>12441.698192517864</v>
      </c>
    </row>
    <row r="697" spans="1:11" s="551" customFormat="1">
      <c r="A697" s="550"/>
      <c r="B697" s="528" t="s">
        <v>1261</v>
      </c>
      <c r="C697" s="551">
        <v>8728.3486238532132</v>
      </c>
      <c r="D697" s="1302">
        <v>12441.698192517864</v>
      </c>
      <c r="E697" s="1302">
        <v>12441.698192517864</v>
      </c>
      <c r="F697" s="1302">
        <v>12441.698192517864</v>
      </c>
      <c r="G697" s="1302">
        <v>12441.698192517864</v>
      </c>
      <c r="H697" s="1302">
        <v>12441.698192517864</v>
      </c>
      <c r="I697" s="1302">
        <v>12441.698192517864</v>
      </c>
      <c r="J697" s="1302">
        <v>12441.698192517864</v>
      </c>
      <c r="K697" s="1302">
        <v>12441.698192517864</v>
      </c>
    </row>
    <row r="698" spans="1:11" s="551" customFormat="1">
      <c r="A698" s="550"/>
      <c r="B698" s="528" t="s">
        <v>1262</v>
      </c>
      <c r="C698" s="551">
        <v>10823.849254310402</v>
      </c>
      <c r="D698" s="1302">
        <v>10032.672788786853</v>
      </c>
      <c r="E698" s="1302">
        <v>10032.672788786853</v>
      </c>
      <c r="F698" s="1302">
        <v>10032.672788786853</v>
      </c>
      <c r="G698" s="1302">
        <v>10032.672788786853</v>
      </c>
      <c r="H698" s="1302">
        <v>10032.672788786853</v>
      </c>
      <c r="I698" s="1302">
        <v>10032.672788786853</v>
      </c>
      <c r="J698" s="1302">
        <v>10032.672788786853</v>
      </c>
      <c r="K698" s="1302">
        <v>10032.672788786853</v>
      </c>
    </row>
    <row r="699" spans="1:11" s="551" customFormat="1">
      <c r="A699" s="550"/>
      <c r="B699" s="528" t="s">
        <v>1263</v>
      </c>
      <c r="C699" s="551">
        <v>10823.849254310402</v>
      </c>
      <c r="D699" s="1302">
        <v>10032.672788786853</v>
      </c>
      <c r="E699" s="1302">
        <v>10032.672788786853</v>
      </c>
      <c r="F699" s="1302">
        <v>10032.672788786853</v>
      </c>
      <c r="G699" s="1302">
        <v>10032.672788786853</v>
      </c>
      <c r="H699" s="1302">
        <v>10032.672788786853</v>
      </c>
      <c r="I699" s="1302">
        <v>10032.672788786853</v>
      </c>
      <c r="J699" s="1302">
        <v>10032.672788786853</v>
      </c>
      <c r="K699" s="1302">
        <v>10032.672788786853</v>
      </c>
    </row>
    <row r="700" spans="1:11" s="551" customFormat="1">
      <c r="A700" s="550"/>
      <c r="B700" s="528" t="s">
        <v>1264</v>
      </c>
      <c r="C700" s="551">
        <v>9698.1651376146783</v>
      </c>
      <c r="D700" s="1302">
        <v>9921.8618164512009</v>
      </c>
      <c r="E700" s="1302">
        <v>9921.8618164512009</v>
      </c>
      <c r="F700" s="1302">
        <v>9921.8618164512009</v>
      </c>
      <c r="G700" s="1302">
        <v>9921.8618164512009</v>
      </c>
      <c r="H700" s="1302">
        <v>9921.8618164512009</v>
      </c>
      <c r="I700" s="1302">
        <v>9921.8618164512009</v>
      </c>
      <c r="J700" s="1302">
        <v>9921.8618164512009</v>
      </c>
      <c r="K700" s="1302">
        <v>9921.8618164512009</v>
      </c>
    </row>
    <row r="701" spans="1:11" s="551" customFormat="1">
      <c r="A701" s="550"/>
      <c r="B701" s="528" t="s">
        <v>1265</v>
      </c>
      <c r="C701" s="551">
        <v>5818.899082568807</v>
      </c>
      <c r="D701" s="1302">
        <v>1991.7098445595855</v>
      </c>
      <c r="E701" s="1302">
        <v>1991.7098445595855</v>
      </c>
      <c r="F701" s="1302">
        <v>1991.7098445595855</v>
      </c>
      <c r="G701" s="1302">
        <v>1991.7098445595855</v>
      </c>
      <c r="H701" s="1302">
        <v>1991.7098445595855</v>
      </c>
      <c r="I701" s="1302">
        <v>1991.7098445595855</v>
      </c>
      <c r="J701" s="1302">
        <v>1991.7098445595855</v>
      </c>
      <c r="K701" s="1302">
        <v>1991.7098445595855</v>
      </c>
    </row>
    <row r="702" spans="1:11" s="551" customFormat="1">
      <c r="A702" s="550"/>
      <c r="B702" s="528" t="s">
        <v>1266</v>
      </c>
      <c r="C702" s="551">
        <v>4679.1589819254887</v>
      </c>
      <c r="D702" s="1302">
        <v>2059.2857142857142</v>
      </c>
      <c r="E702" s="1302">
        <v>2059.2857142857142</v>
      </c>
      <c r="F702" s="1302">
        <v>2059.2857142857142</v>
      </c>
      <c r="G702" s="1302">
        <v>2059.2857142857142</v>
      </c>
      <c r="H702" s="1302">
        <v>2059.2857142857142</v>
      </c>
      <c r="I702" s="1302">
        <v>2059.2857142857142</v>
      </c>
      <c r="J702" s="1302">
        <v>2059.2857142857142</v>
      </c>
      <c r="K702" s="1302">
        <v>2059.2857142857142</v>
      </c>
    </row>
    <row r="703" spans="1:11" s="551" customFormat="1">
      <c r="A703" s="550"/>
      <c r="B703" s="528" t="s">
        <v>1267</v>
      </c>
      <c r="C703" s="551">
        <v>4539.0335582592015</v>
      </c>
      <c r="D703" s="1302">
        <v>1969.3399014778324</v>
      </c>
      <c r="E703" s="1302">
        <v>1969.3399014778324</v>
      </c>
      <c r="F703" s="1302">
        <v>1969.3399014778324</v>
      </c>
      <c r="G703" s="1302">
        <v>1969.3399014778324</v>
      </c>
      <c r="H703" s="1302">
        <v>1969.3399014778324</v>
      </c>
      <c r="I703" s="1302">
        <v>1969.3399014778324</v>
      </c>
      <c r="J703" s="1302">
        <v>1969.3399014778324</v>
      </c>
      <c r="K703" s="1302">
        <v>1969.3399014778324</v>
      </c>
    </row>
    <row r="704" spans="1:11" s="551" customFormat="1">
      <c r="A704" s="550"/>
      <c r="B704" s="528" t="s">
        <v>1268</v>
      </c>
      <c r="C704" s="551">
        <v>4539.0335582592015</v>
      </c>
      <c r="D704" s="1302">
        <v>2039.3266451283796</v>
      </c>
      <c r="E704" s="1302">
        <v>2039.3266451283796</v>
      </c>
      <c r="F704" s="1302">
        <v>2039.3266451283796</v>
      </c>
      <c r="G704" s="1302">
        <v>2039.3266451283796</v>
      </c>
      <c r="H704" s="1302">
        <v>2039.3266451283796</v>
      </c>
      <c r="I704" s="1302">
        <v>2039.3266451283796</v>
      </c>
      <c r="J704" s="1302">
        <v>2039.3266451283796</v>
      </c>
      <c r="K704" s="1302">
        <v>2039.3266451283796</v>
      </c>
    </row>
    <row r="705" spans="1:11" s="551" customFormat="1">
      <c r="A705" s="550"/>
      <c r="B705" s="528" t="s">
        <v>1269</v>
      </c>
      <c r="C705" s="551">
        <v>4877.6964372864813</v>
      </c>
      <c r="D705" s="1302">
        <v>1969.3399014778324</v>
      </c>
      <c r="E705" s="1302">
        <v>1969.3399014778324</v>
      </c>
      <c r="F705" s="1302">
        <v>1969.3399014778324</v>
      </c>
      <c r="G705" s="1302">
        <v>1969.3399014778324</v>
      </c>
      <c r="H705" s="1302">
        <v>1969.3399014778324</v>
      </c>
      <c r="I705" s="1302">
        <v>1969.3399014778324</v>
      </c>
      <c r="J705" s="1302">
        <v>1969.3399014778324</v>
      </c>
      <c r="K705" s="1302">
        <v>1969.3399014778324</v>
      </c>
    </row>
    <row r="706" spans="1:11" s="551" customFormat="1">
      <c r="A706" s="550"/>
      <c r="B706" s="528" t="s">
        <v>1270</v>
      </c>
      <c r="C706" s="551">
        <v>5853.2357247437785</v>
      </c>
      <c r="D706" s="1302">
        <v>9264.7972190034761</v>
      </c>
      <c r="E706" s="1302">
        <v>9264.7972190034761</v>
      </c>
      <c r="F706" s="1302">
        <v>9264.7972190034761</v>
      </c>
      <c r="G706" s="1302">
        <v>9264.7972190034761</v>
      </c>
      <c r="H706" s="1302">
        <v>9264.7972190034761</v>
      </c>
      <c r="I706" s="1302">
        <v>9264.7972190034761</v>
      </c>
      <c r="J706" s="1302">
        <v>9264.7972190034761</v>
      </c>
      <c r="K706" s="1302">
        <v>9264.7972190034761</v>
      </c>
    </row>
    <row r="707" spans="1:11" s="551" customFormat="1">
      <c r="A707" s="550"/>
      <c r="B707" s="528" t="s">
        <v>1271</v>
      </c>
      <c r="C707" s="551">
        <v>6828.7750122010739</v>
      </c>
      <c r="D707" s="1302">
        <v>9879.1433278418444</v>
      </c>
      <c r="E707" s="1302">
        <v>9879.1433278418444</v>
      </c>
      <c r="F707" s="1302">
        <v>9879.1433278418444</v>
      </c>
      <c r="G707" s="1302">
        <v>9879.1433278418444</v>
      </c>
      <c r="H707" s="1302">
        <v>9879.1433278418444</v>
      </c>
      <c r="I707" s="1302">
        <v>9879.1433278418444</v>
      </c>
      <c r="J707" s="1302">
        <v>9879.1433278418444</v>
      </c>
      <c r="K707" s="1302">
        <v>9879.1433278418444</v>
      </c>
    </row>
    <row r="708" spans="1:11" s="551" customFormat="1">
      <c r="A708" s="550"/>
      <c r="B708" s="528" t="s">
        <v>1272</v>
      </c>
      <c r="C708" s="551">
        <v>8779.8535871156655</v>
      </c>
      <c r="D708" s="1302">
        <v>12378.956850444363</v>
      </c>
      <c r="E708" s="1302">
        <v>12378.956850444363</v>
      </c>
      <c r="F708" s="1302">
        <v>12378.956850444363</v>
      </c>
      <c r="G708" s="1302">
        <v>12378.956850444363</v>
      </c>
      <c r="H708" s="1302">
        <v>12378.956850444363</v>
      </c>
      <c r="I708" s="1302">
        <v>12378.956850444363</v>
      </c>
      <c r="J708" s="1302">
        <v>12378.956850444363</v>
      </c>
      <c r="K708" s="1302">
        <v>12378.956850444363</v>
      </c>
    </row>
    <row r="709" spans="1:11" s="551" customFormat="1">
      <c r="A709" s="550"/>
      <c r="B709" s="528" t="s">
        <v>1273</v>
      </c>
      <c r="C709" s="551">
        <v>8779.8535871156655</v>
      </c>
      <c r="D709" s="1302">
        <v>12378.956850444363</v>
      </c>
      <c r="E709" s="1302">
        <v>12378.956850444363</v>
      </c>
      <c r="F709" s="1302">
        <v>12378.956850444363</v>
      </c>
      <c r="G709" s="1302">
        <v>12378.956850444363</v>
      </c>
      <c r="H709" s="1302">
        <v>12378.956850444363</v>
      </c>
      <c r="I709" s="1302">
        <v>12378.956850444363</v>
      </c>
      <c r="J709" s="1302">
        <v>12378.956850444363</v>
      </c>
      <c r="K709" s="1302">
        <v>12378.956850444363</v>
      </c>
    </row>
    <row r="710" spans="1:11" s="551" customFormat="1">
      <c r="A710" s="550"/>
      <c r="B710" s="528" t="s">
        <v>1274</v>
      </c>
      <c r="C710" s="551">
        <v>10893.680539822084</v>
      </c>
      <c r="D710" s="1296">
        <v>10893.680539822084</v>
      </c>
      <c r="E710" s="1296">
        <v>10893.680539822084</v>
      </c>
      <c r="F710" s="1296">
        <v>10893.680539822084</v>
      </c>
      <c r="G710" s="1296">
        <v>10893.680539822084</v>
      </c>
      <c r="H710" s="1296">
        <v>10893.680539822084</v>
      </c>
      <c r="I710" s="1296">
        <v>10893.680539822084</v>
      </c>
      <c r="J710" s="1296">
        <v>10893.680539822084</v>
      </c>
      <c r="K710" s="1296">
        <v>10893.680539822084</v>
      </c>
    </row>
    <row r="711" spans="1:11" s="551" customFormat="1">
      <c r="A711" s="550"/>
      <c r="B711" s="528" t="s">
        <v>1275</v>
      </c>
      <c r="C711" s="551">
        <v>10893.680539822084</v>
      </c>
      <c r="D711" s="1296">
        <v>10893.680539822084</v>
      </c>
      <c r="E711" s="1296">
        <v>10893.680539822084</v>
      </c>
      <c r="F711" s="1296">
        <v>10893.680539822084</v>
      </c>
      <c r="G711" s="1296">
        <v>10893.680539822084</v>
      </c>
      <c r="H711" s="1296">
        <v>10893.680539822084</v>
      </c>
      <c r="I711" s="1296">
        <v>10893.680539822084</v>
      </c>
      <c r="J711" s="1296">
        <v>10893.680539822084</v>
      </c>
      <c r="K711" s="1296">
        <v>10893.680539822084</v>
      </c>
    </row>
    <row r="712" spans="1:11" s="551" customFormat="1">
      <c r="A712" s="550"/>
      <c r="B712" s="528" t="s">
        <v>1276</v>
      </c>
      <c r="C712" s="551">
        <v>9755.3928745729609</v>
      </c>
      <c r="D712" s="1302">
        <v>9879.1433278418444</v>
      </c>
      <c r="E712" s="1302">
        <v>9879.1433278418444</v>
      </c>
      <c r="F712" s="1302">
        <v>9879.1433278418444</v>
      </c>
      <c r="G712" s="1302">
        <v>9879.1433278418444</v>
      </c>
      <c r="H712" s="1302">
        <v>9879.1433278418444</v>
      </c>
      <c r="I712" s="1302">
        <v>9879.1433278418444</v>
      </c>
      <c r="J712" s="1302">
        <v>9879.1433278418444</v>
      </c>
      <c r="K712" s="1302">
        <v>9879.1433278418444</v>
      </c>
    </row>
    <row r="713" spans="1:11" s="551" customFormat="1">
      <c r="A713" s="550"/>
      <c r="B713" s="528" t="s">
        <v>1277</v>
      </c>
      <c r="C713" s="551">
        <v>5853.2357247437785</v>
      </c>
      <c r="D713" s="1302">
        <v>1969.3399014778324</v>
      </c>
      <c r="E713" s="1302">
        <v>1969.3399014778324</v>
      </c>
      <c r="F713" s="1302">
        <v>1969.3399014778324</v>
      </c>
      <c r="G713" s="1302">
        <v>1969.3399014778324</v>
      </c>
      <c r="H713" s="1302">
        <v>1969.3399014778324</v>
      </c>
      <c r="I713" s="1302">
        <v>1969.3399014778324</v>
      </c>
      <c r="J713" s="1302">
        <v>1969.3399014778324</v>
      </c>
      <c r="K713" s="1302">
        <v>1969.3399014778324</v>
      </c>
    </row>
    <row r="714" spans="1:11" s="551" customFormat="1">
      <c r="A714" s="550"/>
      <c r="B714" s="528" t="s">
        <v>1278</v>
      </c>
      <c r="C714" s="551">
        <v>5853.2357247437785</v>
      </c>
      <c r="D714" s="1302">
        <v>2039.3266451283796</v>
      </c>
      <c r="E714" s="1302">
        <v>2039.3266451283796</v>
      </c>
      <c r="F714" s="1302">
        <v>2039.3266451283796</v>
      </c>
      <c r="G714" s="1302">
        <v>2039.3266451283796</v>
      </c>
      <c r="H714" s="1302">
        <v>2039.3266451283796</v>
      </c>
      <c r="I714" s="1302">
        <v>2039.3266451283796</v>
      </c>
      <c r="J714" s="1302">
        <v>2039.3266451283796</v>
      </c>
      <c r="K714" s="1302">
        <v>2039.3266451283796</v>
      </c>
    </row>
    <row r="715" spans="1:11" s="551" customFormat="1">
      <c r="A715" s="550"/>
      <c r="B715" s="528" t="s">
        <v>1279</v>
      </c>
      <c r="C715" s="551">
        <v>4780.2621434078646</v>
      </c>
      <c r="D715" s="1302">
        <v>2948.8871301120007</v>
      </c>
      <c r="E715" s="1302">
        <v>2948.8871301120007</v>
      </c>
      <c r="F715" s="1302">
        <v>2948.8871301120007</v>
      </c>
      <c r="G715" s="1302">
        <v>2948.8871301120007</v>
      </c>
      <c r="H715" s="1356">
        <v>2735.294117647059</v>
      </c>
      <c r="I715" s="1356">
        <v>2735.294117647059</v>
      </c>
      <c r="J715" s="1356">
        <v>2735.294117647059</v>
      </c>
      <c r="K715" s="1356">
        <v>2735.294117647059</v>
      </c>
    </row>
    <row r="716" spans="1:11" s="551" customFormat="1">
      <c r="A716" s="550"/>
      <c r="B716" s="528" t="s">
        <v>1280</v>
      </c>
      <c r="C716" s="551">
        <v>4780.2621434078646</v>
      </c>
      <c r="D716" s="1302">
        <v>2948.8871301120007</v>
      </c>
      <c r="E716" s="1302">
        <v>2948.8871301120007</v>
      </c>
      <c r="F716" s="1302">
        <v>2948.8871301120007</v>
      </c>
      <c r="G716" s="1302">
        <v>2948.8871301120007</v>
      </c>
      <c r="H716" s="1356">
        <v>2861.5384615384614</v>
      </c>
      <c r="I716" s="1356">
        <v>2861.5384615384614</v>
      </c>
      <c r="J716" s="1356">
        <v>2861.5384615384614</v>
      </c>
      <c r="K716" s="1356">
        <v>2861.5384615384614</v>
      </c>
    </row>
    <row r="717" spans="1:11" s="551" customFormat="1">
      <c r="A717" s="550"/>
      <c r="B717" s="528" t="s">
        <v>1281</v>
      </c>
      <c r="C717" s="551">
        <v>5897.7742602240014</v>
      </c>
      <c r="D717" s="1302">
        <v>2948.8871301120007</v>
      </c>
      <c r="E717" s="1302">
        <v>2948.8871301120007</v>
      </c>
      <c r="F717" s="1302">
        <v>2948.8871301120007</v>
      </c>
      <c r="G717" s="1302">
        <v>2948.8871301120007</v>
      </c>
      <c r="H717" s="1356">
        <v>2735.294117647059</v>
      </c>
      <c r="I717" s="1356">
        <v>2735.294117647059</v>
      </c>
      <c r="J717" s="1356">
        <v>2735.294117647059</v>
      </c>
      <c r="K717" s="1356">
        <v>2735.294117647059</v>
      </c>
    </row>
    <row r="718" spans="1:11" s="551" customFormat="1">
      <c r="A718" s="550"/>
      <c r="B718" s="528" t="s">
        <v>1282</v>
      </c>
      <c r="C718" s="551">
        <v>6880.7366369280016</v>
      </c>
      <c r="D718" s="1302">
        <v>10454.332552693209</v>
      </c>
      <c r="E718" s="1302">
        <v>10454.332552693209</v>
      </c>
      <c r="F718" s="1302">
        <v>10454.332552693209</v>
      </c>
      <c r="G718" s="1302">
        <v>10454.332552693209</v>
      </c>
      <c r="H718" s="1356">
        <v>10162.251655629139</v>
      </c>
      <c r="I718" s="1356">
        <v>10162.251655629139</v>
      </c>
      <c r="J718" s="1356">
        <v>10162.251655629139</v>
      </c>
      <c r="K718" s="1356">
        <v>10162.251655629139</v>
      </c>
    </row>
    <row r="719" spans="1:11" s="551" customFormat="1">
      <c r="A719" s="550"/>
      <c r="B719" s="528" t="s">
        <v>1283</v>
      </c>
      <c r="C719" s="551">
        <v>7863.6990136320019</v>
      </c>
      <c r="D719" s="1302">
        <v>9931.0344827586196</v>
      </c>
      <c r="E719" s="1302">
        <v>9931.0344827586196</v>
      </c>
      <c r="F719" s="1302">
        <v>9931.0344827586196</v>
      </c>
      <c r="G719" s="1302">
        <v>9931.0344827586196</v>
      </c>
      <c r="H719" s="1356">
        <v>10508.474576271186</v>
      </c>
      <c r="I719" s="1356">
        <v>10508.474576271186</v>
      </c>
      <c r="J719" s="1356">
        <v>10508.474576271186</v>
      </c>
      <c r="K719" s="1356">
        <v>10508.474576271186</v>
      </c>
    </row>
    <row r="720" spans="1:11" s="551" customFormat="1">
      <c r="A720" s="550"/>
      <c r="B720" s="528" t="s">
        <v>1284</v>
      </c>
      <c r="C720" s="551">
        <v>9829.6237670400023</v>
      </c>
      <c r="D720" s="1302">
        <v>13561.396370738057</v>
      </c>
      <c r="E720" s="1302">
        <v>13561.396370738057</v>
      </c>
      <c r="F720" s="1302">
        <v>13561.396370738057</v>
      </c>
      <c r="G720" s="1302">
        <v>13561.396370738057</v>
      </c>
      <c r="H720" s="1356">
        <v>13036.295369211513</v>
      </c>
      <c r="I720" s="1356">
        <v>13036.295369211513</v>
      </c>
      <c r="J720" s="1356">
        <v>13036.295369211513</v>
      </c>
      <c r="K720" s="1356">
        <v>13036.295369211513</v>
      </c>
    </row>
    <row r="721" spans="1:11" s="551" customFormat="1">
      <c r="A721" s="550"/>
      <c r="B721" s="528" t="s">
        <v>1285</v>
      </c>
      <c r="C721" s="551">
        <v>9829.6237670400023</v>
      </c>
      <c r="D721" s="1302">
        <v>13561.396370738057</v>
      </c>
      <c r="E721" s="1302">
        <v>13561.396370738057</v>
      </c>
      <c r="F721" s="1302">
        <v>13561.396370738057</v>
      </c>
      <c r="G721" s="1302">
        <v>13561.396370738057</v>
      </c>
      <c r="H721" s="1356">
        <v>13036.295369211513</v>
      </c>
      <c r="I721" s="1356">
        <v>13036.295369211513</v>
      </c>
      <c r="J721" s="1356">
        <v>13036.295369211513</v>
      </c>
      <c r="K721" s="1356">
        <v>13036.295369211513</v>
      </c>
    </row>
    <row r="722" spans="1:11" s="551" customFormat="1">
      <c r="A722" s="550"/>
      <c r="B722" s="528" t="s">
        <v>1286</v>
      </c>
      <c r="C722" s="551">
        <v>11117.677024961793</v>
      </c>
      <c r="D722" s="1302">
        <v>11136.682570867248</v>
      </c>
      <c r="E722" s="1302">
        <v>11136.682570867248</v>
      </c>
      <c r="F722" s="1302">
        <v>11136.682570867248</v>
      </c>
      <c r="G722" s="1302">
        <v>11136.682570867248</v>
      </c>
      <c r="H722" s="1356">
        <v>11708.15450643777</v>
      </c>
      <c r="I722" s="1356">
        <v>11708.15450643777</v>
      </c>
      <c r="J722" s="1356">
        <v>11708.15450643777</v>
      </c>
      <c r="K722" s="1356">
        <v>11708.15450643777</v>
      </c>
    </row>
    <row r="723" spans="1:11" s="551" customFormat="1">
      <c r="A723" s="550"/>
      <c r="B723" s="528" t="s">
        <v>1287</v>
      </c>
      <c r="C723" s="551">
        <v>11117.677024961793</v>
      </c>
      <c r="D723" s="1302">
        <v>11136.682570867248</v>
      </c>
      <c r="E723" s="1302">
        <v>11136.682570867248</v>
      </c>
      <c r="F723" s="1302">
        <v>11136.682570867248</v>
      </c>
      <c r="G723" s="1302">
        <v>11136.682570867248</v>
      </c>
      <c r="H723" s="1356">
        <v>11708.15450643777</v>
      </c>
      <c r="I723" s="1356">
        <v>11708.15450643777</v>
      </c>
      <c r="J723" s="1356">
        <v>11708.15450643777</v>
      </c>
      <c r="K723" s="1356">
        <v>11708.15450643777</v>
      </c>
    </row>
    <row r="724" spans="1:11" s="551" customFormat="1">
      <c r="A724" s="550"/>
      <c r="B724" s="528" t="s">
        <v>1288</v>
      </c>
      <c r="C724" s="551">
        <v>10812.586143744002</v>
      </c>
      <c r="D724" s="1302">
        <v>9931.0344827586196</v>
      </c>
      <c r="E724" s="1302">
        <v>9931.0344827586196</v>
      </c>
      <c r="F724" s="1302">
        <v>9931.0344827586196</v>
      </c>
      <c r="G724" s="1302">
        <v>9931.0344827586196</v>
      </c>
      <c r="H724" s="1356">
        <v>10508.474576271186</v>
      </c>
      <c r="I724" s="1356">
        <v>10508.474576271186</v>
      </c>
      <c r="J724" s="1356">
        <v>10508.474576271186</v>
      </c>
      <c r="K724" s="1356">
        <v>10508.474576271186</v>
      </c>
    </row>
    <row r="725" spans="1:11" s="551" customFormat="1">
      <c r="A725" s="550"/>
      <c r="B725" s="528" t="s">
        <v>1289</v>
      </c>
      <c r="C725" s="551">
        <v>6880.7366369280016</v>
      </c>
      <c r="D725" s="1302">
        <v>2948.8871301120007</v>
      </c>
      <c r="E725" s="1302">
        <v>2948.8871301120007</v>
      </c>
      <c r="F725" s="1302">
        <v>2948.8871301120007</v>
      </c>
      <c r="G725" s="1302">
        <v>2948.8871301120007</v>
      </c>
      <c r="H725" s="1356">
        <v>2735.294117647059</v>
      </c>
      <c r="I725" s="1356">
        <v>2735.294117647059</v>
      </c>
      <c r="J725" s="1356">
        <v>2735.294117647059</v>
      </c>
      <c r="K725" s="1356">
        <v>2735.294117647059</v>
      </c>
    </row>
    <row r="726" spans="1:11" s="551" customFormat="1">
      <c r="A726" s="550"/>
      <c r="B726" s="528" t="s">
        <v>1290</v>
      </c>
      <c r="C726" s="551">
        <v>6880.7366369280016</v>
      </c>
      <c r="D726" s="1302">
        <v>2948.8871301120007</v>
      </c>
      <c r="E726" s="1302">
        <v>2948.8871301120007</v>
      </c>
      <c r="F726" s="1302">
        <v>2948.8871301120007</v>
      </c>
      <c r="G726" s="1302">
        <v>2948.8871301120007</v>
      </c>
      <c r="H726" s="1356">
        <v>2861.5384615384614</v>
      </c>
      <c r="I726" s="1356">
        <v>2861.5384615384614</v>
      </c>
      <c r="J726" s="1356">
        <v>2861.5384615384614</v>
      </c>
      <c r="K726" s="1356">
        <v>2861.5384615384614</v>
      </c>
    </row>
    <row r="727" spans="1:11" s="551" customFormat="1">
      <c r="A727" s="550"/>
      <c r="B727" s="528" t="s">
        <v>1291</v>
      </c>
      <c r="C727" s="551">
        <v>182.34187351999935</v>
      </c>
      <c r="D727" s="1302">
        <v>252.24184447679909</v>
      </c>
      <c r="E727" s="1302">
        <v>252.24184447679909</v>
      </c>
      <c r="F727" s="1302">
        <v>252.24184447679909</v>
      </c>
      <c r="G727" s="1302">
        <v>252.24184447679909</v>
      </c>
      <c r="H727" s="1302">
        <v>252.24184447679909</v>
      </c>
      <c r="I727" s="1302">
        <v>252.24184447679909</v>
      </c>
      <c r="J727" s="1302">
        <v>252.24184447679909</v>
      </c>
      <c r="K727" s="1302">
        <v>252.24184447679909</v>
      </c>
    </row>
    <row r="728" spans="1:11" s="551" customFormat="1">
      <c r="A728" s="550"/>
      <c r="B728" s="528" t="s">
        <v>1292</v>
      </c>
      <c r="C728" s="551">
        <v>295.91051130879714</v>
      </c>
      <c r="D728" s="1302">
        <v>658.92461418111634</v>
      </c>
      <c r="E728" s="1302">
        <v>658.92461418111634</v>
      </c>
      <c r="F728" s="1302">
        <v>658.92461418111634</v>
      </c>
      <c r="G728" s="1302">
        <v>658.92461418111634</v>
      </c>
      <c r="H728" s="1302">
        <v>658.92461418111634</v>
      </c>
      <c r="I728" s="1302">
        <v>658.92461418111634</v>
      </c>
      <c r="J728" s="1302">
        <v>658.92461418111634</v>
      </c>
      <c r="K728" s="1302">
        <v>658.92461418111634</v>
      </c>
    </row>
    <row r="729" spans="1:11" s="551" customFormat="1">
      <c r="A729" s="550"/>
      <c r="B729" s="528" t="s">
        <v>1293</v>
      </c>
      <c r="C729" s="551">
        <v>153.77452944704055</v>
      </c>
      <c r="D729" s="1302">
        <v>0</v>
      </c>
      <c r="E729" s="1302">
        <v>0</v>
      </c>
      <c r="F729" s="1302">
        <v>0</v>
      </c>
      <c r="G729" s="1302">
        <v>0</v>
      </c>
      <c r="H729" s="1302">
        <v>0</v>
      </c>
      <c r="I729" s="1302">
        <v>0</v>
      </c>
      <c r="J729" s="1302">
        <v>0</v>
      </c>
      <c r="K729" s="1302">
        <v>0</v>
      </c>
    </row>
    <row r="730" spans="1:11" s="551" customFormat="1">
      <c r="A730" s="550"/>
      <c r="B730" s="528" t="s">
        <v>1294</v>
      </c>
      <c r="C730" s="551">
        <v>0</v>
      </c>
      <c r="D730" s="1302">
        <v>119.84825102656032</v>
      </c>
      <c r="E730" s="1302">
        <v>119.84825102656032</v>
      </c>
      <c r="F730" s="1302">
        <v>119.84825102656032</v>
      </c>
      <c r="G730" s="1302">
        <v>119.84825102656032</v>
      </c>
      <c r="H730" s="1302">
        <v>119.84825102656032</v>
      </c>
      <c r="I730" s="1302">
        <v>119.84825102656032</v>
      </c>
      <c r="J730" s="1302">
        <v>119.84825102656032</v>
      </c>
      <c r="K730" s="1302">
        <v>119.84825102656032</v>
      </c>
    </row>
    <row r="731" spans="1:11" s="551" customFormat="1">
      <c r="A731" s="550"/>
      <c r="B731" s="528" t="s">
        <v>1295</v>
      </c>
      <c r="C731" s="551">
        <v>228.47006713855808</v>
      </c>
      <c r="D731" s="1302">
        <v>266.81414234559998</v>
      </c>
      <c r="E731" s="1302">
        <v>266.81414234559998</v>
      </c>
      <c r="F731" s="1302">
        <v>266.81414234559998</v>
      </c>
      <c r="G731" s="1302">
        <v>266.81414234559998</v>
      </c>
      <c r="H731" s="1302">
        <v>266.81414234559998</v>
      </c>
      <c r="I731" s="1302">
        <v>266.81414234559998</v>
      </c>
      <c r="J731" s="1302">
        <v>266.81414234559998</v>
      </c>
      <c r="K731" s="1302">
        <v>266.81414234559998</v>
      </c>
    </row>
    <row r="732" spans="1:11" s="551" customFormat="1">
      <c r="A732" s="550"/>
      <c r="B732" s="528" t="s">
        <v>1296</v>
      </c>
      <c r="C732" s="551">
        <v>295.91051130879714</v>
      </c>
      <c r="D732" s="1302">
        <v>658.92461418111634</v>
      </c>
      <c r="E732" s="1302">
        <v>658.92461418111634</v>
      </c>
      <c r="F732" s="1302">
        <v>658.92461418111634</v>
      </c>
      <c r="G732" s="1302">
        <v>658.92461418111634</v>
      </c>
      <c r="H732" s="1302">
        <v>658.92461418111634</v>
      </c>
      <c r="I732" s="1302">
        <v>658.92461418111634</v>
      </c>
      <c r="J732" s="1302">
        <v>658.92461418111634</v>
      </c>
      <c r="K732" s="1302">
        <v>658.92461418111634</v>
      </c>
    </row>
    <row r="733" spans="1:11" s="551" customFormat="1">
      <c r="A733" s="550"/>
      <c r="B733" s="528" t="s">
        <v>1297</v>
      </c>
      <c r="C733" s="551">
        <v>295.91051130879714</v>
      </c>
      <c r="D733" s="1302">
        <v>658.92461418111634</v>
      </c>
      <c r="E733" s="1302">
        <v>658.92461418111634</v>
      </c>
      <c r="F733" s="1302">
        <v>658.92461418111634</v>
      </c>
      <c r="G733" s="1302">
        <v>658.92461418111634</v>
      </c>
      <c r="H733" s="1302">
        <v>658.92461418111634</v>
      </c>
      <c r="I733" s="1302">
        <v>658.92461418111634</v>
      </c>
      <c r="J733" s="1302">
        <v>658.92461418111634</v>
      </c>
      <c r="K733" s="1302">
        <v>658.92461418111634</v>
      </c>
    </row>
    <row r="734" spans="1:11" s="551" customFormat="1">
      <c r="A734" s="550"/>
      <c r="B734" s="528" t="s">
        <v>1298</v>
      </c>
      <c r="C734" s="551">
        <v>51.995694185592583</v>
      </c>
      <c r="D734" s="1302">
        <v>154.4409252275218</v>
      </c>
      <c r="E734" s="1302">
        <v>154.4409252275218</v>
      </c>
      <c r="F734" s="1302">
        <v>154.4409252275218</v>
      </c>
      <c r="G734" s="1302">
        <v>154.4409252275218</v>
      </c>
      <c r="H734" s="1302">
        <v>154.4409252275218</v>
      </c>
      <c r="I734" s="1302">
        <v>154.4409252275218</v>
      </c>
      <c r="J734" s="1302">
        <v>154.4409252275218</v>
      </c>
      <c r="K734" s="1302">
        <v>154.4409252275218</v>
      </c>
    </row>
    <row r="735" spans="1:11" s="551" customFormat="1">
      <c r="A735" s="550"/>
      <c r="B735" s="528" t="s">
        <v>1299</v>
      </c>
      <c r="C735" s="551">
        <v>51.995694185592583</v>
      </c>
      <c r="D735" s="1302">
        <v>154.4409252275218</v>
      </c>
      <c r="E735" s="1302">
        <v>154.4409252275218</v>
      </c>
      <c r="F735" s="1302">
        <v>154.4409252275218</v>
      </c>
      <c r="G735" s="1302">
        <v>154.4409252275218</v>
      </c>
      <c r="H735" s="1302">
        <v>154.4409252275218</v>
      </c>
      <c r="I735" s="1302">
        <v>154.4409252275218</v>
      </c>
      <c r="J735" s="1302">
        <v>154.4409252275218</v>
      </c>
      <c r="K735" s="1302">
        <v>154.4409252275218</v>
      </c>
    </row>
    <row r="736" spans="1:11" s="551" customFormat="1">
      <c r="A736" s="550"/>
      <c r="B736" s="528" t="s">
        <v>1300</v>
      </c>
      <c r="C736" s="551">
        <v>0</v>
      </c>
      <c r="D736" s="1302">
        <v>266.81414234559998</v>
      </c>
      <c r="E736" s="1302">
        <v>266.81414234559998</v>
      </c>
      <c r="F736" s="1302">
        <v>266.81414234559998</v>
      </c>
      <c r="G736" s="1302">
        <v>266.81414234559998</v>
      </c>
      <c r="H736" s="1302">
        <v>266.81414234559998</v>
      </c>
      <c r="I736" s="1302">
        <v>266.81414234559998</v>
      </c>
      <c r="J736" s="1302">
        <v>266.81414234559998</v>
      </c>
      <c r="K736" s="1302">
        <v>266.81414234559998</v>
      </c>
    </row>
    <row r="737" spans="1:11" s="551" customFormat="1">
      <c r="A737" s="550"/>
      <c r="B737" s="528" t="s">
        <v>1301</v>
      </c>
      <c r="C737" s="551">
        <v>0</v>
      </c>
      <c r="D737" s="1296">
        <v>0</v>
      </c>
      <c r="E737" s="1296">
        <v>0</v>
      </c>
      <c r="F737" s="1296">
        <v>0</v>
      </c>
      <c r="G737" s="1296">
        <v>0</v>
      </c>
      <c r="H737" s="1296">
        <v>0</v>
      </c>
      <c r="I737" s="1296">
        <v>0</v>
      </c>
      <c r="J737" s="1296">
        <v>0</v>
      </c>
      <c r="K737" s="1296">
        <v>0</v>
      </c>
    </row>
    <row r="738" spans="1:11" s="551" customFormat="1">
      <c r="A738" s="550"/>
      <c r="B738" s="528" t="s">
        <v>1302</v>
      </c>
      <c r="C738" s="551">
        <v>0</v>
      </c>
      <c r="D738" s="1296">
        <v>0</v>
      </c>
      <c r="E738" s="1296">
        <v>0</v>
      </c>
      <c r="F738" s="1296">
        <v>0</v>
      </c>
      <c r="G738" s="1296">
        <v>0</v>
      </c>
      <c r="H738" s="1296">
        <v>0</v>
      </c>
      <c r="I738" s="1296">
        <v>0</v>
      </c>
      <c r="J738" s="1296">
        <v>0</v>
      </c>
      <c r="K738" s="1296">
        <v>0</v>
      </c>
    </row>
    <row r="739" spans="1:11" s="551" customFormat="1">
      <c r="A739" s="550"/>
      <c r="B739" s="528" t="s">
        <v>1303</v>
      </c>
      <c r="C739" s="551">
        <v>396.90306938751746</v>
      </c>
      <c r="D739" s="1302">
        <v>28.515511862398853</v>
      </c>
      <c r="E739" s="1302">
        <v>28.515511862398853</v>
      </c>
      <c r="F739" s="1302">
        <v>28.515511862398853</v>
      </c>
      <c r="G739" s="1302">
        <v>28.515511862398853</v>
      </c>
      <c r="H739" s="1302">
        <v>28.515511862398853</v>
      </c>
      <c r="I739" s="1302">
        <v>28.515511862398853</v>
      </c>
      <c r="J739" s="1302">
        <v>28.515511862398853</v>
      </c>
      <c r="K739" s="1302">
        <v>28.515511862398853</v>
      </c>
    </row>
    <row r="740" spans="1:11" s="551" customFormat="1">
      <c r="A740" s="550"/>
      <c r="B740" s="528" t="s">
        <v>1304</v>
      </c>
      <c r="C740" s="551">
        <v>396.90306938751746</v>
      </c>
      <c r="D740" s="1302">
        <v>28.515511862398853</v>
      </c>
      <c r="E740" s="1302">
        <v>28.515511862398853</v>
      </c>
      <c r="F740" s="1302">
        <v>28.515511862398853</v>
      </c>
      <c r="G740" s="1302">
        <v>28.515511862398853</v>
      </c>
      <c r="H740" s="1302">
        <v>28.515511862398853</v>
      </c>
      <c r="I740" s="1302">
        <v>28.515511862398853</v>
      </c>
      <c r="J740" s="1302">
        <v>28.515511862398853</v>
      </c>
      <c r="K740" s="1302">
        <v>28.515511862398853</v>
      </c>
    </row>
    <row r="741" spans="1:11" s="551" customFormat="1">
      <c r="A741" s="550"/>
      <c r="B741" s="528" t="s">
        <v>1305</v>
      </c>
      <c r="C741" s="551">
        <v>0</v>
      </c>
      <c r="D741" s="1296">
        <v>0</v>
      </c>
      <c r="E741" s="1296">
        <v>0</v>
      </c>
      <c r="F741" s="1296">
        <v>0</v>
      </c>
      <c r="G741" s="1296">
        <v>0</v>
      </c>
      <c r="H741" s="1296">
        <v>0</v>
      </c>
      <c r="I741" s="1296">
        <v>0</v>
      </c>
      <c r="J741" s="1296">
        <v>0</v>
      </c>
      <c r="K741" s="1296">
        <v>0</v>
      </c>
    </row>
    <row r="742" spans="1:11" s="551" customFormat="1">
      <c r="A742" s="550"/>
      <c r="B742" s="528" t="s">
        <v>1306</v>
      </c>
      <c r="C742" s="551">
        <v>191.40440626815689</v>
      </c>
      <c r="D742" s="1302">
        <v>231.4722907827163</v>
      </c>
      <c r="E742" s="1302">
        <v>231.4722907827163</v>
      </c>
      <c r="F742" s="1302">
        <v>231.4722907827163</v>
      </c>
      <c r="G742" s="1302">
        <v>231.4722907827163</v>
      </c>
      <c r="H742" s="1302">
        <v>231.4722907827163</v>
      </c>
      <c r="I742" s="1302">
        <v>231.4722907827163</v>
      </c>
      <c r="J742" s="1302">
        <v>231.4722907827163</v>
      </c>
      <c r="K742" s="1302">
        <v>231.4722907827163</v>
      </c>
    </row>
    <row r="743" spans="1:11" s="551" customFormat="1">
      <c r="A743" s="550"/>
      <c r="B743" s="528" t="s">
        <v>1307</v>
      </c>
      <c r="C743" s="551">
        <v>423.21906385407783</v>
      </c>
      <c r="D743" s="1302">
        <v>180.70445123007812</v>
      </c>
      <c r="E743" s="1302">
        <v>180.70445123007812</v>
      </c>
      <c r="F743" s="1302">
        <v>180.70445123007812</v>
      </c>
      <c r="G743" s="1355">
        <v>1714.3292702099207</v>
      </c>
      <c r="H743" s="1355">
        <v>1714.3292702099207</v>
      </c>
      <c r="I743" s="1355">
        <v>1714.3292702099207</v>
      </c>
      <c r="J743" s="1355">
        <v>1714.3292702099207</v>
      </c>
      <c r="K743" s="1355">
        <v>1714.3292702099207</v>
      </c>
    </row>
    <row r="744" spans="1:11" s="551" customFormat="1">
      <c r="A744" s="550"/>
      <c r="B744" s="528" t="s">
        <v>1308</v>
      </c>
      <c r="C744" s="551">
        <v>212.25652945919865</v>
      </c>
      <c r="D744" s="1302">
        <v>141.43587961215962</v>
      </c>
      <c r="E744" s="1302">
        <v>141.43587961215962</v>
      </c>
      <c r="F744" s="1302">
        <v>141.43587961215962</v>
      </c>
      <c r="G744" s="1302">
        <v>141.43587961215962</v>
      </c>
      <c r="H744" s="1302">
        <v>141.43587961215962</v>
      </c>
      <c r="I744" s="1302">
        <v>141.43587961215962</v>
      </c>
      <c r="J744" s="1302">
        <v>141.43587961215962</v>
      </c>
      <c r="K744" s="1302">
        <v>141.43587961215962</v>
      </c>
    </row>
    <row r="745" spans="1:11" s="551" customFormat="1">
      <c r="A745" s="550"/>
      <c r="B745" s="528" t="s">
        <v>1309</v>
      </c>
      <c r="C745" s="551">
        <v>212.25652945919865</v>
      </c>
      <c r="D745" s="1302">
        <v>141.43587961215962</v>
      </c>
      <c r="E745" s="1302">
        <v>141.43587961215962</v>
      </c>
      <c r="F745" s="1302">
        <v>141.43587961215962</v>
      </c>
      <c r="G745" s="1302">
        <v>141.43587961215962</v>
      </c>
      <c r="H745" s="1302">
        <v>141.43587961215962</v>
      </c>
      <c r="I745" s="1302">
        <v>141.43587961215962</v>
      </c>
      <c r="J745" s="1302">
        <v>141.43587961215962</v>
      </c>
      <c r="K745" s="1302">
        <v>141.43587961215962</v>
      </c>
    </row>
    <row r="746" spans="1:11" s="551" customFormat="1">
      <c r="A746" s="550"/>
      <c r="B746" s="528" t="s">
        <v>1310</v>
      </c>
      <c r="C746" s="551">
        <v>39.230835543679859</v>
      </c>
      <c r="D746" s="1302">
        <v>296.02975645759579</v>
      </c>
      <c r="E746" s="1302">
        <v>296.02975645759579</v>
      </c>
      <c r="F746" s="1302">
        <v>296.02975645759579</v>
      </c>
      <c r="G746" s="1302">
        <v>296.02975645759579</v>
      </c>
      <c r="H746" s="1302">
        <v>296.02975645759579</v>
      </c>
      <c r="I746" s="1302">
        <v>296.02975645759579</v>
      </c>
      <c r="J746" s="1302">
        <v>296.02975645759579</v>
      </c>
      <c r="K746" s="1302">
        <v>296.02975645759579</v>
      </c>
    </row>
    <row r="747" spans="1:11" s="551" customFormat="1">
      <c r="A747" s="550"/>
      <c r="B747" s="528" t="s">
        <v>1311</v>
      </c>
      <c r="C747" s="551">
        <v>39.230835543679859</v>
      </c>
      <c r="D747" s="1302">
        <v>296.02975645759579</v>
      </c>
      <c r="E747" s="1302">
        <v>296.02975645759579</v>
      </c>
      <c r="F747" s="1302">
        <v>296.02975645759579</v>
      </c>
      <c r="G747" s="1302">
        <v>296.02975645759579</v>
      </c>
      <c r="H747" s="1302">
        <v>296.02975645759579</v>
      </c>
      <c r="I747" s="1302">
        <v>296.02975645759579</v>
      </c>
      <c r="J747" s="1302">
        <v>296.02975645759579</v>
      </c>
      <c r="K747" s="1302">
        <v>296.02975645759579</v>
      </c>
    </row>
    <row r="748" spans="1:11" s="551" customFormat="1">
      <c r="A748" s="550"/>
      <c r="B748" s="528" t="s">
        <v>1312</v>
      </c>
      <c r="C748" s="551">
        <v>0</v>
      </c>
      <c r="D748" s="1302">
        <v>180.70445123007812</v>
      </c>
      <c r="E748" s="1302">
        <v>180.70445123007812</v>
      </c>
      <c r="F748" s="1302">
        <v>180.70445123007812</v>
      </c>
      <c r="G748" s="1302">
        <v>180.70445123007812</v>
      </c>
      <c r="H748" s="1302">
        <v>180.70445123007812</v>
      </c>
      <c r="I748" s="1302">
        <v>180.70445123007812</v>
      </c>
      <c r="J748" s="1302">
        <v>180.70445123007812</v>
      </c>
      <c r="K748" s="1302">
        <v>180.70445123007812</v>
      </c>
    </row>
    <row r="749" spans="1:11" s="551" customFormat="1">
      <c r="A749" s="550"/>
      <c r="B749" s="528" t="s">
        <v>1313</v>
      </c>
      <c r="C749" s="551">
        <v>191.40440626815689</v>
      </c>
      <c r="D749" s="1302">
        <v>0</v>
      </c>
      <c r="E749" s="1302">
        <v>0</v>
      </c>
      <c r="F749" s="1302">
        <v>0</v>
      </c>
      <c r="G749" s="1302">
        <v>0</v>
      </c>
      <c r="H749" s="1302">
        <v>0</v>
      </c>
      <c r="I749" s="1302">
        <v>0</v>
      </c>
      <c r="J749" s="1302">
        <v>0</v>
      </c>
      <c r="K749" s="1302">
        <v>0</v>
      </c>
    </row>
    <row r="750" spans="1:11" s="551" customFormat="1">
      <c r="A750" s="550"/>
      <c r="B750" s="528" t="s">
        <v>1314</v>
      </c>
      <c r="C750" s="551">
        <v>191.40440626815689</v>
      </c>
      <c r="D750" s="1302">
        <v>0</v>
      </c>
      <c r="E750" s="1302">
        <v>0</v>
      </c>
      <c r="F750" s="1302">
        <v>0</v>
      </c>
      <c r="G750" s="1302">
        <v>0</v>
      </c>
      <c r="H750" s="1302">
        <v>0</v>
      </c>
      <c r="I750" s="1302">
        <v>0</v>
      </c>
      <c r="J750" s="1302">
        <v>0</v>
      </c>
      <c r="K750" s="1302">
        <v>0</v>
      </c>
    </row>
    <row r="751" spans="1:11" s="551" customFormat="1">
      <c r="A751" s="550"/>
      <c r="B751" s="528" t="s">
        <v>1315</v>
      </c>
      <c r="C751" s="551">
        <v>0</v>
      </c>
      <c r="D751" s="1302">
        <v>41.263305185279023</v>
      </c>
      <c r="E751" s="1302">
        <v>41.263305185279023</v>
      </c>
      <c r="F751" s="1302">
        <v>41.263305185279023</v>
      </c>
      <c r="G751" s="1302">
        <v>41.263305185279023</v>
      </c>
      <c r="H751" s="1356">
        <v>510.11524423680021</v>
      </c>
      <c r="I751" s="1356">
        <v>510.11524423680021</v>
      </c>
      <c r="J751" s="1356">
        <v>510.11524423680021</v>
      </c>
      <c r="K751" s="1356">
        <v>510.11524423680021</v>
      </c>
    </row>
    <row r="752" spans="1:11" s="551" customFormat="1">
      <c r="A752" s="550"/>
      <c r="B752" s="528" t="s">
        <v>1316</v>
      </c>
      <c r="C752" s="551">
        <v>0</v>
      </c>
      <c r="D752" s="1302">
        <v>162.90489930239892</v>
      </c>
      <c r="E752" s="1302">
        <v>162.90489930239892</v>
      </c>
      <c r="F752" s="1302">
        <v>162.90489930239892</v>
      </c>
      <c r="G752" s="1302">
        <v>162.90489930239892</v>
      </c>
      <c r="H752" s="1356">
        <v>510.11524423679839</v>
      </c>
      <c r="I752" s="1356">
        <v>510.11524423679839</v>
      </c>
      <c r="J752" s="1356">
        <v>510.11524423679839</v>
      </c>
      <c r="K752" s="1356">
        <v>510.11524423679839</v>
      </c>
    </row>
    <row r="753" spans="1:11" s="551" customFormat="1">
      <c r="A753" s="550"/>
      <c r="B753" s="528" t="s">
        <v>1317</v>
      </c>
      <c r="C753" s="551">
        <v>327.27720395775941</v>
      </c>
      <c r="D753" s="1302">
        <v>41.263305185279023</v>
      </c>
      <c r="E753" s="1302">
        <v>41.263305185279023</v>
      </c>
      <c r="F753" s="1302">
        <v>41.263305185279023</v>
      </c>
      <c r="G753" s="1302">
        <v>41.263305185279023</v>
      </c>
      <c r="H753" s="1356">
        <v>107.61326561280111</v>
      </c>
      <c r="I753" s="1356">
        <v>107.61326561280111</v>
      </c>
      <c r="J753" s="1356">
        <v>107.61326561280111</v>
      </c>
      <c r="K753" s="1356">
        <v>107.61326561280111</v>
      </c>
    </row>
    <row r="754" spans="1:11" s="551" customFormat="1">
      <c r="A754" s="550"/>
      <c r="B754" s="528" t="s">
        <v>1318</v>
      </c>
      <c r="C754" s="551">
        <v>817.69800959999338</v>
      </c>
      <c r="D754" s="1302">
        <v>0</v>
      </c>
      <c r="E754" s="1302">
        <v>0</v>
      </c>
      <c r="F754" s="1302">
        <v>0</v>
      </c>
      <c r="G754" s="1302">
        <v>0</v>
      </c>
      <c r="H754" s="1302">
        <v>0</v>
      </c>
      <c r="I754" s="1302">
        <v>0</v>
      </c>
      <c r="J754" s="1302">
        <v>0</v>
      </c>
      <c r="K754" s="1302">
        <v>0</v>
      </c>
    </row>
    <row r="755" spans="1:11" s="551" customFormat="1">
      <c r="A755" s="550"/>
      <c r="B755" s="528" t="s">
        <v>1319</v>
      </c>
      <c r="C755" s="551">
        <v>312.93979095039685</v>
      </c>
      <c r="D755" s="1302">
        <v>272.94037979647692</v>
      </c>
      <c r="E755" s="1302">
        <v>272.94037979647692</v>
      </c>
      <c r="F755" s="1302">
        <v>272.94037979647692</v>
      </c>
      <c r="G755" s="1355">
        <v>1608.7440204646336</v>
      </c>
      <c r="H755" s="1356">
        <v>145.22565294591914</v>
      </c>
      <c r="I755" s="1356">
        <v>145.22565294591914</v>
      </c>
      <c r="J755" s="1356">
        <v>145.22565294591914</v>
      </c>
      <c r="K755" s="1356">
        <v>145.22565294591914</v>
      </c>
    </row>
    <row r="756" spans="1:11" s="551" customFormat="1">
      <c r="A756" s="550"/>
      <c r="B756" s="528" t="s">
        <v>1320</v>
      </c>
      <c r="C756" s="551">
        <v>164.50543385599303</v>
      </c>
      <c r="D756" s="1302">
        <v>45.700712304642366</v>
      </c>
      <c r="E756" s="1302">
        <v>45.700712304642366</v>
      </c>
      <c r="F756" s="1302">
        <v>45.700712304642366</v>
      </c>
      <c r="G756" s="1355">
        <v>244.75059358720318</v>
      </c>
      <c r="H756" s="1356">
        <v>1049.7545508351977</v>
      </c>
      <c r="I756" s="1356">
        <v>1049.7545508351977</v>
      </c>
      <c r="J756" s="1356">
        <v>1049.7545508351977</v>
      </c>
      <c r="K756" s="1356">
        <v>1049.7545508351977</v>
      </c>
    </row>
    <row r="757" spans="1:11" s="551" customFormat="1">
      <c r="A757" s="550"/>
      <c r="B757" s="528" t="s">
        <v>1321</v>
      </c>
      <c r="C757" s="551">
        <v>164.50543385599303</v>
      </c>
      <c r="D757" s="1302">
        <v>45.700712304642366</v>
      </c>
      <c r="E757" s="1302">
        <v>45.700712304642366</v>
      </c>
      <c r="F757" s="1302">
        <v>45.700712304642366</v>
      </c>
      <c r="G757" s="1355">
        <v>244.75059358720318</v>
      </c>
      <c r="H757" s="1356">
        <v>1049.7545508351977</v>
      </c>
      <c r="I757" s="1356">
        <v>1049.7545508351977</v>
      </c>
      <c r="J757" s="1356">
        <v>1049.7545508351977</v>
      </c>
      <c r="K757" s="1356">
        <v>1049.7545508351977</v>
      </c>
    </row>
    <row r="758" spans="1:11" s="551" customFormat="1">
      <c r="A758" s="550"/>
      <c r="B758" s="528" t="s">
        <v>1322</v>
      </c>
      <c r="C758" s="551">
        <v>0</v>
      </c>
      <c r="D758" s="1302">
        <v>45.70071230463509</v>
      </c>
      <c r="E758" s="1302">
        <v>45.70071230463509</v>
      </c>
      <c r="F758" s="1302">
        <v>45.70071230463509</v>
      </c>
      <c r="G758" s="1355">
        <v>244.75059358719591</v>
      </c>
      <c r="H758" s="1355">
        <v>244.75059358719591</v>
      </c>
      <c r="I758" s="1355">
        <v>244.75059358719591</v>
      </c>
      <c r="J758" s="1355">
        <v>244.75059358719591</v>
      </c>
      <c r="K758" s="1355">
        <v>244.75059358719591</v>
      </c>
    </row>
    <row r="759" spans="1:11" s="551" customFormat="1">
      <c r="A759" s="550"/>
      <c r="B759" s="528" t="s">
        <v>1323</v>
      </c>
      <c r="C759" s="551">
        <v>0</v>
      </c>
      <c r="D759" s="1302">
        <v>45.70071230463509</v>
      </c>
      <c r="E759" s="1302">
        <v>45.70071230463509</v>
      </c>
      <c r="F759" s="1302">
        <v>45.70071230463509</v>
      </c>
      <c r="G759" s="1355">
        <v>244.75059358719591</v>
      </c>
      <c r="H759" s="1355">
        <v>244.75059358719591</v>
      </c>
      <c r="I759" s="1355">
        <v>244.75059358719591</v>
      </c>
      <c r="J759" s="1355">
        <v>244.75059358719591</v>
      </c>
      <c r="K759" s="1355">
        <v>244.75059358719591</v>
      </c>
    </row>
    <row r="760" spans="1:11" s="551" customFormat="1">
      <c r="A760" s="550"/>
      <c r="B760" s="528" t="s">
        <v>1324</v>
      </c>
      <c r="C760" s="551">
        <v>151.29878567935521</v>
      </c>
      <c r="D760" s="1302">
        <v>145.22565294591914</v>
      </c>
      <c r="E760" s="1302">
        <v>145.22565294591914</v>
      </c>
      <c r="F760" s="1302">
        <v>145.22565294591914</v>
      </c>
      <c r="G760" s="1355">
        <v>244.75059358719955</v>
      </c>
      <c r="H760" s="1356">
        <v>386.25494656000228</v>
      </c>
      <c r="I760" s="1356">
        <v>386.25494656000228</v>
      </c>
      <c r="J760" s="1356">
        <v>386.25494656000228</v>
      </c>
      <c r="K760" s="1356">
        <v>386.25494656000228</v>
      </c>
    </row>
    <row r="761" spans="1:11" s="551" customFormat="1">
      <c r="A761" s="550"/>
      <c r="B761" s="528" t="s">
        <v>1325</v>
      </c>
      <c r="C761" s="551">
        <v>817.69800959999338</v>
      </c>
      <c r="D761" s="1302">
        <v>41.263305185279023</v>
      </c>
      <c r="E761" s="1302">
        <v>41.263305185279023</v>
      </c>
      <c r="F761" s="1302">
        <v>41.263305185279023</v>
      </c>
      <c r="G761" s="1355">
        <v>86.964017489917751</v>
      </c>
      <c r="H761" s="1356">
        <v>45.700712304638728</v>
      </c>
      <c r="I761" s="1356">
        <v>45.700712304638728</v>
      </c>
      <c r="J761" s="1356">
        <v>45.700712304638728</v>
      </c>
      <c r="K761" s="1356">
        <v>45.700712304638728</v>
      </c>
    </row>
    <row r="762" spans="1:11" s="551" customFormat="1">
      <c r="A762" s="550"/>
      <c r="B762" s="528" t="s">
        <v>1326</v>
      </c>
      <c r="C762" s="551">
        <v>817.69800959999338</v>
      </c>
      <c r="D762" s="1302">
        <v>162.9048993023971</v>
      </c>
      <c r="E762" s="1302">
        <v>162.9048993023971</v>
      </c>
      <c r="F762" s="1302">
        <v>162.9048993023971</v>
      </c>
      <c r="G762" s="1302">
        <v>162.9048993023971</v>
      </c>
      <c r="H762" s="1356">
        <v>0</v>
      </c>
      <c r="I762" s="1356">
        <v>0</v>
      </c>
      <c r="J762" s="1356">
        <v>0</v>
      </c>
      <c r="K762" s="1356">
        <v>0</v>
      </c>
    </row>
    <row r="764" spans="1:11">
      <c r="A764" s="159">
        <v>6.21</v>
      </c>
      <c r="B764" s="530" t="s">
        <v>443</v>
      </c>
      <c r="D764" s="1294"/>
      <c r="E764" s="1294"/>
      <c r="F764" s="1294"/>
      <c r="G764" s="1294"/>
      <c r="H764" s="1294"/>
      <c r="I764" s="1294"/>
      <c r="J764" s="1294"/>
      <c r="K764" s="1294"/>
    </row>
    <row r="765" spans="1:11" s="551" customFormat="1">
      <c r="A765" s="550"/>
      <c r="B765" s="530" t="s">
        <v>1327</v>
      </c>
      <c r="C765" s="551">
        <v>7.0000000000000007E-2</v>
      </c>
      <c r="D765" s="1302">
        <v>0.04</v>
      </c>
      <c r="E765" s="1302">
        <v>0.04</v>
      </c>
      <c r="F765" s="1302">
        <v>0.04</v>
      </c>
      <c r="G765" s="1302">
        <v>0.04</v>
      </c>
      <c r="H765" s="1302">
        <v>0.04</v>
      </c>
      <c r="I765" s="1302">
        <v>0.04</v>
      </c>
      <c r="J765" s="1302">
        <v>0.04</v>
      </c>
      <c r="K765" s="1302">
        <v>0.04</v>
      </c>
    </row>
    <row r="766" spans="1:11" s="551" customFormat="1">
      <c r="A766" s="550"/>
      <c r="B766" s="530" t="s">
        <v>1328</v>
      </c>
      <c r="C766" s="551">
        <v>7.0000000000000007E-2</v>
      </c>
      <c r="D766" s="1302">
        <v>0.04</v>
      </c>
      <c r="E766" s="1302">
        <v>0.04</v>
      </c>
      <c r="F766" s="1302">
        <v>0.04</v>
      </c>
      <c r="G766" s="1302">
        <v>0.04</v>
      </c>
      <c r="H766" s="1302">
        <v>0.04</v>
      </c>
      <c r="I766" s="1302">
        <v>0.04</v>
      </c>
      <c r="J766" s="1302">
        <v>0.04</v>
      </c>
      <c r="K766" s="1302">
        <v>0.04</v>
      </c>
    </row>
    <row r="767" spans="1:11" s="551" customFormat="1">
      <c r="A767" s="550"/>
      <c r="B767" s="530" t="s">
        <v>1329</v>
      </c>
      <c r="C767" s="551">
        <v>7.0000000000000007E-2</v>
      </c>
      <c r="D767" s="1302">
        <v>0.04</v>
      </c>
      <c r="E767" s="1302">
        <v>0.04</v>
      </c>
      <c r="F767" s="1302">
        <v>0.04</v>
      </c>
      <c r="G767" s="1302">
        <v>0.04</v>
      </c>
      <c r="H767" s="1302">
        <v>0.04</v>
      </c>
      <c r="I767" s="1302">
        <v>0.04</v>
      </c>
      <c r="J767" s="1302">
        <v>0.04</v>
      </c>
      <c r="K767" s="1302">
        <v>0.04</v>
      </c>
    </row>
    <row r="768" spans="1:11" s="551" customFormat="1">
      <c r="A768" s="550"/>
      <c r="B768" s="530" t="s">
        <v>1330</v>
      </c>
      <c r="C768" s="551">
        <v>7.0000000000000007E-2</v>
      </c>
      <c r="D768" s="1302">
        <v>0.04</v>
      </c>
      <c r="E768" s="1302">
        <v>0.04</v>
      </c>
      <c r="F768" s="1302">
        <v>0.04</v>
      </c>
      <c r="G768" s="1302">
        <v>0.04</v>
      </c>
      <c r="H768" s="1302">
        <v>0.04</v>
      </c>
      <c r="I768" s="1302">
        <v>0.04</v>
      </c>
      <c r="J768" s="1302">
        <v>0.04</v>
      </c>
      <c r="K768" s="1302">
        <v>0.04</v>
      </c>
    </row>
    <row r="769" spans="1:11" s="551" customFormat="1">
      <c r="A769" s="550"/>
      <c r="B769" s="530" t="s">
        <v>1331</v>
      </c>
      <c r="C769" s="551">
        <v>0.08</v>
      </c>
      <c r="D769" s="1302">
        <v>0.12</v>
      </c>
      <c r="E769" s="1302">
        <v>0.12</v>
      </c>
      <c r="F769" s="1302">
        <v>0.12</v>
      </c>
      <c r="G769" s="1302">
        <v>0.12</v>
      </c>
      <c r="H769" s="1302">
        <v>0.12</v>
      </c>
      <c r="I769" s="1302">
        <v>0.12</v>
      </c>
      <c r="J769" s="1302">
        <v>0.12</v>
      </c>
      <c r="K769" s="1302">
        <v>0.12</v>
      </c>
    </row>
    <row r="770" spans="1:11" s="551" customFormat="1">
      <c r="A770" s="550"/>
      <c r="B770" s="530" t="s">
        <v>1332</v>
      </c>
      <c r="C770" s="551">
        <v>0.1</v>
      </c>
      <c r="D770" s="1302">
        <v>0.12</v>
      </c>
      <c r="E770" s="1302">
        <v>0.12</v>
      </c>
      <c r="F770" s="1302">
        <v>0.12</v>
      </c>
      <c r="G770" s="1302">
        <v>0.12</v>
      </c>
      <c r="H770" s="1302">
        <v>0.12</v>
      </c>
      <c r="I770" s="1302">
        <v>0.12</v>
      </c>
      <c r="J770" s="1302">
        <v>0.12</v>
      </c>
      <c r="K770" s="1302">
        <v>0.12</v>
      </c>
    </row>
    <row r="771" spans="1:11" s="551" customFormat="1">
      <c r="A771" s="550"/>
      <c r="B771" s="530" t="s">
        <v>1333</v>
      </c>
      <c r="C771" s="551">
        <v>0.1</v>
      </c>
      <c r="D771" s="1302">
        <v>0.12</v>
      </c>
      <c r="E771" s="1302">
        <v>0.12</v>
      </c>
      <c r="F771" s="1302">
        <v>0.12</v>
      </c>
      <c r="G771" s="1302">
        <v>0.12</v>
      </c>
      <c r="H771" s="1302">
        <v>0.12</v>
      </c>
      <c r="I771" s="1302">
        <v>0.12</v>
      </c>
      <c r="J771" s="1302">
        <v>0.12</v>
      </c>
      <c r="K771" s="1302">
        <v>0.12</v>
      </c>
    </row>
    <row r="772" spans="1:11" s="551" customFormat="1">
      <c r="A772" s="550"/>
      <c r="B772" s="530" t="s">
        <v>1334</v>
      </c>
      <c r="C772" s="551">
        <v>0.1</v>
      </c>
      <c r="D772" s="1302">
        <v>0.12</v>
      </c>
      <c r="E772" s="1302">
        <v>0.12</v>
      </c>
      <c r="F772" s="1302">
        <v>0.12</v>
      </c>
      <c r="G772" s="1302">
        <v>0.12</v>
      </c>
      <c r="H772" s="1302">
        <v>0.12</v>
      </c>
      <c r="I772" s="1302">
        <v>0.12</v>
      </c>
      <c r="J772" s="1302">
        <v>0.12</v>
      </c>
      <c r="K772" s="1302">
        <v>0.12</v>
      </c>
    </row>
    <row r="773" spans="1:11" s="551" customFormat="1">
      <c r="A773" s="550"/>
      <c r="B773" s="530" t="s">
        <v>1335</v>
      </c>
      <c r="C773" s="551">
        <v>0.1</v>
      </c>
      <c r="D773" s="1302">
        <v>0.12</v>
      </c>
      <c r="E773" s="1302">
        <v>0.12</v>
      </c>
      <c r="F773" s="1302">
        <v>0.12</v>
      </c>
      <c r="G773" s="1302">
        <v>0.12</v>
      </c>
      <c r="H773" s="1302">
        <v>0.12</v>
      </c>
      <c r="I773" s="1302">
        <v>0.12</v>
      </c>
      <c r="J773" s="1302">
        <v>0.12</v>
      </c>
      <c r="K773" s="1302">
        <v>0.12</v>
      </c>
    </row>
    <row r="774" spans="1:11" s="551" customFormat="1">
      <c r="A774" s="550"/>
      <c r="B774" s="530" t="s">
        <v>1336</v>
      </c>
      <c r="C774" s="551">
        <v>0.1</v>
      </c>
      <c r="D774" s="1296">
        <v>0.1</v>
      </c>
      <c r="E774" s="1296">
        <v>0.1</v>
      </c>
      <c r="F774" s="1296">
        <v>0.1</v>
      </c>
      <c r="G774" s="1296">
        <v>0.1</v>
      </c>
      <c r="H774" s="1296">
        <v>0.1</v>
      </c>
      <c r="I774" s="1296">
        <v>0.1</v>
      </c>
      <c r="J774" s="1296">
        <v>0.1</v>
      </c>
      <c r="K774" s="1296">
        <v>0.1</v>
      </c>
    </row>
    <row r="775" spans="1:11" s="551" customFormat="1">
      <c r="A775" s="550"/>
      <c r="B775" s="530" t="s">
        <v>1337</v>
      </c>
      <c r="C775" s="551">
        <v>7.0000000000000007E-2</v>
      </c>
      <c r="D775" s="1296">
        <v>7.0000000000000007E-2</v>
      </c>
      <c r="E775" s="1296">
        <v>7.0000000000000007E-2</v>
      </c>
      <c r="F775" s="1296">
        <v>7.0000000000000007E-2</v>
      </c>
      <c r="G775" s="1296">
        <v>7.0000000000000007E-2</v>
      </c>
      <c r="H775" s="1296">
        <v>7.0000000000000007E-2</v>
      </c>
      <c r="I775" s="1296">
        <v>7.0000000000000007E-2</v>
      </c>
      <c r="J775" s="1296">
        <v>7.0000000000000007E-2</v>
      </c>
      <c r="K775" s="1296">
        <v>7.0000000000000007E-2</v>
      </c>
    </row>
    <row r="776" spans="1:11" s="551" customFormat="1">
      <c r="A776" s="550"/>
      <c r="B776" s="530" t="s">
        <v>1338</v>
      </c>
      <c r="C776" s="551">
        <v>7.0000000000000007E-2</v>
      </c>
      <c r="D776" s="1296">
        <v>7.0000000000000007E-2</v>
      </c>
      <c r="E776" s="1296">
        <v>7.0000000000000007E-2</v>
      </c>
      <c r="F776" s="1296">
        <v>7.0000000000000007E-2</v>
      </c>
      <c r="G776" s="1296">
        <v>7.0000000000000007E-2</v>
      </c>
      <c r="H776" s="1296">
        <v>7.0000000000000007E-2</v>
      </c>
      <c r="I776" s="1296">
        <v>7.0000000000000007E-2</v>
      </c>
      <c r="J776" s="1296">
        <v>7.0000000000000007E-2</v>
      </c>
      <c r="K776" s="1296">
        <v>7.0000000000000007E-2</v>
      </c>
    </row>
    <row r="777" spans="1:11" s="551" customFormat="1">
      <c r="A777" s="550"/>
      <c r="B777" s="530" t="s">
        <v>1339</v>
      </c>
      <c r="C777" s="551">
        <v>0.06</v>
      </c>
      <c r="D777" s="1296">
        <v>0.06</v>
      </c>
      <c r="E777" s="1296">
        <v>0.06</v>
      </c>
      <c r="F777" s="1296">
        <v>0.06</v>
      </c>
      <c r="G777" s="1296">
        <v>0.06</v>
      </c>
      <c r="H777" s="1296">
        <v>0.06</v>
      </c>
      <c r="I777" s="1296">
        <v>0.06</v>
      </c>
      <c r="J777" s="1296">
        <v>0.06</v>
      </c>
      <c r="K777" s="1296">
        <v>0.06</v>
      </c>
    </row>
    <row r="778" spans="1:11" s="551" customFormat="1">
      <c r="A778" s="550"/>
      <c r="B778" s="530" t="s">
        <v>1340</v>
      </c>
      <c r="C778" s="551">
        <v>0.06</v>
      </c>
      <c r="D778" s="1302">
        <v>0.05</v>
      </c>
      <c r="E778" s="1302">
        <v>0.05</v>
      </c>
      <c r="F778" s="1302">
        <v>0.05</v>
      </c>
      <c r="G778" s="1302">
        <v>0.05</v>
      </c>
      <c r="H778" s="1302">
        <v>0.05</v>
      </c>
      <c r="I778" s="1302">
        <v>0.05</v>
      </c>
      <c r="J778" s="1302">
        <v>0.05</v>
      </c>
      <c r="K778" s="1302">
        <v>0.05</v>
      </c>
    </row>
    <row r="779" spans="1:11" s="551" customFormat="1">
      <c r="A779" s="550"/>
      <c r="B779" s="530" t="s">
        <v>1341</v>
      </c>
      <c r="C779" s="551">
        <v>0.06</v>
      </c>
      <c r="D779" s="1296">
        <v>0.06</v>
      </c>
      <c r="E779" s="1296">
        <v>0.06</v>
      </c>
      <c r="F779" s="1296">
        <v>0.06</v>
      </c>
      <c r="G779" s="1296">
        <v>0.06</v>
      </c>
      <c r="H779" s="1296">
        <v>0.06</v>
      </c>
      <c r="I779" s="1296">
        <v>0.06</v>
      </c>
      <c r="J779" s="1296">
        <v>0.06</v>
      </c>
      <c r="K779" s="1296">
        <v>0.06</v>
      </c>
    </row>
    <row r="780" spans="1:11" s="551" customFormat="1">
      <c r="A780" s="550"/>
      <c r="B780" s="530" t="s">
        <v>1342</v>
      </c>
      <c r="C780" s="551">
        <v>7.0000000000000007E-2</v>
      </c>
      <c r="D780" s="1302">
        <v>0.06</v>
      </c>
      <c r="E780" s="1302">
        <v>0.06</v>
      </c>
      <c r="F780" s="1302">
        <v>0.06</v>
      </c>
      <c r="G780" s="1302">
        <v>0.06</v>
      </c>
      <c r="H780" s="1302">
        <v>0.06</v>
      </c>
      <c r="I780" s="1302">
        <v>0.06</v>
      </c>
      <c r="J780" s="1302">
        <v>0.06</v>
      </c>
      <c r="K780" s="1302">
        <v>0.06</v>
      </c>
    </row>
    <row r="781" spans="1:11" s="551" customFormat="1">
      <c r="A781" s="550"/>
      <c r="B781" s="530" t="s">
        <v>1343</v>
      </c>
      <c r="C781" s="551">
        <v>0.08</v>
      </c>
      <c r="D781" s="1302">
        <v>0.11</v>
      </c>
      <c r="E781" s="1302">
        <v>0.11</v>
      </c>
      <c r="F781" s="1302">
        <v>0.11</v>
      </c>
      <c r="G781" s="1302">
        <v>0.11</v>
      </c>
      <c r="H781" s="1302">
        <v>0.11</v>
      </c>
      <c r="I781" s="1302">
        <v>0.11</v>
      </c>
      <c r="J781" s="1302">
        <v>0.11</v>
      </c>
      <c r="K781" s="1302">
        <v>0.11</v>
      </c>
    </row>
    <row r="782" spans="1:11" s="551" customFormat="1">
      <c r="A782" s="550"/>
      <c r="B782" s="530" t="s">
        <v>1344</v>
      </c>
      <c r="C782" s="551">
        <v>0.1</v>
      </c>
      <c r="D782" s="1302">
        <v>0.11</v>
      </c>
      <c r="E782" s="1302">
        <v>0.11</v>
      </c>
      <c r="F782" s="1302">
        <v>0.11</v>
      </c>
      <c r="G782" s="1302">
        <v>0.11</v>
      </c>
      <c r="H782" s="1302">
        <v>0.11</v>
      </c>
      <c r="I782" s="1302">
        <v>0.11</v>
      </c>
      <c r="J782" s="1302">
        <v>0.11</v>
      </c>
      <c r="K782" s="1302">
        <v>0.11</v>
      </c>
    </row>
    <row r="783" spans="1:11" s="551" customFormat="1">
      <c r="A783" s="550"/>
      <c r="B783" s="530" t="s">
        <v>1345</v>
      </c>
      <c r="C783" s="551">
        <v>0.1</v>
      </c>
      <c r="D783" s="1302">
        <v>0.11</v>
      </c>
      <c r="E783" s="1302">
        <v>0.11</v>
      </c>
      <c r="F783" s="1302">
        <v>0.11</v>
      </c>
      <c r="G783" s="1302">
        <v>0.11</v>
      </c>
      <c r="H783" s="1302">
        <v>0.11</v>
      </c>
      <c r="I783" s="1302">
        <v>0.11</v>
      </c>
      <c r="J783" s="1302">
        <v>0.11</v>
      </c>
      <c r="K783" s="1302">
        <v>0.11</v>
      </c>
    </row>
    <row r="784" spans="1:11" s="551" customFormat="1">
      <c r="A784" s="550"/>
      <c r="B784" s="530" t="s">
        <v>1346</v>
      </c>
      <c r="C784" s="551">
        <v>0.11</v>
      </c>
      <c r="D784" s="1296">
        <v>0.11</v>
      </c>
      <c r="E784" s="1296">
        <v>0.11</v>
      </c>
      <c r="F784" s="1296">
        <v>0.11</v>
      </c>
      <c r="G784" s="1296">
        <v>0.11</v>
      </c>
      <c r="H784" s="1296">
        <v>0.11</v>
      </c>
      <c r="I784" s="1296">
        <v>0.11</v>
      </c>
      <c r="J784" s="1296">
        <v>0.11</v>
      </c>
      <c r="K784" s="1296">
        <v>0.11</v>
      </c>
    </row>
    <row r="785" spans="1:11" s="551" customFormat="1">
      <c r="A785" s="550"/>
      <c r="B785" s="530" t="s">
        <v>1347</v>
      </c>
      <c r="C785" s="551">
        <v>0.11</v>
      </c>
      <c r="D785" s="1296">
        <v>0.11</v>
      </c>
      <c r="E785" s="1296">
        <v>0.11</v>
      </c>
      <c r="F785" s="1296">
        <v>0.11</v>
      </c>
      <c r="G785" s="1296">
        <v>0.11</v>
      </c>
      <c r="H785" s="1296">
        <v>0.11</v>
      </c>
      <c r="I785" s="1296">
        <v>0.11</v>
      </c>
      <c r="J785" s="1296">
        <v>0.11</v>
      </c>
      <c r="K785" s="1296">
        <v>0.11</v>
      </c>
    </row>
    <row r="786" spans="1:11" s="551" customFormat="1">
      <c r="A786" s="550"/>
      <c r="B786" s="530" t="s">
        <v>1348</v>
      </c>
      <c r="C786" s="551">
        <v>0.11</v>
      </c>
      <c r="D786" s="1296">
        <v>0.11</v>
      </c>
      <c r="E786" s="1296">
        <v>0.11</v>
      </c>
      <c r="F786" s="1296">
        <v>0.11</v>
      </c>
      <c r="G786" s="1296">
        <v>0.11</v>
      </c>
      <c r="H786" s="1296">
        <v>0.11</v>
      </c>
      <c r="I786" s="1296">
        <v>0.11</v>
      </c>
      <c r="J786" s="1296">
        <v>0.11</v>
      </c>
      <c r="K786" s="1296">
        <v>0.11</v>
      </c>
    </row>
    <row r="787" spans="1:11" s="551" customFormat="1">
      <c r="A787" s="550"/>
      <c r="B787" s="530" t="s">
        <v>1349</v>
      </c>
      <c r="C787" s="551">
        <v>7.0000000000000007E-2</v>
      </c>
      <c r="D787" s="1302">
        <v>0.06</v>
      </c>
      <c r="E787" s="1302">
        <v>0.06</v>
      </c>
      <c r="F787" s="1302">
        <v>0.06</v>
      </c>
      <c r="G787" s="1302">
        <v>0.06</v>
      </c>
      <c r="H787" s="1302">
        <v>0.06</v>
      </c>
      <c r="I787" s="1302">
        <v>0.06</v>
      </c>
      <c r="J787" s="1302">
        <v>0.06</v>
      </c>
      <c r="K787" s="1302">
        <v>0.06</v>
      </c>
    </row>
    <row r="788" spans="1:11" s="551" customFormat="1">
      <c r="A788" s="550"/>
      <c r="B788" s="530" t="s">
        <v>1350</v>
      </c>
      <c r="C788" s="551">
        <v>7.0000000000000007E-2</v>
      </c>
      <c r="D788" s="1302">
        <v>0.05</v>
      </c>
      <c r="E788" s="1302">
        <v>0.05</v>
      </c>
      <c r="F788" s="1302">
        <v>0.05</v>
      </c>
      <c r="G788" s="1302">
        <v>0.05</v>
      </c>
      <c r="H788" s="1302">
        <v>0.05</v>
      </c>
      <c r="I788" s="1302">
        <v>0.05</v>
      </c>
      <c r="J788" s="1302">
        <v>0.05</v>
      </c>
      <c r="K788" s="1302">
        <v>0.05</v>
      </c>
    </row>
    <row r="789" spans="1:11" s="551" customFormat="1">
      <c r="A789" s="550"/>
      <c r="B789" s="530" t="s">
        <v>1351</v>
      </c>
      <c r="C789" s="551">
        <v>0.05</v>
      </c>
      <c r="D789" s="1302">
        <v>0.02</v>
      </c>
      <c r="E789" s="1302">
        <v>0.02</v>
      </c>
      <c r="F789" s="1302">
        <v>0.02</v>
      </c>
      <c r="G789" s="1302">
        <v>0.02</v>
      </c>
      <c r="H789" s="1302">
        <v>0.02</v>
      </c>
      <c r="I789" s="1302">
        <v>0.02</v>
      </c>
      <c r="J789" s="1302">
        <v>0.02</v>
      </c>
      <c r="K789" s="1302">
        <v>0.02</v>
      </c>
    </row>
    <row r="790" spans="1:11" s="551" customFormat="1">
      <c r="A790" s="550"/>
      <c r="B790" s="530" t="s">
        <v>1352</v>
      </c>
      <c r="C790" s="551">
        <v>0.05</v>
      </c>
      <c r="D790" s="1302">
        <v>0.03</v>
      </c>
      <c r="E790" s="1302">
        <v>0.03</v>
      </c>
      <c r="F790" s="1302">
        <v>0.03</v>
      </c>
      <c r="G790" s="1302">
        <v>0.03</v>
      </c>
      <c r="H790" s="1302">
        <v>0.03</v>
      </c>
      <c r="I790" s="1302">
        <v>0.03</v>
      </c>
      <c r="J790" s="1302">
        <v>0.03</v>
      </c>
      <c r="K790" s="1302">
        <v>0.03</v>
      </c>
    </row>
    <row r="791" spans="1:11" s="551" customFormat="1">
      <c r="A791" s="550"/>
      <c r="B791" s="530" t="s">
        <v>1353</v>
      </c>
      <c r="C791" s="551">
        <v>0.06</v>
      </c>
      <c r="D791" s="1302">
        <v>0.03</v>
      </c>
      <c r="E791" s="1302">
        <v>0.03</v>
      </c>
      <c r="F791" s="1302">
        <v>0.03</v>
      </c>
      <c r="G791" s="1302">
        <v>0.03</v>
      </c>
      <c r="H791" s="1302">
        <v>0.03</v>
      </c>
      <c r="I791" s="1302">
        <v>0.03</v>
      </c>
      <c r="J791" s="1302">
        <v>0.03</v>
      </c>
      <c r="K791" s="1302">
        <v>0.03</v>
      </c>
    </row>
    <row r="792" spans="1:11" s="551" customFormat="1">
      <c r="A792" s="550"/>
      <c r="B792" s="530" t="s">
        <v>1354</v>
      </c>
      <c r="C792" s="551">
        <v>7.0000000000000007E-2</v>
      </c>
      <c r="D792" s="1302">
        <v>0.04</v>
      </c>
      <c r="E792" s="1302">
        <v>0.04</v>
      </c>
      <c r="F792" s="1302">
        <v>0.04</v>
      </c>
      <c r="G792" s="1302">
        <v>0.04</v>
      </c>
      <c r="H792" s="1302">
        <v>0.04</v>
      </c>
      <c r="I792" s="1302">
        <v>0.04</v>
      </c>
      <c r="J792" s="1302">
        <v>0.04</v>
      </c>
      <c r="K792" s="1302">
        <v>0.04</v>
      </c>
    </row>
    <row r="793" spans="1:11" s="551" customFormat="1">
      <c r="A793" s="550"/>
      <c r="B793" s="530" t="s">
        <v>1355</v>
      </c>
      <c r="C793" s="551">
        <v>0.08</v>
      </c>
      <c r="D793" s="1302">
        <v>0.11</v>
      </c>
      <c r="E793" s="1302">
        <v>0.11</v>
      </c>
      <c r="F793" s="1302">
        <v>0.11</v>
      </c>
      <c r="G793" s="1302">
        <v>0.11</v>
      </c>
      <c r="H793" s="1302">
        <v>0.11</v>
      </c>
      <c r="I793" s="1302">
        <v>0.11</v>
      </c>
      <c r="J793" s="1302">
        <v>0.11</v>
      </c>
      <c r="K793" s="1302">
        <v>0.11</v>
      </c>
    </row>
    <row r="794" spans="1:11" s="551" customFormat="1">
      <c r="A794" s="550"/>
      <c r="B794" s="530" t="s">
        <v>1356</v>
      </c>
      <c r="C794" s="551">
        <v>0.1</v>
      </c>
      <c r="D794" s="1302">
        <v>0.12</v>
      </c>
      <c r="E794" s="1302">
        <v>0.12</v>
      </c>
      <c r="F794" s="1302">
        <v>0.12</v>
      </c>
      <c r="G794" s="1302">
        <v>0.12</v>
      </c>
      <c r="H794" s="1302">
        <v>0.12</v>
      </c>
      <c r="I794" s="1302">
        <v>0.12</v>
      </c>
      <c r="J794" s="1302">
        <v>0.12</v>
      </c>
      <c r="K794" s="1302">
        <v>0.12</v>
      </c>
    </row>
    <row r="795" spans="1:11" s="551" customFormat="1">
      <c r="A795" s="550"/>
      <c r="B795" s="530" t="s">
        <v>1357</v>
      </c>
      <c r="C795" s="551">
        <v>0.1</v>
      </c>
      <c r="D795" s="1302">
        <v>0.12</v>
      </c>
      <c r="E795" s="1302">
        <v>0.12</v>
      </c>
      <c r="F795" s="1302">
        <v>0.12</v>
      </c>
      <c r="G795" s="1302">
        <v>0.12</v>
      </c>
      <c r="H795" s="1302">
        <v>0.12</v>
      </c>
      <c r="I795" s="1302">
        <v>0.12</v>
      </c>
      <c r="J795" s="1302">
        <v>0.12</v>
      </c>
      <c r="K795" s="1302">
        <v>0.12</v>
      </c>
    </row>
    <row r="796" spans="1:11" s="551" customFormat="1">
      <c r="A796" s="550"/>
      <c r="B796" s="530" t="s">
        <v>1358</v>
      </c>
      <c r="C796" s="551">
        <v>0.12</v>
      </c>
      <c r="D796" s="1296">
        <v>0.12</v>
      </c>
      <c r="E796" s="1296">
        <v>0.12</v>
      </c>
      <c r="F796" s="1296">
        <v>0.12</v>
      </c>
      <c r="G796" s="1296">
        <v>0.12</v>
      </c>
      <c r="H796" s="1296">
        <v>0.12</v>
      </c>
      <c r="I796" s="1296">
        <v>0.12</v>
      </c>
      <c r="J796" s="1296">
        <v>0.12</v>
      </c>
      <c r="K796" s="1296">
        <v>0.12</v>
      </c>
    </row>
    <row r="797" spans="1:11" s="551" customFormat="1">
      <c r="A797" s="550"/>
      <c r="B797" s="530" t="s">
        <v>1359</v>
      </c>
      <c r="C797" s="551">
        <v>0.12</v>
      </c>
      <c r="D797" s="1296">
        <v>0.12</v>
      </c>
      <c r="E797" s="1296">
        <v>0.12</v>
      </c>
      <c r="F797" s="1296">
        <v>0.12</v>
      </c>
      <c r="G797" s="1296">
        <v>0.12</v>
      </c>
      <c r="H797" s="1296">
        <v>0.12</v>
      </c>
      <c r="I797" s="1296">
        <v>0.12</v>
      </c>
      <c r="J797" s="1296">
        <v>0.12</v>
      </c>
      <c r="K797" s="1296">
        <v>0.12</v>
      </c>
    </row>
    <row r="798" spans="1:11" s="551" customFormat="1">
      <c r="A798" s="550"/>
      <c r="B798" s="530" t="s">
        <v>1360</v>
      </c>
      <c r="C798" s="551">
        <v>0.11</v>
      </c>
      <c r="D798" s="1296">
        <v>0.11</v>
      </c>
      <c r="E798" s="1296">
        <v>0.11</v>
      </c>
      <c r="F798" s="1296">
        <v>0.11</v>
      </c>
      <c r="G798" s="1296">
        <v>0.11</v>
      </c>
      <c r="H798" s="1296">
        <v>0.11</v>
      </c>
      <c r="I798" s="1296">
        <v>0.11</v>
      </c>
      <c r="J798" s="1296">
        <v>0.11</v>
      </c>
      <c r="K798" s="1296">
        <v>0.11</v>
      </c>
    </row>
    <row r="799" spans="1:11" s="551" customFormat="1">
      <c r="A799" s="550"/>
      <c r="B799" s="530" t="s">
        <v>1361</v>
      </c>
      <c r="C799" s="551">
        <v>7.0000000000000007E-2</v>
      </c>
      <c r="D799" s="1302">
        <v>0.15</v>
      </c>
      <c r="E799" s="1302">
        <v>0.15</v>
      </c>
      <c r="F799" s="1302">
        <v>0.15</v>
      </c>
      <c r="G799" s="1302">
        <v>0.15</v>
      </c>
      <c r="H799" s="1302">
        <v>0.15</v>
      </c>
      <c r="I799" s="1302">
        <v>0.15</v>
      </c>
      <c r="J799" s="1302">
        <v>0.15</v>
      </c>
      <c r="K799" s="1302">
        <v>0.15</v>
      </c>
    </row>
    <row r="800" spans="1:11" s="551" customFormat="1">
      <c r="A800" s="550"/>
      <c r="B800" s="530" t="s">
        <v>1362</v>
      </c>
      <c r="C800" s="551">
        <v>7.0000000000000007E-2</v>
      </c>
      <c r="D800" s="1302">
        <v>0.03</v>
      </c>
      <c r="E800" s="1302">
        <v>0.03</v>
      </c>
      <c r="F800" s="1302">
        <v>0.03</v>
      </c>
      <c r="G800" s="1302">
        <v>0.03</v>
      </c>
      <c r="H800" s="1302">
        <v>0.03</v>
      </c>
      <c r="I800" s="1302">
        <v>0.03</v>
      </c>
      <c r="J800" s="1302">
        <v>0.03</v>
      </c>
      <c r="K800" s="1302">
        <v>0.03</v>
      </c>
    </row>
    <row r="801" spans="1:11" s="551" customFormat="1">
      <c r="A801" s="550"/>
      <c r="B801" s="530" t="s">
        <v>1363</v>
      </c>
      <c r="C801" s="551">
        <v>0.05</v>
      </c>
      <c r="D801" s="1296">
        <v>0.05</v>
      </c>
      <c r="E801" s="1296">
        <v>0.05</v>
      </c>
      <c r="F801" s="1296">
        <v>0.05</v>
      </c>
      <c r="G801" s="1296">
        <v>0.05</v>
      </c>
      <c r="H801" s="1296">
        <v>0.05</v>
      </c>
      <c r="I801" s="1296">
        <v>0.05</v>
      </c>
      <c r="J801" s="1296">
        <v>0.05</v>
      </c>
      <c r="K801" s="1296">
        <v>0.05</v>
      </c>
    </row>
    <row r="802" spans="1:11" s="551" customFormat="1">
      <c r="A802" s="550"/>
      <c r="B802" s="530" t="s">
        <v>1364</v>
      </c>
      <c r="C802" s="551">
        <v>0.05</v>
      </c>
      <c r="D802" s="1296">
        <v>0.05</v>
      </c>
      <c r="E802" s="1296">
        <v>0.05</v>
      </c>
      <c r="F802" s="1296">
        <v>0.05</v>
      </c>
      <c r="G802" s="1296">
        <v>0.05</v>
      </c>
      <c r="H802" s="1296">
        <v>0.05</v>
      </c>
      <c r="I802" s="1296">
        <v>0.05</v>
      </c>
      <c r="J802" s="1296">
        <v>0.05</v>
      </c>
      <c r="K802" s="1296">
        <v>0.05</v>
      </c>
    </row>
    <row r="803" spans="1:11" s="551" customFormat="1">
      <c r="A803" s="550"/>
      <c r="B803" s="530" t="s">
        <v>1365</v>
      </c>
      <c r="C803" s="551">
        <v>0.06</v>
      </c>
      <c r="D803" s="1296">
        <v>0.06</v>
      </c>
      <c r="E803" s="1296">
        <v>0.06</v>
      </c>
      <c r="F803" s="1296">
        <v>0.06</v>
      </c>
      <c r="G803" s="1296">
        <v>0.06</v>
      </c>
      <c r="H803" s="1296">
        <v>0.06</v>
      </c>
      <c r="I803" s="1296">
        <v>0.06</v>
      </c>
      <c r="J803" s="1296">
        <v>0.06</v>
      </c>
      <c r="K803" s="1296">
        <v>0.06</v>
      </c>
    </row>
    <row r="804" spans="1:11" s="551" customFormat="1">
      <c r="A804" s="550"/>
      <c r="B804" s="530" t="s">
        <v>1366</v>
      </c>
      <c r="C804" s="551">
        <v>7.0000000000000007E-2</v>
      </c>
      <c r="D804" s="1296">
        <v>7.0000000000000007E-2</v>
      </c>
      <c r="E804" s="1296">
        <v>7.0000000000000007E-2</v>
      </c>
      <c r="F804" s="1296">
        <v>7.0000000000000007E-2</v>
      </c>
      <c r="G804" s="1296">
        <v>7.0000000000000007E-2</v>
      </c>
      <c r="H804" s="1296">
        <v>7.0000000000000007E-2</v>
      </c>
      <c r="I804" s="1296">
        <v>7.0000000000000007E-2</v>
      </c>
      <c r="J804" s="1296">
        <v>7.0000000000000007E-2</v>
      </c>
      <c r="K804" s="1296">
        <v>7.0000000000000007E-2</v>
      </c>
    </row>
    <row r="805" spans="1:11" s="551" customFormat="1">
      <c r="A805" s="550"/>
      <c r="B805" s="530" t="s">
        <v>1367</v>
      </c>
      <c r="C805" s="551">
        <v>0.08</v>
      </c>
      <c r="D805" s="1296">
        <v>0.08</v>
      </c>
      <c r="E805" s="1296">
        <v>0.08</v>
      </c>
      <c r="F805" s="1296">
        <v>0.08</v>
      </c>
      <c r="G805" s="1296">
        <v>0.08</v>
      </c>
      <c r="H805" s="1296">
        <v>0.08</v>
      </c>
      <c r="I805" s="1296">
        <v>0.08</v>
      </c>
      <c r="J805" s="1296">
        <v>0.08</v>
      </c>
      <c r="K805" s="1296">
        <v>0.08</v>
      </c>
    </row>
    <row r="806" spans="1:11" s="551" customFormat="1">
      <c r="A806" s="550"/>
      <c r="B806" s="530" t="s">
        <v>1368</v>
      </c>
      <c r="C806" s="551">
        <v>0.1</v>
      </c>
      <c r="D806" s="1296">
        <v>0.1</v>
      </c>
      <c r="E806" s="1296">
        <v>0.1</v>
      </c>
      <c r="F806" s="1296">
        <v>0.1</v>
      </c>
      <c r="G806" s="1296">
        <v>0.1</v>
      </c>
      <c r="H806" s="1296">
        <v>0.1</v>
      </c>
      <c r="I806" s="1296">
        <v>0.1</v>
      </c>
      <c r="J806" s="1296">
        <v>0.1</v>
      </c>
      <c r="K806" s="1296">
        <v>0.1</v>
      </c>
    </row>
    <row r="807" spans="1:11" s="551" customFormat="1">
      <c r="A807" s="550"/>
      <c r="B807" s="530" t="s">
        <v>1369</v>
      </c>
      <c r="C807" s="551">
        <v>0.1</v>
      </c>
      <c r="D807" s="1296">
        <v>0.1</v>
      </c>
      <c r="E807" s="1296">
        <v>0.1</v>
      </c>
      <c r="F807" s="1296">
        <v>0.1</v>
      </c>
      <c r="G807" s="1296">
        <v>0.1</v>
      </c>
      <c r="H807" s="1296">
        <v>0.1</v>
      </c>
      <c r="I807" s="1296">
        <v>0.1</v>
      </c>
      <c r="J807" s="1296">
        <v>0.1</v>
      </c>
      <c r="K807" s="1296">
        <v>0.1</v>
      </c>
    </row>
    <row r="808" spans="1:11" s="551" customFormat="1">
      <c r="A808" s="550"/>
      <c r="B808" s="530" t="s">
        <v>1370</v>
      </c>
      <c r="C808" s="551">
        <v>0.12</v>
      </c>
      <c r="D808" s="1296">
        <v>0.12</v>
      </c>
      <c r="E808" s="1296">
        <v>0.12</v>
      </c>
      <c r="F808" s="1296">
        <v>0.12</v>
      </c>
      <c r="G808" s="1296">
        <v>0.12</v>
      </c>
      <c r="H808" s="1296">
        <v>0.12</v>
      </c>
      <c r="I808" s="1296">
        <v>0.12</v>
      </c>
      <c r="J808" s="1296">
        <v>0.12</v>
      </c>
      <c r="K808" s="1296">
        <v>0.12</v>
      </c>
    </row>
    <row r="809" spans="1:11" s="551" customFormat="1">
      <c r="A809" s="550"/>
      <c r="B809" s="530" t="s">
        <v>1371</v>
      </c>
      <c r="C809" s="551">
        <v>0.12</v>
      </c>
      <c r="D809" s="1296">
        <v>0.12</v>
      </c>
      <c r="E809" s="1296">
        <v>0.12</v>
      </c>
      <c r="F809" s="1296">
        <v>0.12</v>
      </c>
      <c r="G809" s="1296">
        <v>0.12</v>
      </c>
      <c r="H809" s="1296">
        <v>0.12</v>
      </c>
      <c r="I809" s="1296">
        <v>0.12</v>
      </c>
      <c r="J809" s="1296">
        <v>0.12</v>
      </c>
      <c r="K809" s="1296">
        <v>0.12</v>
      </c>
    </row>
    <row r="810" spans="1:11" s="551" customFormat="1">
      <c r="A810" s="550"/>
      <c r="B810" s="530" t="s">
        <v>1372</v>
      </c>
      <c r="C810" s="551">
        <v>0.11</v>
      </c>
      <c r="D810" s="1296">
        <v>0.11</v>
      </c>
      <c r="E810" s="1296">
        <v>0.11</v>
      </c>
      <c r="F810" s="1296">
        <v>0.11</v>
      </c>
      <c r="G810" s="1296">
        <v>0.11</v>
      </c>
      <c r="H810" s="1296">
        <v>0.11</v>
      </c>
      <c r="I810" s="1296">
        <v>0.11</v>
      </c>
      <c r="J810" s="1296">
        <v>0.11</v>
      </c>
      <c r="K810" s="1296">
        <v>0.11</v>
      </c>
    </row>
    <row r="811" spans="1:11" s="551" customFormat="1">
      <c r="A811" s="550"/>
      <c r="B811" s="530" t="s">
        <v>1373</v>
      </c>
      <c r="C811" s="551">
        <v>7.0000000000000007E-2</v>
      </c>
      <c r="D811" s="1296">
        <v>7.0000000000000007E-2</v>
      </c>
      <c r="E811" s="1296">
        <v>7.0000000000000007E-2</v>
      </c>
      <c r="F811" s="1296">
        <v>7.0000000000000007E-2</v>
      </c>
      <c r="G811" s="1296">
        <v>7.0000000000000007E-2</v>
      </c>
      <c r="H811" s="1296">
        <v>7.0000000000000007E-2</v>
      </c>
      <c r="I811" s="1296">
        <v>7.0000000000000007E-2</v>
      </c>
      <c r="J811" s="1296">
        <v>7.0000000000000007E-2</v>
      </c>
      <c r="K811" s="1296">
        <v>7.0000000000000007E-2</v>
      </c>
    </row>
    <row r="812" spans="1:11" s="551" customFormat="1">
      <c r="A812" s="550"/>
      <c r="B812" s="530" t="s">
        <v>1374</v>
      </c>
      <c r="C812" s="551">
        <v>7.0000000000000007E-2</v>
      </c>
      <c r="D812" s="1296">
        <v>7.0000000000000007E-2</v>
      </c>
      <c r="E812" s="1296">
        <v>7.0000000000000007E-2</v>
      </c>
      <c r="F812" s="1296">
        <v>7.0000000000000007E-2</v>
      </c>
      <c r="G812" s="1296">
        <v>7.0000000000000007E-2</v>
      </c>
      <c r="H812" s="1296">
        <v>7.0000000000000007E-2</v>
      </c>
      <c r="I812" s="1296">
        <v>7.0000000000000007E-2</v>
      </c>
      <c r="J812" s="1296">
        <v>7.0000000000000007E-2</v>
      </c>
      <c r="K812" s="1296">
        <v>7.0000000000000007E-2</v>
      </c>
    </row>
    <row r="813" spans="1:11" s="551" customFormat="1">
      <c r="A813" s="550"/>
      <c r="B813" s="530" t="s">
        <v>1375</v>
      </c>
      <c r="C813" s="551">
        <v>0.05</v>
      </c>
      <c r="D813" s="1296">
        <v>0.05</v>
      </c>
      <c r="E813" s="1296">
        <v>0.05</v>
      </c>
      <c r="F813" s="1296">
        <v>0.05</v>
      </c>
      <c r="G813" s="1296">
        <v>0.05</v>
      </c>
      <c r="H813" s="1296">
        <v>0.05</v>
      </c>
      <c r="I813" s="1296">
        <v>0.05</v>
      </c>
      <c r="J813" s="1296">
        <v>0.05</v>
      </c>
      <c r="K813" s="1296">
        <v>0.05</v>
      </c>
    </row>
    <row r="814" spans="1:11" s="551" customFormat="1">
      <c r="A814" s="550"/>
      <c r="B814" s="530" t="s">
        <v>1376</v>
      </c>
      <c r="C814" s="551">
        <v>0.05</v>
      </c>
      <c r="D814" s="1296">
        <v>0.05</v>
      </c>
      <c r="E814" s="1296">
        <v>0.05</v>
      </c>
      <c r="F814" s="1296">
        <v>0.05</v>
      </c>
      <c r="G814" s="1296">
        <v>0.05</v>
      </c>
      <c r="H814" s="1296">
        <v>0.05</v>
      </c>
      <c r="I814" s="1296">
        <v>0.05</v>
      </c>
      <c r="J814" s="1296">
        <v>0.05</v>
      </c>
      <c r="K814" s="1296">
        <v>0.05</v>
      </c>
    </row>
    <row r="815" spans="1:11" s="551" customFormat="1">
      <c r="A815" s="550"/>
      <c r="B815" s="530" t="s">
        <v>1377</v>
      </c>
      <c r="C815" s="551">
        <v>0.06</v>
      </c>
      <c r="D815" s="1296">
        <v>0.06</v>
      </c>
      <c r="E815" s="1296">
        <v>0.06</v>
      </c>
      <c r="F815" s="1296">
        <v>0.06</v>
      </c>
      <c r="G815" s="1296">
        <v>0.06</v>
      </c>
      <c r="H815" s="1296">
        <v>0.06</v>
      </c>
      <c r="I815" s="1296">
        <v>0.06</v>
      </c>
      <c r="J815" s="1296">
        <v>0.06</v>
      </c>
      <c r="K815" s="1296">
        <v>0.06</v>
      </c>
    </row>
    <row r="816" spans="1:11" s="551" customFormat="1">
      <c r="A816" s="550"/>
      <c r="B816" s="530" t="s">
        <v>1378</v>
      </c>
      <c r="C816" s="551">
        <v>7.0000000000000007E-2</v>
      </c>
      <c r="D816" s="1296">
        <v>7.0000000000000007E-2</v>
      </c>
      <c r="E816" s="1296">
        <v>7.0000000000000007E-2</v>
      </c>
      <c r="F816" s="1296">
        <v>7.0000000000000007E-2</v>
      </c>
      <c r="G816" s="1296">
        <v>7.0000000000000007E-2</v>
      </c>
      <c r="H816" s="1296">
        <v>7.0000000000000007E-2</v>
      </c>
      <c r="I816" s="1296">
        <v>7.0000000000000007E-2</v>
      </c>
      <c r="J816" s="1296">
        <v>7.0000000000000007E-2</v>
      </c>
      <c r="K816" s="1296">
        <v>7.0000000000000007E-2</v>
      </c>
    </row>
    <row r="817" spans="1:11" s="551" customFormat="1">
      <c r="A817" s="550"/>
      <c r="B817" s="530" t="s">
        <v>1379</v>
      </c>
      <c r="C817" s="551">
        <v>0.08</v>
      </c>
      <c r="D817" s="1296">
        <v>0.08</v>
      </c>
      <c r="E817" s="1296">
        <v>0.08</v>
      </c>
      <c r="F817" s="1296">
        <v>0.08</v>
      </c>
      <c r="G817" s="1296">
        <v>0.08</v>
      </c>
      <c r="H817" s="1296">
        <v>0.08</v>
      </c>
      <c r="I817" s="1296">
        <v>0.08</v>
      </c>
      <c r="J817" s="1296">
        <v>0.08</v>
      </c>
      <c r="K817" s="1296">
        <v>0.08</v>
      </c>
    </row>
    <row r="818" spans="1:11" s="551" customFormat="1">
      <c r="A818" s="550"/>
      <c r="B818" s="530" t="s">
        <v>1380</v>
      </c>
      <c r="C818" s="551">
        <v>0.1</v>
      </c>
      <c r="D818" s="1296">
        <v>0.1</v>
      </c>
      <c r="E818" s="1296">
        <v>0.1</v>
      </c>
      <c r="F818" s="1296">
        <v>0.1</v>
      </c>
      <c r="G818" s="1296">
        <v>0.1</v>
      </c>
      <c r="H818" s="1296">
        <v>0.1</v>
      </c>
      <c r="I818" s="1296">
        <v>0.1</v>
      </c>
      <c r="J818" s="1296">
        <v>0.1</v>
      </c>
      <c r="K818" s="1296">
        <v>0.1</v>
      </c>
    </row>
    <row r="819" spans="1:11" s="551" customFormat="1">
      <c r="A819" s="550"/>
      <c r="B819" s="530" t="s">
        <v>1381</v>
      </c>
      <c r="C819" s="551">
        <v>0.1</v>
      </c>
      <c r="D819" s="1296">
        <v>0.1</v>
      </c>
      <c r="E819" s="1296">
        <v>0.1</v>
      </c>
      <c r="F819" s="1296">
        <v>0.1</v>
      </c>
      <c r="G819" s="1296">
        <v>0.1</v>
      </c>
      <c r="H819" s="1296">
        <v>0.1</v>
      </c>
      <c r="I819" s="1296">
        <v>0.1</v>
      </c>
      <c r="J819" s="1296">
        <v>0.1</v>
      </c>
      <c r="K819" s="1296">
        <v>0.1</v>
      </c>
    </row>
    <row r="820" spans="1:11" s="551" customFormat="1">
      <c r="A820" s="550"/>
      <c r="B820" s="530" t="s">
        <v>1382</v>
      </c>
      <c r="C820" s="551">
        <v>0.12</v>
      </c>
      <c r="D820" s="1296">
        <v>0.12</v>
      </c>
      <c r="E820" s="1296">
        <v>0.12</v>
      </c>
      <c r="F820" s="1296">
        <v>0.12</v>
      </c>
      <c r="G820" s="1296">
        <v>0.12</v>
      </c>
      <c r="H820" s="1296">
        <v>0.12</v>
      </c>
      <c r="I820" s="1296">
        <v>0.12</v>
      </c>
      <c r="J820" s="1296">
        <v>0.12</v>
      </c>
      <c r="K820" s="1296">
        <v>0.12</v>
      </c>
    </row>
    <row r="821" spans="1:11" s="551" customFormat="1">
      <c r="A821" s="550"/>
      <c r="B821" s="530" t="s">
        <v>1383</v>
      </c>
      <c r="C821" s="551">
        <v>0.12</v>
      </c>
      <c r="D821" s="1296">
        <v>0.12</v>
      </c>
      <c r="E821" s="1296">
        <v>0.12</v>
      </c>
      <c r="F821" s="1296">
        <v>0.12</v>
      </c>
      <c r="G821" s="1296">
        <v>0.12</v>
      </c>
      <c r="H821" s="1296">
        <v>0.12</v>
      </c>
      <c r="I821" s="1296">
        <v>0.12</v>
      </c>
      <c r="J821" s="1296">
        <v>0.12</v>
      </c>
      <c r="K821" s="1296">
        <v>0.12</v>
      </c>
    </row>
    <row r="822" spans="1:11" s="551" customFormat="1">
      <c r="A822" s="550"/>
      <c r="B822" s="530" t="s">
        <v>1384</v>
      </c>
      <c r="C822" s="551">
        <v>0.11</v>
      </c>
      <c r="D822" s="1296">
        <v>0.11</v>
      </c>
      <c r="E822" s="1296">
        <v>0.11</v>
      </c>
      <c r="F822" s="1296">
        <v>0.11</v>
      </c>
      <c r="G822" s="1296">
        <v>0.11</v>
      </c>
      <c r="H822" s="1296">
        <v>0.11</v>
      </c>
      <c r="I822" s="1296">
        <v>0.11</v>
      </c>
      <c r="J822" s="1296">
        <v>0.11</v>
      </c>
      <c r="K822" s="1296">
        <v>0.11</v>
      </c>
    </row>
    <row r="823" spans="1:11" s="551" customFormat="1">
      <c r="A823" s="550"/>
      <c r="B823" s="530" t="s">
        <v>1385</v>
      </c>
      <c r="C823" s="551">
        <v>7.0000000000000007E-2</v>
      </c>
      <c r="D823" s="1296">
        <v>7.0000000000000007E-2</v>
      </c>
      <c r="E823" s="1296">
        <v>7.0000000000000007E-2</v>
      </c>
      <c r="F823" s="1296">
        <v>7.0000000000000007E-2</v>
      </c>
      <c r="G823" s="1296">
        <v>7.0000000000000007E-2</v>
      </c>
      <c r="H823" s="1296">
        <v>7.0000000000000007E-2</v>
      </c>
      <c r="I823" s="1296">
        <v>7.0000000000000007E-2</v>
      </c>
      <c r="J823" s="1296">
        <v>7.0000000000000007E-2</v>
      </c>
      <c r="K823" s="1296">
        <v>7.0000000000000007E-2</v>
      </c>
    </row>
    <row r="824" spans="1:11" s="551" customFormat="1">
      <c r="A824" s="550"/>
      <c r="B824" s="530" t="s">
        <v>1386</v>
      </c>
      <c r="C824" s="551">
        <v>7.0000000000000007E-2</v>
      </c>
      <c r="D824" s="1296">
        <v>7.0000000000000007E-2</v>
      </c>
      <c r="E824" s="1296">
        <v>7.0000000000000007E-2</v>
      </c>
      <c r="F824" s="1296">
        <v>7.0000000000000007E-2</v>
      </c>
      <c r="G824" s="1296">
        <v>7.0000000000000007E-2</v>
      </c>
      <c r="H824" s="1296">
        <v>7.0000000000000007E-2</v>
      </c>
      <c r="I824" s="1296">
        <v>7.0000000000000007E-2</v>
      </c>
      <c r="J824" s="1296">
        <v>7.0000000000000007E-2</v>
      </c>
      <c r="K824" s="1296">
        <v>7.0000000000000007E-2</v>
      </c>
    </row>
    <row r="825" spans="1:11" s="551" customFormat="1">
      <c r="A825" s="550"/>
      <c r="B825" s="530" t="s">
        <v>1387</v>
      </c>
      <c r="C825" s="551">
        <v>0.05</v>
      </c>
      <c r="D825" s="1296">
        <v>0.05</v>
      </c>
      <c r="E825" s="1296">
        <v>0.05</v>
      </c>
      <c r="F825" s="1296">
        <v>0.05</v>
      </c>
      <c r="G825" s="1296">
        <v>0.05</v>
      </c>
      <c r="H825" s="1296">
        <v>0.05</v>
      </c>
      <c r="I825" s="1296">
        <v>0.05</v>
      </c>
      <c r="J825" s="1296">
        <v>0.05</v>
      </c>
      <c r="K825" s="1296">
        <v>0.05</v>
      </c>
    </row>
    <row r="826" spans="1:11" s="551" customFormat="1">
      <c r="A826" s="550"/>
      <c r="B826" s="530" t="s">
        <v>1388</v>
      </c>
      <c r="C826" s="551">
        <v>0.05</v>
      </c>
      <c r="D826" s="1296">
        <v>0.05</v>
      </c>
      <c r="E826" s="1296">
        <v>0.05</v>
      </c>
      <c r="F826" s="1296">
        <v>0.05</v>
      </c>
      <c r="G826" s="1296">
        <v>0.05</v>
      </c>
      <c r="H826" s="1296">
        <v>0.05</v>
      </c>
      <c r="I826" s="1296">
        <v>0.05</v>
      </c>
      <c r="J826" s="1296">
        <v>0.05</v>
      </c>
      <c r="K826" s="1296">
        <v>0.05</v>
      </c>
    </row>
    <row r="827" spans="1:11" s="551" customFormat="1">
      <c r="A827" s="550"/>
      <c r="B827" s="530" t="s">
        <v>1389</v>
      </c>
      <c r="C827" s="551">
        <v>0.06</v>
      </c>
      <c r="D827" s="1296">
        <v>0.06</v>
      </c>
      <c r="E827" s="1296">
        <v>0.06</v>
      </c>
      <c r="F827" s="1296">
        <v>0.06</v>
      </c>
      <c r="G827" s="1296">
        <v>0.06</v>
      </c>
      <c r="H827" s="1296">
        <v>0.06</v>
      </c>
      <c r="I827" s="1296">
        <v>0.06</v>
      </c>
      <c r="J827" s="1296">
        <v>0.06</v>
      </c>
      <c r="K827" s="1296">
        <v>0.06</v>
      </c>
    </row>
    <row r="828" spans="1:11" s="551" customFormat="1">
      <c r="A828" s="550"/>
      <c r="B828" s="530" t="s">
        <v>1390</v>
      </c>
      <c r="C828" s="551">
        <v>7.0000000000000007E-2</v>
      </c>
      <c r="D828" s="1296">
        <v>7.0000000000000007E-2</v>
      </c>
      <c r="E828" s="1296">
        <v>7.0000000000000007E-2</v>
      </c>
      <c r="F828" s="1296">
        <v>7.0000000000000007E-2</v>
      </c>
      <c r="G828" s="1296">
        <v>7.0000000000000007E-2</v>
      </c>
      <c r="H828" s="1296">
        <v>7.0000000000000007E-2</v>
      </c>
      <c r="I828" s="1296">
        <v>7.0000000000000007E-2</v>
      </c>
      <c r="J828" s="1296">
        <v>7.0000000000000007E-2</v>
      </c>
      <c r="K828" s="1296">
        <v>7.0000000000000007E-2</v>
      </c>
    </row>
    <row r="829" spans="1:11" s="551" customFormat="1">
      <c r="A829" s="550"/>
      <c r="B829" s="530" t="s">
        <v>1391</v>
      </c>
      <c r="C829" s="551">
        <v>0.08</v>
      </c>
      <c r="D829" s="1296">
        <v>0.08</v>
      </c>
      <c r="E829" s="1296">
        <v>0.08</v>
      </c>
      <c r="F829" s="1296">
        <v>0.08</v>
      </c>
      <c r="G829" s="1296">
        <v>0.08</v>
      </c>
      <c r="H829" s="1296">
        <v>0.08</v>
      </c>
      <c r="I829" s="1296">
        <v>0.08</v>
      </c>
      <c r="J829" s="1296">
        <v>0.08</v>
      </c>
      <c r="K829" s="1296">
        <v>0.08</v>
      </c>
    </row>
    <row r="830" spans="1:11" s="551" customFormat="1">
      <c r="A830" s="550"/>
      <c r="B830" s="530" t="s">
        <v>1392</v>
      </c>
      <c r="C830" s="551">
        <v>0.1</v>
      </c>
      <c r="D830" s="1296">
        <v>0.1</v>
      </c>
      <c r="E830" s="1296">
        <v>0.1</v>
      </c>
      <c r="F830" s="1296">
        <v>0.1</v>
      </c>
      <c r="G830" s="1296">
        <v>0.1</v>
      </c>
      <c r="H830" s="1296">
        <v>0.1</v>
      </c>
      <c r="I830" s="1296">
        <v>0.1</v>
      </c>
      <c r="J830" s="1296">
        <v>0.1</v>
      </c>
      <c r="K830" s="1296">
        <v>0.1</v>
      </c>
    </row>
    <row r="831" spans="1:11" s="551" customFormat="1">
      <c r="A831" s="550"/>
      <c r="B831" s="530" t="s">
        <v>1393</v>
      </c>
      <c r="C831" s="551">
        <v>0.1</v>
      </c>
      <c r="D831" s="1296">
        <v>0.1</v>
      </c>
      <c r="E831" s="1296">
        <v>0.1</v>
      </c>
      <c r="F831" s="1296">
        <v>0.1</v>
      </c>
      <c r="G831" s="1296">
        <v>0.1</v>
      </c>
      <c r="H831" s="1296">
        <v>0.1</v>
      </c>
      <c r="I831" s="1296">
        <v>0.1</v>
      </c>
      <c r="J831" s="1296">
        <v>0.1</v>
      </c>
      <c r="K831" s="1296">
        <v>0.1</v>
      </c>
    </row>
    <row r="832" spans="1:11" s="551" customFormat="1">
      <c r="A832" s="550"/>
      <c r="B832" s="530" t="s">
        <v>1394</v>
      </c>
      <c r="C832" s="551">
        <v>0.12</v>
      </c>
      <c r="D832" s="1296">
        <v>0.12</v>
      </c>
      <c r="E832" s="1296">
        <v>0.12</v>
      </c>
      <c r="F832" s="1296">
        <v>0.12</v>
      </c>
      <c r="G832" s="1296">
        <v>0.12</v>
      </c>
      <c r="H832" s="1296">
        <v>0.12</v>
      </c>
      <c r="I832" s="1296">
        <v>0.12</v>
      </c>
      <c r="J832" s="1296">
        <v>0.12</v>
      </c>
      <c r="K832" s="1296">
        <v>0.12</v>
      </c>
    </row>
    <row r="833" spans="1:11" s="551" customFormat="1">
      <c r="A833" s="550"/>
      <c r="B833" s="530" t="s">
        <v>1395</v>
      </c>
      <c r="C833" s="551">
        <v>0.12</v>
      </c>
      <c r="D833" s="1296">
        <v>0.12</v>
      </c>
      <c r="E833" s="1296">
        <v>0.12</v>
      </c>
      <c r="F833" s="1296">
        <v>0.12</v>
      </c>
      <c r="G833" s="1296">
        <v>0.12</v>
      </c>
      <c r="H833" s="1296">
        <v>0.12</v>
      </c>
      <c r="I833" s="1296">
        <v>0.12</v>
      </c>
      <c r="J833" s="1296">
        <v>0.12</v>
      </c>
      <c r="K833" s="1296">
        <v>0.12</v>
      </c>
    </row>
    <row r="834" spans="1:11" s="551" customFormat="1">
      <c r="A834" s="550"/>
      <c r="B834" s="530" t="s">
        <v>1396</v>
      </c>
      <c r="C834" s="551">
        <v>0.11</v>
      </c>
      <c r="D834" s="1296">
        <v>0.11</v>
      </c>
      <c r="E834" s="1296">
        <v>0.11</v>
      </c>
      <c r="F834" s="1296">
        <v>0.11</v>
      </c>
      <c r="G834" s="1296">
        <v>0.11</v>
      </c>
      <c r="H834" s="1296">
        <v>0.11</v>
      </c>
      <c r="I834" s="1296">
        <v>0.11</v>
      </c>
      <c r="J834" s="1296">
        <v>0.11</v>
      </c>
      <c r="K834" s="1296">
        <v>0.11</v>
      </c>
    </row>
    <row r="835" spans="1:11" s="551" customFormat="1">
      <c r="A835" s="550"/>
      <c r="B835" s="530" t="s">
        <v>1397</v>
      </c>
      <c r="C835" s="551">
        <v>7.0000000000000007E-2</v>
      </c>
      <c r="D835" s="1296">
        <v>7.0000000000000007E-2</v>
      </c>
      <c r="E835" s="1296">
        <v>7.0000000000000007E-2</v>
      </c>
      <c r="F835" s="1296">
        <v>7.0000000000000007E-2</v>
      </c>
      <c r="G835" s="1296">
        <v>7.0000000000000007E-2</v>
      </c>
      <c r="H835" s="1296">
        <v>7.0000000000000007E-2</v>
      </c>
      <c r="I835" s="1296">
        <v>7.0000000000000007E-2</v>
      </c>
      <c r="J835" s="1296">
        <v>7.0000000000000007E-2</v>
      </c>
      <c r="K835" s="1296">
        <v>7.0000000000000007E-2</v>
      </c>
    </row>
    <row r="836" spans="1:11" s="551" customFormat="1">
      <c r="A836" s="550"/>
      <c r="B836" s="530" t="s">
        <v>1398</v>
      </c>
      <c r="C836" s="551">
        <v>7.0000000000000007E-2</v>
      </c>
      <c r="D836" s="1296">
        <v>7.0000000000000007E-2</v>
      </c>
      <c r="E836" s="1296">
        <v>7.0000000000000007E-2</v>
      </c>
      <c r="F836" s="1296">
        <v>7.0000000000000007E-2</v>
      </c>
      <c r="G836" s="1296">
        <v>7.0000000000000007E-2</v>
      </c>
      <c r="H836" s="1296">
        <v>7.0000000000000007E-2</v>
      </c>
      <c r="I836" s="1296">
        <v>7.0000000000000007E-2</v>
      </c>
      <c r="J836" s="1296">
        <v>7.0000000000000007E-2</v>
      </c>
      <c r="K836" s="1296">
        <v>7.0000000000000007E-2</v>
      </c>
    </row>
    <row r="837" spans="1:11" s="551" customFormat="1">
      <c r="A837" s="550"/>
      <c r="B837" s="530" t="s">
        <v>1399</v>
      </c>
      <c r="C837" s="551">
        <v>0.05</v>
      </c>
      <c r="D837" s="1302">
        <v>0.03</v>
      </c>
      <c r="E837" s="1302">
        <v>0.03</v>
      </c>
      <c r="F837" s="1302">
        <v>0.03</v>
      </c>
      <c r="G837" s="1302">
        <v>0.03</v>
      </c>
      <c r="H837" s="1302">
        <v>0.03</v>
      </c>
      <c r="I837" s="1302">
        <v>0.03</v>
      </c>
      <c r="J837" s="1302">
        <v>0.03</v>
      </c>
      <c r="K837" s="1302">
        <v>0.03</v>
      </c>
    </row>
    <row r="838" spans="1:11" s="551" customFormat="1">
      <c r="A838" s="550"/>
      <c r="B838" s="530" t="s">
        <v>1400</v>
      </c>
      <c r="C838" s="551">
        <v>0.05</v>
      </c>
      <c r="D838" s="1302">
        <v>0.03</v>
      </c>
      <c r="E838" s="1302">
        <v>0.03</v>
      </c>
      <c r="F838" s="1302">
        <v>0.03</v>
      </c>
      <c r="G838" s="1302">
        <v>0.03</v>
      </c>
      <c r="H838" s="1302">
        <v>0.03</v>
      </c>
      <c r="I838" s="1302">
        <v>0.03</v>
      </c>
      <c r="J838" s="1302">
        <v>0.03</v>
      </c>
      <c r="K838" s="1302">
        <v>0.03</v>
      </c>
    </row>
    <row r="839" spans="1:11" s="551" customFormat="1">
      <c r="A839" s="550"/>
      <c r="B839" s="530" t="s">
        <v>1401</v>
      </c>
      <c r="C839" s="551">
        <v>0.06</v>
      </c>
      <c r="D839" s="1302">
        <v>0.03</v>
      </c>
      <c r="E839" s="1302">
        <v>0.03</v>
      </c>
      <c r="F839" s="1302">
        <v>0.03</v>
      </c>
      <c r="G839" s="1302">
        <v>0.03</v>
      </c>
      <c r="H839" s="1302">
        <v>0.03</v>
      </c>
      <c r="I839" s="1302">
        <v>0.03</v>
      </c>
      <c r="J839" s="1302">
        <v>0.03</v>
      </c>
      <c r="K839" s="1302">
        <v>0.03</v>
      </c>
    </row>
    <row r="840" spans="1:11" s="551" customFormat="1">
      <c r="A840" s="550"/>
      <c r="B840" s="530" t="s">
        <v>1402</v>
      </c>
      <c r="C840" s="551">
        <v>7.0000000000000007E-2</v>
      </c>
      <c r="D840" s="1302">
        <v>0.11</v>
      </c>
      <c r="E840" s="1302">
        <v>0.11</v>
      </c>
      <c r="F840" s="1302">
        <v>0.11</v>
      </c>
      <c r="G840" s="1302">
        <v>0.11</v>
      </c>
      <c r="H840" s="1302">
        <v>0.11</v>
      </c>
      <c r="I840" s="1302">
        <v>0.11</v>
      </c>
      <c r="J840" s="1302">
        <v>0.11</v>
      </c>
      <c r="K840" s="1302">
        <v>0.11</v>
      </c>
    </row>
    <row r="841" spans="1:11" s="551" customFormat="1">
      <c r="A841" s="550"/>
      <c r="B841" s="530" t="s">
        <v>1403</v>
      </c>
      <c r="C841" s="551">
        <v>0.08</v>
      </c>
      <c r="D841" s="1302">
        <v>0.11</v>
      </c>
      <c r="E841" s="1302">
        <v>0.11</v>
      </c>
      <c r="F841" s="1302">
        <v>0.11</v>
      </c>
      <c r="G841" s="1302">
        <v>0.11</v>
      </c>
      <c r="H841" s="1302">
        <v>0.11</v>
      </c>
      <c r="I841" s="1302">
        <v>0.11</v>
      </c>
      <c r="J841" s="1302">
        <v>0.11</v>
      </c>
      <c r="K841" s="1302">
        <v>0.11</v>
      </c>
    </row>
    <row r="842" spans="1:11" s="551" customFormat="1">
      <c r="A842" s="550"/>
      <c r="B842" s="530" t="s">
        <v>1404</v>
      </c>
      <c r="C842" s="551">
        <v>0.1</v>
      </c>
      <c r="D842" s="1302">
        <v>0.14000000000000001</v>
      </c>
      <c r="E842" s="1302">
        <v>0.14000000000000001</v>
      </c>
      <c r="F842" s="1302">
        <v>0.14000000000000001</v>
      </c>
      <c r="G842" s="1302">
        <v>0.14000000000000001</v>
      </c>
      <c r="H842" s="1302">
        <v>0.14000000000000001</v>
      </c>
      <c r="I842" s="1302">
        <v>0.14000000000000001</v>
      </c>
      <c r="J842" s="1302">
        <v>0.14000000000000001</v>
      </c>
      <c r="K842" s="1302">
        <v>0.14000000000000001</v>
      </c>
    </row>
    <row r="843" spans="1:11" s="551" customFormat="1">
      <c r="A843" s="550"/>
      <c r="B843" s="530" t="s">
        <v>1405</v>
      </c>
      <c r="C843" s="551">
        <v>0.1</v>
      </c>
      <c r="D843" s="1302">
        <v>0.14000000000000001</v>
      </c>
      <c r="E843" s="1302">
        <v>0.14000000000000001</v>
      </c>
      <c r="F843" s="1302">
        <v>0.14000000000000001</v>
      </c>
      <c r="G843" s="1302">
        <v>0.14000000000000001</v>
      </c>
      <c r="H843" s="1302">
        <v>0.14000000000000001</v>
      </c>
      <c r="I843" s="1302">
        <v>0.14000000000000001</v>
      </c>
      <c r="J843" s="1302">
        <v>0.14000000000000001</v>
      </c>
      <c r="K843" s="1302">
        <v>0.14000000000000001</v>
      </c>
    </row>
    <row r="844" spans="1:11" s="551" customFormat="1">
      <c r="A844" s="550"/>
      <c r="B844" s="530" t="s">
        <v>1406</v>
      </c>
      <c r="C844" s="551">
        <v>0.12</v>
      </c>
      <c r="D844" s="1296">
        <v>0.12</v>
      </c>
      <c r="E844" s="1296">
        <v>0.12</v>
      </c>
      <c r="F844" s="1296">
        <v>0.12</v>
      </c>
      <c r="G844" s="1296">
        <v>0.12</v>
      </c>
      <c r="H844" s="1296">
        <v>0.12</v>
      </c>
      <c r="I844" s="1296">
        <v>0.12</v>
      </c>
      <c r="J844" s="1296">
        <v>0.12</v>
      </c>
      <c r="K844" s="1296">
        <v>0.12</v>
      </c>
    </row>
    <row r="845" spans="1:11" s="551" customFormat="1">
      <c r="A845" s="550"/>
      <c r="B845" s="530" t="s">
        <v>1407</v>
      </c>
      <c r="C845" s="551">
        <v>0.12</v>
      </c>
      <c r="D845" s="1296">
        <v>0.12</v>
      </c>
      <c r="E845" s="1296">
        <v>0.12</v>
      </c>
      <c r="F845" s="1296">
        <v>0.12</v>
      </c>
      <c r="G845" s="1296">
        <v>0.12</v>
      </c>
      <c r="H845" s="1296">
        <v>0.12</v>
      </c>
      <c r="I845" s="1296">
        <v>0.12</v>
      </c>
      <c r="J845" s="1296">
        <v>0.12</v>
      </c>
      <c r="K845" s="1296">
        <v>0.12</v>
      </c>
    </row>
    <row r="846" spans="1:11" s="551" customFormat="1">
      <c r="A846" s="550"/>
      <c r="B846" s="530" t="s">
        <v>1408</v>
      </c>
      <c r="C846" s="551">
        <v>0.11</v>
      </c>
      <c r="D846" s="1296">
        <v>0.11</v>
      </c>
      <c r="E846" s="1296">
        <v>0.11</v>
      </c>
      <c r="F846" s="1296">
        <v>0.11</v>
      </c>
      <c r="G846" s="1296">
        <v>0.11</v>
      </c>
      <c r="H846" s="1296">
        <v>0.11</v>
      </c>
      <c r="I846" s="1296">
        <v>0.11</v>
      </c>
      <c r="J846" s="1296">
        <v>0.11</v>
      </c>
      <c r="K846" s="1296">
        <v>0.11</v>
      </c>
    </row>
    <row r="847" spans="1:11" s="551" customFormat="1">
      <c r="A847" s="550"/>
      <c r="B847" s="530" t="s">
        <v>1409</v>
      </c>
      <c r="C847" s="551">
        <v>7.0000000000000007E-2</v>
      </c>
      <c r="D847" s="1302">
        <v>0.03</v>
      </c>
      <c r="E847" s="1302">
        <v>0.03</v>
      </c>
      <c r="F847" s="1302">
        <v>0.03</v>
      </c>
      <c r="G847" s="1302">
        <v>0.03</v>
      </c>
      <c r="H847" s="1302">
        <v>0.03</v>
      </c>
      <c r="I847" s="1302">
        <v>0.03</v>
      </c>
      <c r="J847" s="1302">
        <v>0.03</v>
      </c>
      <c r="K847" s="1302">
        <v>0.03</v>
      </c>
    </row>
    <row r="848" spans="1:11" s="551" customFormat="1">
      <c r="A848" s="550"/>
      <c r="B848" s="530" t="s">
        <v>1410</v>
      </c>
      <c r="C848" s="551">
        <v>7.0000000000000007E-2</v>
      </c>
      <c r="D848" s="1302">
        <v>0.03</v>
      </c>
      <c r="E848" s="1302">
        <v>0.03</v>
      </c>
      <c r="F848" s="1302">
        <v>0.03</v>
      </c>
      <c r="G848" s="1302">
        <v>0.03</v>
      </c>
      <c r="H848" s="1302">
        <v>0.03</v>
      </c>
      <c r="I848" s="1302">
        <v>0.03</v>
      </c>
      <c r="J848" s="1302">
        <v>0.03</v>
      </c>
      <c r="K848" s="1302">
        <v>0.03</v>
      </c>
    </row>
    <row r="849" spans="1:11" s="551" customFormat="1">
      <c r="A849" s="550"/>
      <c r="B849" s="530" t="s">
        <v>1411</v>
      </c>
      <c r="C849" s="551">
        <v>0.05</v>
      </c>
      <c r="D849" s="1302">
        <v>0.03</v>
      </c>
      <c r="E849" s="1302">
        <v>0.03</v>
      </c>
      <c r="F849" s="1302">
        <v>0.03</v>
      </c>
      <c r="G849" s="1302">
        <v>0.03</v>
      </c>
      <c r="H849" s="1302">
        <v>0.03</v>
      </c>
      <c r="I849" s="1302">
        <v>0.03</v>
      </c>
      <c r="J849" s="1302">
        <v>0.03</v>
      </c>
      <c r="K849" s="1302">
        <v>0.03</v>
      </c>
    </row>
    <row r="850" spans="1:11" s="551" customFormat="1">
      <c r="A850" s="550"/>
      <c r="B850" s="530" t="s">
        <v>1412</v>
      </c>
      <c r="C850" s="551">
        <v>0.05</v>
      </c>
      <c r="D850" s="1302">
        <v>0.03</v>
      </c>
      <c r="E850" s="1302">
        <v>0.03</v>
      </c>
      <c r="F850" s="1302">
        <v>0.03</v>
      </c>
      <c r="G850" s="1302">
        <v>0.03</v>
      </c>
      <c r="H850" s="1302">
        <v>0.03</v>
      </c>
      <c r="I850" s="1302">
        <v>0.03</v>
      </c>
      <c r="J850" s="1302">
        <v>0.03</v>
      </c>
      <c r="K850" s="1302">
        <v>0.03</v>
      </c>
    </row>
    <row r="851" spans="1:11" s="551" customFormat="1">
      <c r="A851" s="550"/>
      <c r="B851" s="530" t="s">
        <v>1413</v>
      </c>
      <c r="C851" s="551">
        <v>0.06</v>
      </c>
      <c r="D851" s="1302">
        <v>0.03</v>
      </c>
      <c r="E851" s="1302">
        <v>0.03</v>
      </c>
      <c r="F851" s="1302">
        <v>0.03</v>
      </c>
      <c r="G851" s="1302">
        <v>0.03</v>
      </c>
      <c r="H851" s="1302">
        <v>0.03</v>
      </c>
      <c r="I851" s="1302">
        <v>0.03</v>
      </c>
      <c r="J851" s="1302">
        <v>0.03</v>
      </c>
      <c r="K851" s="1302">
        <v>0.03</v>
      </c>
    </row>
    <row r="852" spans="1:11" s="551" customFormat="1">
      <c r="A852" s="550"/>
      <c r="B852" s="530" t="s">
        <v>1414</v>
      </c>
      <c r="C852" s="551">
        <v>7.0000000000000007E-2</v>
      </c>
      <c r="D852" s="1302">
        <v>0.11</v>
      </c>
      <c r="E852" s="1302">
        <v>0.11</v>
      </c>
      <c r="F852" s="1302">
        <v>0.11</v>
      </c>
      <c r="G852" s="1302">
        <v>0.11</v>
      </c>
      <c r="H852" s="1302">
        <v>0.11</v>
      </c>
      <c r="I852" s="1302">
        <v>0.11</v>
      </c>
      <c r="J852" s="1302">
        <v>0.11</v>
      </c>
      <c r="K852" s="1302">
        <v>0.11</v>
      </c>
    </row>
    <row r="853" spans="1:11" s="551" customFormat="1">
      <c r="A853" s="550"/>
      <c r="B853" s="530" t="s">
        <v>1415</v>
      </c>
      <c r="C853" s="551">
        <v>0.08</v>
      </c>
      <c r="D853" s="1302">
        <v>0.11</v>
      </c>
      <c r="E853" s="1302">
        <v>0.11</v>
      </c>
      <c r="F853" s="1302">
        <v>0.11</v>
      </c>
      <c r="G853" s="1302">
        <v>0.11</v>
      </c>
      <c r="H853" s="1302">
        <v>0.11</v>
      </c>
      <c r="I853" s="1302">
        <v>0.11</v>
      </c>
      <c r="J853" s="1302">
        <v>0.11</v>
      </c>
      <c r="K853" s="1302">
        <v>0.11</v>
      </c>
    </row>
    <row r="854" spans="1:11" s="551" customFormat="1">
      <c r="A854" s="550"/>
      <c r="B854" s="530" t="s">
        <v>1416</v>
      </c>
      <c r="C854" s="551">
        <v>0.1</v>
      </c>
      <c r="D854" s="1302">
        <v>0.14000000000000001</v>
      </c>
      <c r="E854" s="1302">
        <v>0.14000000000000001</v>
      </c>
      <c r="F854" s="1302">
        <v>0.14000000000000001</v>
      </c>
      <c r="G854" s="1302">
        <v>0.14000000000000001</v>
      </c>
      <c r="H854" s="1302">
        <v>0.14000000000000001</v>
      </c>
      <c r="I854" s="1302">
        <v>0.14000000000000001</v>
      </c>
      <c r="J854" s="1302">
        <v>0.14000000000000001</v>
      </c>
      <c r="K854" s="1302">
        <v>0.14000000000000001</v>
      </c>
    </row>
    <row r="855" spans="1:11" s="551" customFormat="1">
      <c r="A855" s="550"/>
      <c r="B855" s="530" t="s">
        <v>1417</v>
      </c>
      <c r="C855" s="551">
        <v>0.1</v>
      </c>
      <c r="D855" s="1302">
        <v>0.14000000000000001</v>
      </c>
      <c r="E855" s="1302">
        <v>0.14000000000000001</v>
      </c>
      <c r="F855" s="1302">
        <v>0.14000000000000001</v>
      </c>
      <c r="G855" s="1302">
        <v>0.14000000000000001</v>
      </c>
      <c r="H855" s="1302">
        <v>0.14000000000000001</v>
      </c>
      <c r="I855" s="1302">
        <v>0.14000000000000001</v>
      </c>
      <c r="J855" s="1302">
        <v>0.14000000000000001</v>
      </c>
      <c r="K855" s="1302">
        <v>0.14000000000000001</v>
      </c>
    </row>
    <row r="856" spans="1:11" s="551" customFormat="1">
      <c r="A856" s="550"/>
      <c r="B856" s="530" t="s">
        <v>1418</v>
      </c>
      <c r="C856" s="551">
        <v>0.12</v>
      </c>
      <c r="D856" s="1296">
        <v>0.12</v>
      </c>
      <c r="E856" s="1296">
        <v>0.12</v>
      </c>
      <c r="F856" s="1296">
        <v>0.12</v>
      </c>
      <c r="G856" s="1296">
        <v>0.12</v>
      </c>
      <c r="H856" s="1296">
        <v>0.12</v>
      </c>
      <c r="I856" s="1296">
        <v>0.12</v>
      </c>
      <c r="J856" s="1296">
        <v>0.12</v>
      </c>
      <c r="K856" s="1296">
        <v>0.12</v>
      </c>
    </row>
    <row r="857" spans="1:11" s="551" customFormat="1">
      <c r="A857" s="550"/>
      <c r="B857" s="530" t="s">
        <v>1419</v>
      </c>
      <c r="C857" s="551">
        <v>0.12</v>
      </c>
      <c r="D857" s="1296">
        <v>0.12</v>
      </c>
      <c r="E857" s="1296">
        <v>0.12</v>
      </c>
      <c r="F857" s="1296">
        <v>0.12</v>
      </c>
      <c r="G857" s="1296">
        <v>0.12</v>
      </c>
      <c r="H857" s="1296">
        <v>0.12</v>
      </c>
      <c r="I857" s="1296">
        <v>0.12</v>
      </c>
      <c r="J857" s="1296">
        <v>0.12</v>
      </c>
      <c r="K857" s="1296">
        <v>0.12</v>
      </c>
    </row>
    <row r="858" spans="1:11" s="551" customFormat="1">
      <c r="A858" s="550"/>
      <c r="B858" s="530" t="s">
        <v>1420</v>
      </c>
      <c r="C858" s="551">
        <v>0.11</v>
      </c>
      <c r="D858" s="1296">
        <v>0.11</v>
      </c>
      <c r="E858" s="1296">
        <v>0.11</v>
      </c>
      <c r="F858" s="1296">
        <v>0.11</v>
      </c>
      <c r="G858" s="1296">
        <v>0.11</v>
      </c>
      <c r="H858" s="1296">
        <v>0.11</v>
      </c>
      <c r="I858" s="1296">
        <v>0.11</v>
      </c>
      <c r="J858" s="1296">
        <v>0.11</v>
      </c>
      <c r="K858" s="1296">
        <v>0.11</v>
      </c>
    </row>
    <row r="859" spans="1:11" s="551" customFormat="1">
      <c r="A859" s="550"/>
      <c r="B859" s="530" t="s">
        <v>1421</v>
      </c>
      <c r="C859" s="551">
        <v>7.0000000000000007E-2</v>
      </c>
      <c r="D859" s="1302">
        <v>0.03</v>
      </c>
      <c r="E859" s="1302">
        <v>0.03</v>
      </c>
      <c r="F859" s="1302">
        <v>0.03</v>
      </c>
      <c r="G859" s="1302">
        <v>0.03</v>
      </c>
      <c r="H859" s="1302">
        <v>0.03</v>
      </c>
      <c r="I859" s="1302">
        <v>0.03</v>
      </c>
      <c r="J859" s="1302">
        <v>0.03</v>
      </c>
      <c r="K859" s="1302">
        <v>0.03</v>
      </c>
    </row>
    <row r="860" spans="1:11" s="551" customFormat="1">
      <c r="A860" s="550"/>
      <c r="B860" s="530" t="s">
        <v>1422</v>
      </c>
      <c r="C860" s="551">
        <v>0.06</v>
      </c>
      <c r="D860" s="1302">
        <v>0.03</v>
      </c>
      <c r="E860" s="1302">
        <v>0.03</v>
      </c>
      <c r="F860" s="1302">
        <v>0.03</v>
      </c>
      <c r="G860" s="1302">
        <v>0.03</v>
      </c>
      <c r="H860" s="1302">
        <v>0.03</v>
      </c>
      <c r="I860" s="1302">
        <v>0.03</v>
      </c>
      <c r="J860" s="1302">
        <v>0.03</v>
      </c>
      <c r="K860" s="1302">
        <v>0.03</v>
      </c>
    </row>
    <row r="861" spans="1:11">
      <c r="A861" s="159"/>
      <c r="B861" s="531"/>
    </row>
    <row r="862" spans="1:11">
      <c r="A862" s="159">
        <v>6.22</v>
      </c>
      <c r="B862" s="530" t="s">
        <v>444</v>
      </c>
      <c r="D862" s="1294"/>
      <c r="E862" s="1294"/>
      <c r="F862" s="1294"/>
      <c r="G862" s="1294"/>
      <c r="H862" s="1294"/>
      <c r="I862" s="1294"/>
      <c r="J862" s="1294"/>
      <c r="K862" s="1294"/>
    </row>
    <row r="863" spans="1:11" s="551" customFormat="1">
      <c r="A863" s="550"/>
      <c r="B863" s="530" t="s">
        <v>1327</v>
      </c>
      <c r="C863" s="551">
        <v>7.0000000000000007E-2</v>
      </c>
      <c r="D863" s="1302">
        <v>0.04</v>
      </c>
      <c r="E863" s="1302">
        <v>0.04</v>
      </c>
      <c r="F863" s="1302">
        <v>0.04</v>
      </c>
      <c r="G863" s="1302">
        <v>0.04</v>
      </c>
      <c r="H863" s="1302">
        <v>0.04</v>
      </c>
      <c r="I863" s="1302">
        <v>0.04</v>
      </c>
      <c r="J863" s="1302">
        <v>0.04</v>
      </c>
      <c r="K863" s="1302">
        <v>0.04</v>
      </c>
    </row>
    <row r="864" spans="1:11" s="551" customFormat="1">
      <c r="A864" s="550"/>
      <c r="B864" s="530" t="s">
        <v>1328</v>
      </c>
      <c r="C864" s="551">
        <v>7.0000000000000007E-2</v>
      </c>
      <c r="D864" s="1302">
        <v>0.04</v>
      </c>
      <c r="E864" s="1302">
        <v>0.04</v>
      </c>
      <c r="F864" s="1302">
        <v>0.04</v>
      </c>
      <c r="G864" s="1302">
        <v>0.04</v>
      </c>
      <c r="H864" s="1302">
        <v>0.04</v>
      </c>
      <c r="I864" s="1302">
        <v>0.04</v>
      </c>
      <c r="J864" s="1302">
        <v>0.04</v>
      </c>
      <c r="K864" s="1302">
        <v>0.04</v>
      </c>
    </row>
    <row r="865" spans="1:11" s="551" customFormat="1">
      <c r="A865" s="550"/>
      <c r="B865" s="530" t="s">
        <v>1329</v>
      </c>
      <c r="C865" s="551">
        <v>7.0000000000000007E-2</v>
      </c>
      <c r="D865" s="1302">
        <v>0.04</v>
      </c>
      <c r="E865" s="1302">
        <v>0.04</v>
      </c>
      <c r="F865" s="1302">
        <v>0.04</v>
      </c>
      <c r="G865" s="1302">
        <v>0.04</v>
      </c>
      <c r="H865" s="1302">
        <v>0.04</v>
      </c>
      <c r="I865" s="1302">
        <v>0.04</v>
      </c>
      <c r="J865" s="1302">
        <v>0.04</v>
      </c>
      <c r="K865" s="1302">
        <v>0.04</v>
      </c>
    </row>
    <row r="866" spans="1:11" s="551" customFormat="1">
      <c r="A866" s="550"/>
      <c r="B866" s="530" t="s">
        <v>1330</v>
      </c>
      <c r="C866" s="551">
        <v>7.0000000000000007E-2</v>
      </c>
      <c r="D866" s="1302">
        <v>0.04</v>
      </c>
      <c r="E866" s="1302">
        <v>0.04</v>
      </c>
      <c r="F866" s="1302">
        <v>0.04</v>
      </c>
      <c r="G866" s="1302">
        <v>0.04</v>
      </c>
      <c r="H866" s="1302">
        <v>0.04</v>
      </c>
      <c r="I866" s="1302">
        <v>0.04</v>
      </c>
      <c r="J866" s="1302">
        <v>0.04</v>
      </c>
      <c r="K866" s="1302">
        <v>0.04</v>
      </c>
    </row>
    <row r="867" spans="1:11" s="551" customFormat="1">
      <c r="A867" s="550"/>
      <c r="B867" s="530" t="s">
        <v>1331</v>
      </c>
      <c r="C867" s="551">
        <v>0.08</v>
      </c>
      <c r="D867" s="1302">
        <v>0.12</v>
      </c>
      <c r="E867" s="1302">
        <v>0.12</v>
      </c>
      <c r="F867" s="1302">
        <v>0.12</v>
      </c>
      <c r="G867" s="1302">
        <v>0.12</v>
      </c>
      <c r="H867" s="1302">
        <v>0.12</v>
      </c>
      <c r="I867" s="1302">
        <v>0.12</v>
      </c>
      <c r="J867" s="1302">
        <v>0.12</v>
      </c>
      <c r="K867" s="1302">
        <v>0.12</v>
      </c>
    </row>
    <row r="868" spans="1:11" s="551" customFormat="1">
      <c r="A868" s="550"/>
      <c r="B868" s="530" t="s">
        <v>1332</v>
      </c>
      <c r="C868" s="551">
        <v>0.1</v>
      </c>
      <c r="D868" s="1302">
        <v>0.12</v>
      </c>
      <c r="E868" s="1302">
        <v>0.12</v>
      </c>
      <c r="F868" s="1302">
        <v>0.12</v>
      </c>
      <c r="G868" s="1302">
        <v>0.12</v>
      </c>
      <c r="H868" s="1302">
        <v>0.12</v>
      </c>
      <c r="I868" s="1302">
        <v>0.12</v>
      </c>
      <c r="J868" s="1302">
        <v>0.12</v>
      </c>
      <c r="K868" s="1302">
        <v>0.12</v>
      </c>
    </row>
    <row r="869" spans="1:11" s="551" customFormat="1">
      <c r="A869" s="550"/>
      <c r="B869" s="530" t="s">
        <v>1333</v>
      </c>
      <c r="C869" s="551">
        <v>0.1</v>
      </c>
      <c r="D869" s="1302">
        <v>0.12</v>
      </c>
      <c r="E869" s="1302">
        <v>0.12</v>
      </c>
      <c r="F869" s="1302">
        <v>0.12</v>
      </c>
      <c r="G869" s="1302">
        <v>0.12</v>
      </c>
      <c r="H869" s="1302">
        <v>0.12</v>
      </c>
      <c r="I869" s="1302">
        <v>0.12</v>
      </c>
      <c r="J869" s="1302">
        <v>0.12</v>
      </c>
      <c r="K869" s="1302">
        <v>0.12</v>
      </c>
    </row>
    <row r="870" spans="1:11" s="551" customFormat="1">
      <c r="A870" s="550"/>
      <c r="B870" s="530" t="s">
        <v>1334</v>
      </c>
      <c r="C870" s="551">
        <v>0.1</v>
      </c>
      <c r="D870" s="1302">
        <v>0.12</v>
      </c>
      <c r="E870" s="1302">
        <v>0.12</v>
      </c>
      <c r="F870" s="1302">
        <v>0.12</v>
      </c>
      <c r="G870" s="1302">
        <v>0.12</v>
      </c>
      <c r="H870" s="1302">
        <v>0.12</v>
      </c>
      <c r="I870" s="1302">
        <v>0.12</v>
      </c>
      <c r="J870" s="1302">
        <v>0.12</v>
      </c>
      <c r="K870" s="1302">
        <v>0.12</v>
      </c>
    </row>
    <row r="871" spans="1:11" s="551" customFormat="1">
      <c r="A871" s="550"/>
      <c r="B871" s="530" t="s">
        <v>1335</v>
      </c>
      <c r="C871" s="551">
        <v>0.1</v>
      </c>
      <c r="D871" s="1302">
        <v>0.12</v>
      </c>
      <c r="E871" s="1302">
        <v>0.12</v>
      </c>
      <c r="F871" s="1302">
        <v>0.12</v>
      </c>
      <c r="G871" s="1302">
        <v>0.12</v>
      </c>
      <c r="H871" s="1302">
        <v>0.12</v>
      </c>
      <c r="I871" s="1302">
        <v>0.12</v>
      </c>
      <c r="J871" s="1302">
        <v>0.12</v>
      </c>
      <c r="K871" s="1302">
        <v>0.12</v>
      </c>
    </row>
    <row r="872" spans="1:11" s="551" customFormat="1">
      <c r="A872" s="550"/>
      <c r="B872" s="530" t="s">
        <v>1336</v>
      </c>
      <c r="C872" s="551">
        <v>0.1</v>
      </c>
      <c r="D872" s="1296">
        <v>0.1</v>
      </c>
      <c r="E872" s="1296">
        <v>0.1</v>
      </c>
      <c r="F872" s="1296">
        <v>0.1</v>
      </c>
      <c r="G872" s="1296">
        <v>0.1</v>
      </c>
      <c r="H872" s="1296">
        <v>0.1</v>
      </c>
      <c r="I872" s="1296">
        <v>0.1</v>
      </c>
      <c r="J872" s="1296">
        <v>0.1</v>
      </c>
      <c r="K872" s="1296">
        <v>0.1</v>
      </c>
    </row>
    <row r="873" spans="1:11" s="551" customFormat="1">
      <c r="A873" s="550"/>
      <c r="B873" s="530" t="s">
        <v>1337</v>
      </c>
      <c r="C873" s="551">
        <v>7.0000000000000007E-2</v>
      </c>
      <c r="D873" s="1296">
        <v>7.0000000000000007E-2</v>
      </c>
      <c r="E873" s="1296">
        <v>7.0000000000000007E-2</v>
      </c>
      <c r="F873" s="1296">
        <v>7.0000000000000007E-2</v>
      </c>
      <c r="G873" s="1296">
        <v>7.0000000000000007E-2</v>
      </c>
      <c r="H873" s="1296">
        <v>7.0000000000000007E-2</v>
      </c>
      <c r="I873" s="1296">
        <v>7.0000000000000007E-2</v>
      </c>
      <c r="J873" s="1296">
        <v>7.0000000000000007E-2</v>
      </c>
      <c r="K873" s="1296">
        <v>7.0000000000000007E-2</v>
      </c>
    </row>
    <row r="874" spans="1:11" s="551" customFormat="1">
      <c r="A874" s="550"/>
      <c r="B874" s="530" t="s">
        <v>1338</v>
      </c>
      <c r="C874" s="551">
        <v>7.0000000000000007E-2</v>
      </c>
      <c r="D874" s="1296">
        <v>7.0000000000000007E-2</v>
      </c>
      <c r="E874" s="1296">
        <v>7.0000000000000007E-2</v>
      </c>
      <c r="F874" s="1296">
        <v>7.0000000000000007E-2</v>
      </c>
      <c r="G874" s="1296">
        <v>7.0000000000000007E-2</v>
      </c>
      <c r="H874" s="1296">
        <v>7.0000000000000007E-2</v>
      </c>
      <c r="I874" s="1296">
        <v>7.0000000000000007E-2</v>
      </c>
      <c r="J874" s="1296">
        <v>7.0000000000000007E-2</v>
      </c>
      <c r="K874" s="1296">
        <v>7.0000000000000007E-2</v>
      </c>
    </row>
    <row r="875" spans="1:11" s="551" customFormat="1">
      <c r="A875" s="550"/>
      <c r="B875" s="530" t="s">
        <v>1339</v>
      </c>
      <c r="C875" s="551">
        <v>0.06</v>
      </c>
      <c r="D875" s="1296">
        <v>0.06</v>
      </c>
      <c r="E875" s="1296">
        <v>0.06</v>
      </c>
      <c r="F875" s="1296">
        <v>0.06</v>
      </c>
      <c r="G875" s="1296">
        <v>0.06</v>
      </c>
      <c r="H875" s="1296">
        <v>0.06</v>
      </c>
      <c r="I875" s="1296">
        <v>0.06</v>
      </c>
      <c r="J875" s="1296">
        <v>0.06</v>
      </c>
      <c r="K875" s="1296">
        <v>0.06</v>
      </c>
    </row>
    <row r="876" spans="1:11" s="551" customFormat="1">
      <c r="A876" s="550"/>
      <c r="B876" s="530" t="s">
        <v>1340</v>
      </c>
      <c r="C876" s="551">
        <v>0.06</v>
      </c>
      <c r="D876" s="1302">
        <v>0.05</v>
      </c>
      <c r="E876" s="1302">
        <v>0.05</v>
      </c>
      <c r="F876" s="1302">
        <v>0.05</v>
      </c>
      <c r="G876" s="1302">
        <v>0.05</v>
      </c>
      <c r="H876" s="1302">
        <v>0.05</v>
      </c>
      <c r="I876" s="1302">
        <v>0.05</v>
      </c>
      <c r="J876" s="1302">
        <v>0.05</v>
      </c>
      <c r="K876" s="1302">
        <v>0.05</v>
      </c>
    </row>
    <row r="877" spans="1:11" s="551" customFormat="1">
      <c r="A877" s="550"/>
      <c r="B877" s="530" t="s">
        <v>1341</v>
      </c>
      <c r="C877" s="551">
        <v>0.06</v>
      </c>
      <c r="D877" s="1296">
        <v>0.06</v>
      </c>
      <c r="E877" s="1296">
        <v>0.06</v>
      </c>
      <c r="F877" s="1296">
        <v>0.06</v>
      </c>
      <c r="G877" s="1296">
        <v>0.06</v>
      </c>
      <c r="H877" s="1296">
        <v>0.06</v>
      </c>
      <c r="I877" s="1296">
        <v>0.06</v>
      </c>
      <c r="J877" s="1296">
        <v>0.06</v>
      </c>
      <c r="K877" s="1296">
        <v>0.06</v>
      </c>
    </row>
    <row r="878" spans="1:11" s="551" customFormat="1">
      <c r="A878" s="550"/>
      <c r="B878" s="530" t="s">
        <v>1342</v>
      </c>
      <c r="C878" s="551">
        <v>7.0000000000000007E-2</v>
      </c>
      <c r="D878" s="1302">
        <v>0.06</v>
      </c>
      <c r="E878" s="1302">
        <v>0.06</v>
      </c>
      <c r="F878" s="1302">
        <v>0.06</v>
      </c>
      <c r="G878" s="1302">
        <v>0.06</v>
      </c>
      <c r="H878" s="1302">
        <v>0.06</v>
      </c>
      <c r="I878" s="1302">
        <v>0.06</v>
      </c>
      <c r="J878" s="1302">
        <v>0.06</v>
      </c>
      <c r="K878" s="1302">
        <v>0.06</v>
      </c>
    </row>
    <row r="879" spans="1:11" s="551" customFormat="1">
      <c r="A879" s="550"/>
      <c r="B879" s="530" t="s">
        <v>1343</v>
      </c>
      <c r="C879" s="551">
        <v>0.08</v>
      </c>
      <c r="D879" s="1302">
        <v>0.11</v>
      </c>
      <c r="E879" s="1302">
        <v>0.11</v>
      </c>
      <c r="F879" s="1302">
        <v>0.11</v>
      </c>
      <c r="G879" s="1302">
        <v>0.11</v>
      </c>
      <c r="H879" s="1302">
        <v>0.11</v>
      </c>
      <c r="I879" s="1302">
        <v>0.11</v>
      </c>
      <c r="J879" s="1302">
        <v>0.11</v>
      </c>
      <c r="K879" s="1302">
        <v>0.11</v>
      </c>
    </row>
    <row r="880" spans="1:11" s="551" customFormat="1">
      <c r="A880" s="550"/>
      <c r="B880" s="530" t="s">
        <v>1344</v>
      </c>
      <c r="C880" s="551">
        <v>0.1</v>
      </c>
      <c r="D880" s="1302">
        <v>0.11</v>
      </c>
      <c r="E880" s="1302">
        <v>0.11</v>
      </c>
      <c r="F880" s="1302">
        <v>0.11</v>
      </c>
      <c r="G880" s="1302">
        <v>0.11</v>
      </c>
      <c r="H880" s="1302">
        <v>0.11</v>
      </c>
      <c r="I880" s="1302">
        <v>0.11</v>
      </c>
      <c r="J880" s="1302">
        <v>0.11</v>
      </c>
      <c r="K880" s="1302">
        <v>0.11</v>
      </c>
    </row>
    <row r="881" spans="1:11" s="551" customFormat="1">
      <c r="A881" s="550"/>
      <c r="B881" s="530" t="s">
        <v>1345</v>
      </c>
      <c r="C881" s="551">
        <v>0.1</v>
      </c>
      <c r="D881" s="1302">
        <v>0.11</v>
      </c>
      <c r="E881" s="1302">
        <v>0.11</v>
      </c>
      <c r="F881" s="1302">
        <v>0.11</v>
      </c>
      <c r="G881" s="1302">
        <v>0.11</v>
      </c>
      <c r="H881" s="1302">
        <v>0.11</v>
      </c>
      <c r="I881" s="1302">
        <v>0.11</v>
      </c>
      <c r="J881" s="1302">
        <v>0.11</v>
      </c>
      <c r="K881" s="1302">
        <v>0.11</v>
      </c>
    </row>
    <row r="882" spans="1:11" s="551" customFormat="1">
      <c r="A882" s="550"/>
      <c r="B882" s="530" t="s">
        <v>1346</v>
      </c>
      <c r="C882" s="551">
        <v>0.11</v>
      </c>
      <c r="D882" s="1296">
        <v>0.11</v>
      </c>
      <c r="E882" s="1296">
        <v>0.11</v>
      </c>
      <c r="F882" s="1296">
        <v>0.11</v>
      </c>
      <c r="G882" s="1296">
        <v>0.11</v>
      </c>
      <c r="H882" s="1296">
        <v>0.11</v>
      </c>
      <c r="I882" s="1296">
        <v>0.11</v>
      </c>
      <c r="J882" s="1296">
        <v>0.11</v>
      </c>
      <c r="K882" s="1296">
        <v>0.11</v>
      </c>
    </row>
    <row r="883" spans="1:11" s="551" customFormat="1">
      <c r="A883" s="550"/>
      <c r="B883" s="530" t="s">
        <v>1347</v>
      </c>
      <c r="C883" s="551">
        <v>0.11</v>
      </c>
      <c r="D883" s="1296">
        <v>0.11</v>
      </c>
      <c r="E883" s="1296">
        <v>0.11</v>
      </c>
      <c r="F883" s="1296">
        <v>0.11</v>
      </c>
      <c r="G883" s="1296">
        <v>0.11</v>
      </c>
      <c r="H883" s="1296">
        <v>0.11</v>
      </c>
      <c r="I883" s="1296">
        <v>0.11</v>
      </c>
      <c r="J883" s="1296">
        <v>0.11</v>
      </c>
      <c r="K883" s="1296">
        <v>0.11</v>
      </c>
    </row>
    <row r="884" spans="1:11" s="551" customFormat="1">
      <c r="A884" s="550"/>
      <c r="B884" s="530" t="s">
        <v>1348</v>
      </c>
      <c r="C884" s="551">
        <v>0.11</v>
      </c>
      <c r="D884" s="1296">
        <v>0.11</v>
      </c>
      <c r="E884" s="1296">
        <v>0.11</v>
      </c>
      <c r="F884" s="1296">
        <v>0.11</v>
      </c>
      <c r="G884" s="1296">
        <v>0.11</v>
      </c>
      <c r="H884" s="1296">
        <v>0.11</v>
      </c>
      <c r="I884" s="1296">
        <v>0.11</v>
      </c>
      <c r="J884" s="1296">
        <v>0.11</v>
      </c>
      <c r="K884" s="1296">
        <v>0.11</v>
      </c>
    </row>
    <row r="885" spans="1:11" s="551" customFormat="1">
      <c r="A885" s="550"/>
      <c r="B885" s="530" t="s">
        <v>1349</v>
      </c>
      <c r="C885" s="551">
        <v>7.0000000000000007E-2</v>
      </c>
      <c r="D885" s="1302">
        <v>0.06</v>
      </c>
      <c r="E885" s="1302">
        <v>0.06</v>
      </c>
      <c r="F885" s="1302">
        <v>0.06</v>
      </c>
      <c r="G885" s="1302">
        <v>0.06</v>
      </c>
      <c r="H885" s="1302">
        <v>0.06</v>
      </c>
      <c r="I885" s="1302">
        <v>0.06</v>
      </c>
      <c r="J885" s="1302">
        <v>0.06</v>
      </c>
      <c r="K885" s="1302">
        <v>0.06</v>
      </c>
    </row>
    <row r="886" spans="1:11" s="551" customFormat="1">
      <c r="A886" s="550"/>
      <c r="B886" s="530" t="s">
        <v>1350</v>
      </c>
      <c r="C886" s="551">
        <v>7.0000000000000007E-2</v>
      </c>
      <c r="D886" s="1302">
        <v>0.05</v>
      </c>
      <c r="E886" s="1302">
        <v>0.05</v>
      </c>
      <c r="F886" s="1302">
        <v>0.05</v>
      </c>
      <c r="G886" s="1302">
        <v>0.05</v>
      </c>
      <c r="H886" s="1302">
        <v>0.05</v>
      </c>
      <c r="I886" s="1302">
        <v>0.05</v>
      </c>
      <c r="J886" s="1302">
        <v>0.05</v>
      </c>
      <c r="K886" s="1302">
        <v>0.05</v>
      </c>
    </row>
    <row r="887" spans="1:11" s="551" customFormat="1">
      <c r="A887" s="550"/>
      <c r="B887" s="530" t="s">
        <v>1351</v>
      </c>
      <c r="C887" s="551">
        <v>0.05</v>
      </c>
      <c r="D887" s="1302">
        <v>0.02</v>
      </c>
      <c r="E887" s="1302">
        <v>0.02</v>
      </c>
      <c r="F887" s="1302">
        <v>0.02</v>
      </c>
      <c r="G887" s="1302">
        <v>0.02</v>
      </c>
      <c r="H887" s="1302">
        <v>0.02</v>
      </c>
      <c r="I887" s="1302">
        <v>0.02</v>
      </c>
      <c r="J887" s="1302">
        <v>0.02</v>
      </c>
      <c r="K887" s="1302">
        <v>0.02</v>
      </c>
    </row>
    <row r="888" spans="1:11" s="551" customFormat="1">
      <c r="A888" s="550"/>
      <c r="B888" s="530" t="s">
        <v>1352</v>
      </c>
      <c r="C888" s="551">
        <v>0.05</v>
      </c>
      <c r="D888" s="1302">
        <v>0.03</v>
      </c>
      <c r="E888" s="1302">
        <v>0.03</v>
      </c>
      <c r="F888" s="1302">
        <v>0.03</v>
      </c>
      <c r="G888" s="1302">
        <v>0.03</v>
      </c>
      <c r="H888" s="1302">
        <v>0.03</v>
      </c>
      <c r="I888" s="1302">
        <v>0.03</v>
      </c>
      <c r="J888" s="1302">
        <v>0.03</v>
      </c>
      <c r="K888" s="1302">
        <v>0.03</v>
      </c>
    </row>
    <row r="889" spans="1:11" s="551" customFormat="1">
      <c r="A889" s="550"/>
      <c r="B889" s="530" t="s">
        <v>1353</v>
      </c>
      <c r="C889" s="551">
        <v>0.06</v>
      </c>
      <c r="D889" s="1302">
        <v>0.03</v>
      </c>
      <c r="E889" s="1302">
        <v>0.03</v>
      </c>
      <c r="F889" s="1302">
        <v>0.03</v>
      </c>
      <c r="G889" s="1302">
        <v>0.03</v>
      </c>
      <c r="H889" s="1302">
        <v>0.03</v>
      </c>
      <c r="I889" s="1302">
        <v>0.03</v>
      </c>
      <c r="J889" s="1302">
        <v>0.03</v>
      </c>
      <c r="K889" s="1302">
        <v>0.03</v>
      </c>
    </row>
    <row r="890" spans="1:11" s="551" customFormat="1">
      <c r="A890" s="550"/>
      <c r="B890" s="530" t="s">
        <v>1354</v>
      </c>
      <c r="C890" s="551">
        <v>7.0000000000000007E-2</v>
      </c>
      <c r="D890" s="1302">
        <v>0.04</v>
      </c>
      <c r="E890" s="1302">
        <v>0.04</v>
      </c>
      <c r="F890" s="1302">
        <v>0.04</v>
      </c>
      <c r="G890" s="1302">
        <v>0.04</v>
      </c>
      <c r="H890" s="1302">
        <v>0.04</v>
      </c>
      <c r="I890" s="1302">
        <v>0.04</v>
      </c>
      <c r="J890" s="1302">
        <v>0.04</v>
      </c>
      <c r="K890" s="1302">
        <v>0.04</v>
      </c>
    </row>
    <row r="891" spans="1:11" s="551" customFormat="1">
      <c r="A891" s="550"/>
      <c r="B891" s="530" t="s">
        <v>1355</v>
      </c>
      <c r="C891" s="551">
        <v>0.08</v>
      </c>
      <c r="D891" s="1302">
        <v>0.11</v>
      </c>
      <c r="E891" s="1302">
        <v>0.11</v>
      </c>
      <c r="F891" s="1302">
        <v>0.11</v>
      </c>
      <c r="G891" s="1302">
        <v>0.11</v>
      </c>
      <c r="H891" s="1302">
        <v>0.11</v>
      </c>
      <c r="I891" s="1302">
        <v>0.11</v>
      </c>
      <c r="J891" s="1302">
        <v>0.11</v>
      </c>
      <c r="K891" s="1302">
        <v>0.11</v>
      </c>
    </row>
    <row r="892" spans="1:11" s="551" customFormat="1">
      <c r="A892" s="550"/>
      <c r="B892" s="530" t="s">
        <v>1356</v>
      </c>
      <c r="C892" s="551">
        <v>0.1</v>
      </c>
      <c r="D892" s="1302">
        <v>0.12</v>
      </c>
      <c r="E892" s="1302">
        <v>0.12</v>
      </c>
      <c r="F892" s="1302">
        <v>0.12</v>
      </c>
      <c r="G892" s="1302">
        <v>0.12</v>
      </c>
      <c r="H892" s="1302">
        <v>0.12</v>
      </c>
      <c r="I892" s="1302">
        <v>0.12</v>
      </c>
      <c r="J892" s="1302">
        <v>0.12</v>
      </c>
      <c r="K892" s="1302">
        <v>0.12</v>
      </c>
    </row>
    <row r="893" spans="1:11" s="551" customFormat="1">
      <c r="A893" s="550"/>
      <c r="B893" s="530" t="s">
        <v>1357</v>
      </c>
      <c r="C893" s="551">
        <v>0.1</v>
      </c>
      <c r="D893" s="1302">
        <v>0.12</v>
      </c>
      <c r="E893" s="1302">
        <v>0.12</v>
      </c>
      <c r="F893" s="1302">
        <v>0.12</v>
      </c>
      <c r="G893" s="1302">
        <v>0.12</v>
      </c>
      <c r="H893" s="1302">
        <v>0.12</v>
      </c>
      <c r="I893" s="1302">
        <v>0.12</v>
      </c>
      <c r="J893" s="1302">
        <v>0.12</v>
      </c>
      <c r="K893" s="1302">
        <v>0.12</v>
      </c>
    </row>
    <row r="894" spans="1:11" s="551" customFormat="1">
      <c r="A894" s="550"/>
      <c r="B894" s="530" t="s">
        <v>1358</v>
      </c>
      <c r="C894" s="551">
        <v>0.12</v>
      </c>
      <c r="D894" s="1296">
        <v>0.12</v>
      </c>
      <c r="E894" s="1296">
        <v>0.12</v>
      </c>
      <c r="F894" s="1296">
        <v>0.12</v>
      </c>
      <c r="G894" s="1296">
        <v>0.12</v>
      </c>
      <c r="H894" s="1296">
        <v>0.12</v>
      </c>
      <c r="I894" s="1296">
        <v>0.12</v>
      </c>
      <c r="J894" s="1296">
        <v>0.12</v>
      </c>
      <c r="K894" s="1296">
        <v>0.12</v>
      </c>
    </row>
    <row r="895" spans="1:11" s="551" customFormat="1">
      <c r="A895" s="550"/>
      <c r="B895" s="530" t="s">
        <v>1359</v>
      </c>
      <c r="C895" s="551">
        <v>0.12</v>
      </c>
      <c r="D895" s="1296">
        <v>0.12</v>
      </c>
      <c r="E895" s="1296">
        <v>0.12</v>
      </c>
      <c r="F895" s="1296">
        <v>0.12</v>
      </c>
      <c r="G895" s="1296">
        <v>0.12</v>
      </c>
      <c r="H895" s="1296">
        <v>0.12</v>
      </c>
      <c r="I895" s="1296">
        <v>0.12</v>
      </c>
      <c r="J895" s="1296">
        <v>0.12</v>
      </c>
      <c r="K895" s="1296">
        <v>0.12</v>
      </c>
    </row>
    <row r="896" spans="1:11" s="551" customFormat="1">
      <c r="A896" s="550"/>
      <c r="B896" s="530" t="s">
        <v>1360</v>
      </c>
      <c r="C896" s="551">
        <v>0.11</v>
      </c>
      <c r="D896" s="1296">
        <v>0.11</v>
      </c>
      <c r="E896" s="1296">
        <v>0.11</v>
      </c>
      <c r="F896" s="1296">
        <v>0.11</v>
      </c>
      <c r="G896" s="1296">
        <v>0.11</v>
      </c>
      <c r="H896" s="1296">
        <v>0.11</v>
      </c>
      <c r="I896" s="1296">
        <v>0.11</v>
      </c>
      <c r="J896" s="1296">
        <v>0.11</v>
      </c>
      <c r="K896" s="1296">
        <v>0.11</v>
      </c>
    </row>
    <row r="897" spans="1:11" s="551" customFormat="1">
      <c r="A897" s="550"/>
      <c r="B897" s="530" t="s">
        <v>1361</v>
      </c>
      <c r="C897" s="551">
        <v>7.0000000000000007E-2</v>
      </c>
      <c r="D897" s="1302">
        <v>0.15</v>
      </c>
      <c r="E897" s="1302">
        <v>0.15</v>
      </c>
      <c r="F897" s="1302">
        <v>0.15</v>
      </c>
      <c r="G897" s="1302">
        <v>0.15</v>
      </c>
      <c r="H897" s="1302">
        <v>0.15</v>
      </c>
      <c r="I897" s="1302">
        <v>0.15</v>
      </c>
      <c r="J897" s="1302">
        <v>0.15</v>
      </c>
      <c r="K897" s="1302">
        <v>0.15</v>
      </c>
    </row>
    <row r="898" spans="1:11" s="551" customFormat="1">
      <c r="A898" s="550"/>
      <c r="B898" s="530" t="s">
        <v>1362</v>
      </c>
      <c r="C898" s="551">
        <v>7.0000000000000007E-2</v>
      </c>
      <c r="D898" s="1302">
        <v>0.03</v>
      </c>
      <c r="E898" s="1302">
        <v>0.03</v>
      </c>
      <c r="F898" s="1302">
        <v>0.03</v>
      </c>
      <c r="G898" s="1302">
        <v>0.03</v>
      </c>
      <c r="H898" s="1302">
        <v>0.03</v>
      </c>
      <c r="I898" s="1302">
        <v>0.03</v>
      </c>
      <c r="J898" s="1302">
        <v>0.03</v>
      </c>
      <c r="K898" s="1302">
        <v>0.03</v>
      </c>
    </row>
    <row r="899" spans="1:11" s="551" customFormat="1">
      <c r="A899" s="550"/>
      <c r="B899" s="530" t="s">
        <v>1363</v>
      </c>
      <c r="C899" s="551">
        <v>0.05</v>
      </c>
      <c r="D899" s="1296">
        <v>0.05</v>
      </c>
      <c r="E899" s="1296">
        <v>0.05</v>
      </c>
      <c r="F899" s="1296">
        <v>0.05</v>
      </c>
      <c r="G899" s="1296">
        <v>0.05</v>
      </c>
      <c r="H899" s="1296">
        <v>0.05</v>
      </c>
      <c r="I899" s="1296">
        <v>0.05</v>
      </c>
      <c r="J899" s="1296">
        <v>0.05</v>
      </c>
      <c r="K899" s="1296">
        <v>0.05</v>
      </c>
    </row>
    <row r="900" spans="1:11" s="551" customFormat="1">
      <c r="A900" s="550"/>
      <c r="B900" s="530" t="s">
        <v>1364</v>
      </c>
      <c r="C900" s="551">
        <v>0.05</v>
      </c>
      <c r="D900" s="1296">
        <v>0.05</v>
      </c>
      <c r="E900" s="1296">
        <v>0.05</v>
      </c>
      <c r="F900" s="1296">
        <v>0.05</v>
      </c>
      <c r="G900" s="1296">
        <v>0.05</v>
      </c>
      <c r="H900" s="1296">
        <v>0.05</v>
      </c>
      <c r="I900" s="1296">
        <v>0.05</v>
      </c>
      <c r="J900" s="1296">
        <v>0.05</v>
      </c>
      <c r="K900" s="1296">
        <v>0.05</v>
      </c>
    </row>
    <row r="901" spans="1:11" s="551" customFormat="1">
      <c r="A901" s="550"/>
      <c r="B901" s="530" t="s">
        <v>1365</v>
      </c>
      <c r="C901" s="551">
        <v>0.06</v>
      </c>
      <c r="D901" s="1296">
        <v>0.06</v>
      </c>
      <c r="E901" s="1296">
        <v>0.06</v>
      </c>
      <c r="F901" s="1296">
        <v>0.06</v>
      </c>
      <c r="G901" s="1296">
        <v>0.06</v>
      </c>
      <c r="H901" s="1296">
        <v>0.06</v>
      </c>
      <c r="I901" s="1296">
        <v>0.06</v>
      </c>
      <c r="J901" s="1296">
        <v>0.06</v>
      </c>
      <c r="K901" s="1296">
        <v>0.06</v>
      </c>
    </row>
    <row r="902" spans="1:11" s="551" customFormat="1">
      <c r="A902" s="550"/>
      <c r="B902" s="530" t="s">
        <v>1366</v>
      </c>
      <c r="C902" s="551">
        <v>7.0000000000000007E-2</v>
      </c>
      <c r="D902" s="1296">
        <v>7.0000000000000007E-2</v>
      </c>
      <c r="E902" s="1296">
        <v>7.0000000000000007E-2</v>
      </c>
      <c r="F902" s="1296">
        <v>7.0000000000000007E-2</v>
      </c>
      <c r="G902" s="1296">
        <v>7.0000000000000007E-2</v>
      </c>
      <c r="H902" s="1296">
        <v>7.0000000000000007E-2</v>
      </c>
      <c r="I902" s="1296">
        <v>7.0000000000000007E-2</v>
      </c>
      <c r="J902" s="1296">
        <v>7.0000000000000007E-2</v>
      </c>
      <c r="K902" s="1296">
        <v>7.0000000000000007E-2</v>
      </c>
    </row>
    <row r="903" spans="1:11" s="551" customFormat="1">
      <c r="A903" s="550"/>
      <c r="B903" s="530" t="s">
        <v>1367</v>
      </c>
      <c r="C903" s="551">
        <v>0.08</v>
      </c>
      <c r="D903" s="1296">
        <v>0.08</v>
      </c>
      <c r="E903" s="1296">
        <v>0.08</v>
      </c>
      <c r="F903" s="1296">
        <v>0.08</v>
      </c>
      <c r="G903" s="1296">
        <v>0.08</v>
      </c>
      <c r="H903" s="1296">
        <v>0.08</v>
      </c>
      <c r="I903" s="1296">
        <v>0.08</v>
      </c>
      <c r="J903" s="1296">
        <v>0.08</v>
      </c>
      <c r="K903" s="1296">
        <v>0.08</v>
      </c>
    </row>
    <row r="904" spans="1:11" s="551" customFormat="1">
      <c r="A904" s="550"/>
      <c r="B904" s="530" t="s">
        <v>1368</v>
      </c>
      <c r="C904" s="551">
        <v>0.1</v>
      </c>
      <c r="D904" s="1296">
        <v>0.1</v>
      </c>
      <c r="E904" s="1296">
        <v>0.1</v>
      </c>
      <c r="F904" s="1296">
        <v>0.1</v>
      </c>
      <c r="G904" s="1296">
        <v>0.1</v>
      </c>
      <c r="H904" s="1296">
        <v>0.1</v>
      </c>
      <c r="I904" s="1296">
        <v>0.1</v>
      </c>
      <c r="J904" s="1296">
        <v>0.1</v>
      </c>
      <c r="K904" s="1296">
        <v>0.1</v>
      </c>
    </row>
    <row r="905" spans="1:11" s="551" customFormat="1">
      <c r="A905" s="550"/>
      <c r="B905" s="530" t="s">
        <v>1369</v>
      </c>
      <c r="C905" s="551">
        <v>0.1</v>
      </c>
      <c r="D905" s="1296">
        <v>0.1</v>
      </c>
      <c r="E905" s="1296">
        <v>0.1</v>
      </c>
      <c r="F905" s="1296">
        <v>0.1</v>
      </c>
      <c r="G905" s="1296">
        <v>0.1</v>
      </c>
      <c r="H905" s="1296">
        <v>0.1</v>
      </c>
      <c r="I905" s="1296">
        <v>0.1</v>
      </c>
      <c r="J905" s="1296">
        <v>0.1</v>
      </c>
      <c r="K905" s="1296">
        <v>0.1</v>
      </c>
    </row>
    <row r="906" spans="1:11" s="551" customFormat="1">
      <c r="A906" s="550"/>
      <c r="B906" s="530" t="s">
        <v>1370</v>
      </c>
      <c r="C906" s="551">
        <v>0.12</v>
      </c>
      <c r="D906" s="1296">
        <v>0.12</v>
      </c>
      <c r="E906" s="1296">
        <v>0.12</v>
      </c>
      <c r="F906" s="1296">
        <v>0.12</v>
      </c>
      <c r="G906" s="1296">
        <v>0.12</v>
      </c>
      <c r="H906" s="1296">
        <v>0.12</v>
      </c>
      <c r="I906" s="1296">
        <v>0.12</v>
      </c>
      <c r="J906" s="1296">
        <v>0.12</v>
      </c>
      <c r="K906" s="1296">
        <v>0.12</v>
      </c>
    </row>
    <row r="907" spans="1:11" s="551" customFormat="1">
      <c r="A907" s="550"/>
      <c r="B907" s="530" t="s">
        <v>1371</v>
      </c>
      <c r="C907" s="551">
        <v>0.12</v>
      </c>
      <c r="D907" s="1296">
        <v>0.12</v>
      </c>
      <c r="E907" s="1296">
        <v>0.12</v>
      </c>
      <c r="F907" s="1296">
        <v>0.12</v>
      </c>
      <c r="G907" s="1296">
        <v>0.12</v>
      </c>
      <c r="H907" s="1296">
        <v>0.12</v>
      </c>
      <c r="I907" s="1296">
        <v>0.12</v>
      </c>
      <c r="J907" s="1296">
        <v>0.12</v>
      </c>
      <c r="K907" s="1296">
        <v>0.12</v>
      </c>
    </row>
    <row r="908" spans="1:11" s="551" customFormat="1">
      <c r="A908" s="550"/>
      <c r="B908" s="530" t="s">
        <v>1372</v>
      </c>
      <c r="C908" s="551">
        <v>0.11</v>
      </c>
      <c r="D908" s="1296">
        <v>0.11</v>
      </c>
      <c r="E908" s="1296">
        <v>0.11</v>
      </c>
      <c r="F908" s="1296">
        <v>0.11</v>
      </c>
      <c r="G908" s="1296">
        <v>0.11</v>
      </c>
      <c r="H908" s="1296">
        <v>0.11</v>
      </c>
      <c r="I908" s="1296">
        <v>0.11</v>
      </c>
      <c r="J908" s="1296">
        <v>0.11</v>
      </c>
      <c r="K908" s="1296">
        <v>0.11</v>
      </c>
    </row>
    <row r="909" spans="1:11" s="551" customFormat="1">
      <c r="A909" s="550"/>
      <c r="B909" s="530" t="s">
        <v>1373</v>
      </c>
      <c r="C909" s="551">
        <v>7.0000000000000007E-2</v>
      </c>
      <c r="D909" s="1296">
        <v>7.0000000000000007E-2</v>
      </c>
      <c r="E909" s="1296">
        <v>7.0000000000000007E-2</v>
      </c>
      <c r="F909" s="1296">
        <v>7.0000000000000007E-2</v>
      </c>
      <c r="G909" s="1296">
        <v>7.0000000000000007E-2</v>
      </c>
      <c r="H909" s="1296">
        <v>7.0000000000000007E-2</v>
      </c>
      <c r="I909" s="1296">
        <v>7.0000000000000007E-2</v>
      </c>
      <c r="J909" s="1296">
        <v>7.0000000000000007E-2</v>
      </c>
      <c r="K909" s="1296">
        <v>7.0000000000000007E-2</v>
      </c>
    </row>
    <row r="910" spans="1:11" s="551" customFormat="1">
      <c r="A910" s="550"/>
      <c r="B910" s="530" t="s">
        <v>1374</v>
      </c>
      <c r="C910" s="551">
        <v>7.0000000000000007E-2</v>
      </c>
      <c r="D910" s="1296">
        <v>7.0000000000000007E-2</v>
      </c>
      <c r="E910" s="1296">
        <v>7.0000000000000007E-2</v>
      </c>
      <c r="F910" s="1296">
        <v>7.0000000000000007E-2</v>
      </c>
      <c r="G910" s="1296">
        <v>7.0000000000000007E-2</v>
      </c>
      <c r="H910" s="1296">
        <v>7.0000000000000007E-2</v>
      </c>
      <c r="I910" s="1296">
        <v>7.0000000000000007E-2</v>
      </c>
      <c r="J910" s="1296">
        <v>7.0000000000000007E-2</v>
      </c>
      <c r="K910" s="1296">
        <v>7.0000000000000007E-2</v>
      </c>
    </row>
    <row r="911" spans="1:11" s="551" customFormat="1">
      <c r="A911" s="550"/>
      <c r="B911" s="530" t="s">
        <v>1375</v>
      </c>
      <c r="C911" s="551">
        <v>0.05</v>
      </c>
      <c r="D911" s="1296">
        <v>0.05</v>
      </c>
      <c r="E911" s="1296">
        <v>0.05</v>
      </c>
      <c r="F911" s="1296">
        <v>0.05</v>
      </c>
      <c r="G911" s="1296">
        <v>0.05</v>
      </c>
      <c r="H911" s="1296">
        <v>0.05</v>
      </c>
      <c r="I911" s="1296">
        <v>0.05</v>
      </c>
      <c r="J911" s="1296">
        <v>0.05</v>
      </c>
      <c r="K911" s="1296">
        <v>0.05</v>
      </c>
    </row>
    <row r="912" spans="1:11" s="551" customFormat="1">
      <c r="A912" s="550"/>
      <c r="B912" s="530" t="s">
        <v>1376</v>
      </c>
      <c r="C912" s="551">
        <v>0.05</v>
      </c>
      <c r="D912" s="1296">
        <v>0.05</v>
      </c>
      <c r="E912" s="1296">
        <v>0.05</v>
      </c>
      <c r="F912" s="1296">
        <v>0.05</v>
      </c>
      <c r="G912" s="1296">
        <v>0.05</v>
      </c>
      <c r="H912" s="1296">
        <v>0.05</v>
      </c>
      <c r="I912" s="1296">
        <v>0.05</v>
      </c>
      <c r="J912" s="1296">
        <v>0.05</v>
      </c>
      <c r="K912" s="1296">
        <v>0.05</v>
      </c>
    </row>
    <row r="913" spans="1:11" s="551" customFormat="1">
      <c r="A913" s="550"/>
      <c r="B913" s="530" t="s">
        <v>1377</v>
      </c>
      <c r="C913" s="551">
        <v>0.06</v>
      </c>
      <c r="D913" s="1296">
        <v>0.06</v>
      </c>
      <c r="E913" s="1296">
        <v>0.06</v>
      </c>
      <c r="F913" s="1296">
        <v>0.06</v>
      </c>
      <c r="G913" s="1296">
        <v>0.06</v>
      </c>
      <c r="H913" s="1296">
        <v>0.06</v>
      </c>
      <c r="I913" s="1296">
        <v>0.06</v>
      </c>
      <c r="J913" s="1296">
        <v>0.06</v>
      </c>
      <c r="K913" s="1296">
        <v>0.06</v>
      </c>
    </row>
    <row r="914" spans="1:11" s="551" customFormat="1">
      <c r="A914" s="550"/>
      <c r="B914" s="530" t="s">
        <v>1378</v>
      </c>
      <c r="C914" s="551">
        <v>7.0000000000000007E-2</v>
      </c>
      <c r="D914" s="1296">
        <v>7.0000000000000007E-2</v>
      </c>
      <c r="E914" s="1296">
        <v>7.0000000000000007E-2</v>
      </c>
      <c r="F914" s="1296">
        <v>7.0000000000000007E-2</v>
      </c>
      <c r="G914" s="1296">
        <v>7.0000000000000007E-2</v>
      </c>
      <c r="H914" s="1296">
        <v>7.0000000000000007E-2</v>
      </c>
      <c r="I914" s="1296">
        <v>7.0000000000000007E-2</v>
      </c>
      <c r="J914" s="1296">
        <v>7.0000000000000007E-2</v>
      </c>
      <c r="K914" s="1296">
        <v>7.0000000000000007E-2</v>
      </c>
    </row>
    <row r="915" spans="1:11" s="551" customFormat="1">
      <c r="A915" s="550"/>
      <c r="B915" s="530" t="s">
        <v>1379</v>
      </c>
      <c r="C915" s="551">
        <v>0.08</v>
      </c>
      <c r="D915" s="1296">
        <v>0.08</v>
      </c>
      <c r="E915" s="1296">
        <v>0.08</v>
      </c>
      <c r="F915" s="1296">
        <v>0.08</v>
      </c>
      <c r="G915" s="1296">
        <v>0.08</v>
      </c>
      <c r="H915" s="1296">
        <v>0.08</v>
      </c>
      <c r="I915" s="1296">
        <v>0.08</v>
      </c>
      <c r="J915" s="1296">
        <v>0.08</v>
      </c>
      <c r="K915" s="1296">
        <v>0.08</v>
      </c>
    </row>
    <row r="916" spans="1:11" s="551" customFormat="1">
      <c r="A916" s="550"/>
      <c r="B916" s="530" t="s">
        <v>1380</v>
      </c>
      <c r="C916" s="551">
        <v>0.1</v>
      </c>
      <c r="D916" s="1296">
        <v>0.1</v>
      </c>
      <c r="E916" s="1296">
        <v>0.1</v>
      </c>
      <c r="F916" s="1296">
        <v>0.1</v>
      </c>
      <c r="G916" s="1296">
        <v>0.1</v>
      </c>
      <c r="H916" s="1296">
        <v>0.1</v>
      </c>
      <c r="I916" s="1296">
        <v>0.1</v>
      </c>
      <c r="J916" s="1296">
        <v>0.1</v>
      </c>
      <c r="K916" s="1296">
        <v>0.1</v>
      </c>
    </row>
    <row r="917" spans="1:11" s="551" customFormat="1">
      <c r="A917" s="550"/>
      <c r="B917" s="530" t="s">
        <v>1381</v>
      </c>
      <c r="C917" s="551">
        <v>0.1</v>
      </c>
      <c r="D917" s="1296">
        <v>0.1</v>
      </c>
      <c r="E917" s="1296">
        <v>0.1</v>
      </c>
      <c r="F917" s="1296">
        <v>0.1</v>
      </c>
      <c r="G917" s="1296">
        <v>0.1</v>
      </c>
      <c r="H917" s="1296">
        <v>0.1</v>
      </c>
      <c r="I917" s="1296">
        <v>0.1</v>
      </c>
      <c r="J917" s="1296">
        <v>0.1</v>
      </c>
      <c r="K917" s="1296">
        <v>0.1</v>
      </c>
    </row>
    <row r="918" spans="1:11" s="551" customFormat="1">
      <c r="A918" s="550"/>
      <c r="B918" s="530" t="s">
        <v>1382</v>
      </c>
      <c r="C918" s="551">
        <v>0.12</v>
      </c>
      <c r="D918" s="1296">
        <v>0.12</v>
      </c>
      <c r="E918" s="1296">
        <v>0.12</v>
      </c>
      <c r="F918" s="1296">
        <v>0.12</v>
      </c>
      <c r="G918" s="1296">
        <v>0.12</v>
      </c>
      <c r="H918" s="1296">
        <v>0.12</v>
      </c>
      <c r="I918" s="1296">
        <v>0.12</v>
      </c>
      <c r="J918" s="1296">
        <v>0.12</v>
      </c>
      <c r="K918" s="1296">
        <v>0.12</v>
      </c>
    </row>
    <row r="919" spans="1:11" s="551" customFormat="1">
      <c r="A919" s="550"/>
      <c r="B919" s="530" t="s">
        <v>1383</v>
      </c>
      <c r="C919" s="551">
        <v>0.12</v>
      </c>
      <c r="D919" s="1296">
        <v>0.12</v>
      </c>
      <c r="E919" s="1296">
        <v>0.12</v>
      </c>
      <c r="F919" s="1296">
        <v>0.12</v>
      </c>
      <c r="G919" s="1296">
        <v>0.12</v>
      </c>
      <c r="H919" s="1296">
        <v>0.12</v>
      </c>
      <c r="I919" s="1296">
        <v>0.12</v>
      </c>
      <c r="J919" s="1296">
        <v>0.12</v>
      </c>
      <c r="K919" s="1296">
        <v>0.12</v>
      </c>
    </row>
    <row r="920" spans="1:11" s="551" customFormat="1">
      <c r="A920" s="550"/>
      <c r="B920" s="530" t="s">
        <v>1384</v>
      </c>
      <c r="C920" s="551">
        <v>0.11</v>
      </c>
      <c r="D920" s="1296">
        <v>0.11</v>
      </c>
      <c r="E920" s="1296">
        <v>0.11</v>
      </c>
      <c r="F920" s="1296">
        <v>0.11</v>
      </c>
      <c r="G920" s="1296">
        <v>0.11</v>
      </c>
      <c r="H920" s="1296">
        <v>0.11</v>
      </c>
      <c r="I920" s="1296">
        <v>0.11</v>
      </c>
      <c r="J920" s="1296">
        <v>0.11</v>
      </c>
      <c r="K920" s="1296">
        <v>0.11</v>
      </c>
    </row>
    <row r="921" spans="1:11" s="551" customFormat="1">
      <c r="A921" s="550"/>
      <c r="B921" s="530" t="s">
        <v>1385</v>
      </c>
      <c r="C921" s="551">
        <v>7.0000000000000007E-2</v>
      </c>
      <c r="D921" s="1296">
        <v>7.0000000000000007E-2</v>
      </c>
      <c r="E921" s="1296">
        <v>7.0000000000000007E-2</v>
      </c>
      <c r="F921" s="1296">
        <v>7.0000000000000007E-2</v>
      </c>
      <c r="G921" s="1296">
        <v>7.0000000000000007E-2</v>
      </c>
      <c r="H921" s="1296">
        <v>7.0000000000000007E-2</v>
      </c>
      <c r="I921" s="1296">
        <v>7.0000000000000007E-2</v>
      </c>
      <c r="J921" s="1296">
        <v>7.0000000000000007E-2</v>
      </c>
      <c r="K921" s="1296">
        <v>7.0000000000000007E-2</v>
      </c>
    </row>
    <row r="922" spans="1:11" s="551" customFormat="1">
      <c r="A922" s="550"/>
      <c r="B922" s="530" t="s">
        <v>1386</v>
      </c>
      <c r="C922" s="551">
        <v>7.0000000000000007E-2</v>
      </c>
      <c r="D922" s="1296">
        <v>7.0000000000000007E-2</v>
      </c>
      <c r="E922" s="1296">
        <v>7.0000000000000007E-2</v>
      </c>
      <c r="F922" s="1296">
        <v>7.0000000000000007E-2</v>
      </c>
      <c r="G922" s="1296">
        <v>7.0000000000000007E-2</v>
      </c>
      <c r="H922" s="1296">
        <v>7.0000000000000007E-2</v>
      </c>
      <c r="I922" s="1296">
        <v>7.0000000000000007E-2</v>
      </c>
      <c r="J922" s="1296">
        <v>7.0000000000000007E-2</v>
      </c>
      <c r="K922" s="1296">
        <v>7.0000000000000007E-2</v>
      </c>
    </row>
    <row r="923" spans="1:11" s="551" customFormat="1">
      <c r="A923" s="550"/>
      <c r="B923" s="530" t="s">
        <v>1387</v>
      </c>
      <c r="C923" s="551">
        <v>0.05</v>
      </c>
      <c r="D923" s="1296">
        <v>0.05</v>
      </c>
      <c r="E923" s="1296">
        <v>0.05</v>
      </c>
      <c r="F923" s="1296">
        <v>0.05</v>
      </c>
      <c r="G923" s="1296">
        <v>0.05</v>
      </c>
      <c r="H923" s="1296">
        <v>0.05</v>
      </c>
      <c r="I923" s="1296">
        <v>0.05</v>
      </c>
      <c r="J923" s="1296">
        <v>0.05</v>
      </c>
      <c r="K923" s="1296">
        <v>0.05</v>
      </c>
    </row>
    <row r="924" spans="1:11" s="551" customFormat="1">
      <c r="A924" s="550"/>
      <c r="B924" s="530" t="s">
        <v>1388</v>
      </c>
      <c r="C924" s="551">
        <v>0.05</v>
      </c>
      <c r="D924" s="1296">
        <v>0.05</v>
      </c>
      <c r="E924" s="1296">
        <v>0.05</v>
      </c>
      <c r="F924" s="1296">
        <v>0.05</v>
      </c>
      <c r="G924" s="1296">
        <v>0.05</v>
      </c>
      <c r="H924" s="1296">
        <v>0.05</v>
      </c>
      <c r="I924" s="1296">
        <v>0.05</v>
      </c>
      <c r="J924" s="1296">
        <v>0.05</v>
      </c>
      <c r="K924" s="1296">
        <v>0.05</v>
      </c>
    </row>
    <row r="925" spans="1:11" s="551" customFormat="1">
      <c r="A925" s="550"/>
      <c r="B925" s="530" t="s">
        <v>1389</v>
      </c>
      <c r="C925" s="551">
        <v>0.06</v>
      </c>
      <c r="D925" s="1296">
        <v>0.06</v>
      </c>
      <c r="E925" s="1296">
        <v>0.06</v>
      </c>
      <c r="F925" s="1296">
        <v>0.06</v>
      </c>
      <c r="G925" s="1296">
        <v>0.06</v>
      </c>
      <c r="H925" s="1296">
        <v>0.06</v>
      </c>
      <c r="I925" s="1296">
        <v>0.06</v>
      </c>
      <c r="J925" s="1296">
        <v>0.06</v>
      </c>
      <c r="K925" s="1296">
        <v>0.06</v>
      </c>
    </row>
    <row r="926" spans="1:11" s="551" customFormat="1">
      <c r="A926" s="550"/>
      <c r="B926" s="530" t="s">
        <v>1390</v>
      </c>
      <c r="C926" s="551">
        <v>7.0000000000000007E-2</v>
      </c>
      <c r="D926" s="1296">
        <v>7.0000000000000007E-2</v>
      </c>
      <c r="E926" s="1296">
        <v>7.0000000000000007E-2</v>
      </c>
      <c r="F926" s="1296">
        <v>7.0000000000000007E-2</v>
      </c>
      <c r="G926" s="1296">
        <v>7.0000000000000007E-2</v>
      </c>
      <c r="H926" s="1296">
        <v>7.0000000000000007E-2</v>
      </c>
      <c r="I926" s="1296">
        <v>7.0000000000000007E-2</v>
      </c>
      <c r="J926" s="1296">
        <v>7.0000000000000007E-2</v>
      </c>
      <c r="K926" s="1296">
        <v>7.0000000000000007E-2</v>
      </c>
    </row>
    <row r="927" spans="1:11" s="551" customFormat="1">
      <c r="A927" s="550"/>
      <c r="B927" s="530" t="s">
        <v>1391</v>
      </c>
      <c r="C927" s="551">
        <v>0.08</v>
      </c>
      <c r="D927" s="1296">
        <v>0.08</v>
      </c>
      <c r="E927" s="1296">
        <v>0.08</v>
      </c>
      <c r="F927" s="1296">
        <v>0.08</v>
      </c>
      <c r="G927" s="1296">
        <v>0.08</v>
      </c>
      <c r="H927" s="1296">
        <v>0.08</v>
      </c>
      <c r="I927" s="1296">
        <v>0.08</v>
      </c>
      <c r="J927" s="1296">
        <v>0.08</v>
      </c>
      <c r="K927" s="1296">
        <v>0.08</v>
      </c>
    </row>
    <row r="928" spans="1:11" s="551" customFormat="1">
      <c r="A928" s="550"/>
      <c r="B928" s="530" t="s">
        <v>1392</v>
      </c>
      <c r="C928" s="551">
        <v>0.1</v>
      </c>
      <c r="D928" s="1296">
        <v>0.1</v>
      </c>
      <c r="E928" s="1296">
        <v>0.1</v>
      </c>
      <c r="F928" s="1296">
        <v>0.1</v>
      </c>
      <c r="G928" s="1296">
        <v>0.1</v>
      </c>
      <c r="H928" s="1296">
        <v>0.1</v>
      </c>
      <c r="I928" s="1296">
        <v>0.1</v>
      </c>
      <c r="J928" s="1296">
        <v>0.1</v>
      </c>
      <c r="K928" s="1296">
        <v>0.1</v>
      </c>
    </row>
    <row r="929" spans="1:11" s="551" customFormat="1">
      <c r="A929" s="550"/>
      <c r="B929" s="530" t="s">
        <v>1393</v>
      </c>
      <c r="C929" s="551">
        <v>0.1</v>
      </c>
      <c r="D929" s="1296">
        <v>0.1</v>
      </c>
      <c r="E929" s="1296">
        <v>0.1</v>
      </c>
      <c r="F929" s="1296">
        <v>0.1</v>
      </c>
      <c r="G929" s="1296">
        <v>0.1</v>
      </c>
      <c r="H929" s="1296">
        <v>0.1</v>
      </c>
      <c r="I929" s="1296">
        <v>0.1</v>
      </c>
      <c r="J929" s="1296">
        <v>0.1</v>
      </c>
      <c r="K929" s="1296">
        <v>0.1</v>
      </c>
    </row>
    <row r="930" spans="1:11" s="551" customFormat="1">
      <c r="A930" s="550"/>
      <c r="B930" s="530" t="s">
        <v>1394</v>
      </c>
      <c r="C930" s="551">
        <v>0.12</v>
      </c>
      <c r="D930" s="1296">
        <v>0.12</v>
      </c>
      <c r="E930" s="1296">
        <v>0.12</v>
      </c>
      <c r="F930" s="1296">
        <v>0.12</v>
      </c>
      <c r="G930" s="1296">
        <v>0.12</v>
      </c>
      <c r="H930" s="1296">
        <v>0.12</v>
      </c>
      <c r="I930" s="1296">
        <v>0.12</v>
      </c>
      <c r="J930" s="1296">
        <v>0.12</v>
      </c>
      <c r="K930" s="1296">
        <v>0.12</v>
      </c>
    </row>
    <row r="931" spans="1:11" s="551" customFormat="1">
      <c r="A931" s="550"/>
      <c r="B931" s="530" t="s">
        <v>1395</v>
      </c>
      <c r="C931" s="551">
        <v>0.12</v>
      </c>
      <c r="D931" s="1296">
        <v>0.12</v>
      </c>
      <c r="E931" s="1296">
        <v>0.12</v>
      </c>
      <c r="F931" s="1296">
        <v>0.12</v>
      </c>
      <c r="G931" s="1296">
        <v>0.12</v>
      </c>
      <c r="H931" s="1296">
        <v>0.12</v>
      </c>
      <c r="I931" s="1296">
        <v>0.12</v>
      </c>
      <c r="J931" s="1296">
        <v>0.12</v>
      </c>
      <c r="K931" s="1296">
        <v>0.12</v>
      </c>
    </row>
    <row r="932" spans="1:11" s="551" customFormat="1">
      <c r="A932" s="550"/>
      <c r="B932" s="530" t="s">
        <v>1396</v>
      </c>
      <c r="C932" s="551">
        <v>0.11</v>
      </c>
      <c r="D932" s="1296">
        <v>0.11</v>
      </c>
      <c r="E932" s="1296">
        <v>0.11</v>
      </c>
      <c r="F932" s="1296">
        <v>0.11</v>
      </c>
      <c r="G932" s="1296">
        <v>0.11</v>
      </c>
      <c r="H932" s="1296">
        <v>0.11</v>
      </c>
      <c r="I932" s="1296">
        <v>0.11</v>
      </c>
      <c r="J932" s="1296">
        <v>0.11</v>
      </c>
      <c r="K932" s="1296">
        <v>0.11</v>
      </c>
    </row>
    <row r="933" spans="1:11" s="551" customFormat="1">
      <c r="A933" s="550"/>
      <c r="B933" s="530" t="s">
        <v>1397</v>
      </c>
      <c r="C933" s="551">
        <v>7.0000000000000007E-2</v>
      </c>
      <c r="D933" s="1296">
        <v>7.0000000000000007E-2</v>
      </c>
      <c r="E933" s="1296">
        <v>7.0000000000000007E-2</v>
      </c>
      <c r="F933" s="1296">
        <v>7.0000000000000007E-2</v>
      </c>
      <c r="G933" s="1296">
        <v>7.0000000000000007E-2</v>
      </c>
      <c r="H933" s="1296">
        <v>7.0000000000000007E-2</v>
      </c>
      <c r="I933" s="1296">
        <v>7.0000000000000007E-2</v>
      </c>
      <c r="J933" s="1296">
        <v>7.0000000000000007E-2</v>
      </c>
      <c r="K933" s="1296">
        <v>7.0000000000000007E-2</v>
      </c>
    </row>
    <row r="934" spans="1:11" s="551" customFormat="1">
      <c r="A934" s="550"/>
      <c r="B934" s="530" t="s">
        <v>1398</v>
      </c>
      <c r="C934" s="551">
        <v>7.0000000000000007E-2</v>
      </c>
      <c r="D934" s="1296">
        <v>7.0000000000000007E-2</v>
      </c>
      <c r="E934" s="1296">
        <v>7.0000000000000007E-2</v>
      </c>
      <c r="F934" s="1296">
        <v>7.0000000000000007E-2</v>
      </c>
      <c r="G934" s="1296">
        <v>7.0000000000000007E-2</v>
      </c>
      <c r="H934" s="1296">
        <v>7.0000000000000007E-2</v>
      </c>
      <c r="I934" s="1296">
        <v>7.0000000000000007E-2</v>
      </c>
      <c r="J934" s="1296">
        <v>7.0000000000000007E-2</v>
      </c>
      <c r="K934" s="1296">
        <v>7.0000000000000007E-2</v>
      </c>
    </row>
    <row r="935" spans="1:11" s="551" customFormat="1">
      <c r="A935" s="550"/>
      <c r="B935" s="530" t="s">
        <v>1399</v>
      </c>
      <c r="C935" s="551">
        <v>0.05</v>
      </c>
      <c r="D935" s="1302">
        <v>0.03</v>
      </c>
      <c r="E935" s="1302">
        <v>0.03</v>
      </c>
      <c r="F935" s="1302">
        <v>0.03</v>
      </c>
      <c r="G935" s="1302">
        <v>0.03</v>
      </c>
      <c r="H935" s="1302">
        <v>0.03</v>
      </c>
      <c r="I935" s="1302">
        <v>0.03</v>
      </c>
      <c r="J935" s="1302">
        <v>0.03</v>
      </c>
      <c r="K935" s="1302">
        <v>0.03</v>
      </c>
    </row>
    <row r="936" spans="1:11" s="551" customFormat="1">
      <c r="A936" s="550"/>
      <c r="B936" s="530" t="s">
        <v>1400</v>
      </c>
      <c r="C936" s="551">
        <v>0.05</v>
      </c>
      <c r="D936" s="1302">
        <v>0.03</v>
      </c>
      <c r="E936" s="1302">
        <v>0.03</v>
      </c>
      <c r="F936" s="1302">
        <v>0.03</v>
      </c>
      <c r="G936" s="1302">
        <v>0.03</v>
      </c>
      <c r="H936" s="1302">
        <v>0.03</v>
      </c>
      <c r="I936" s="1302">
        <v>0.03</v>
      </c>
      <c r="J936" s="1302">
        <v>0.03</v>
      </c>
      <c r="K936" s="1302">
        <v>0.03</v>
      </c>
    </row>
    <row r="937" spans="1:11" s="551" customFormat="1">
      <c r="A937" s="550"/>
      <c r="B937" s="530" t="s">
        <v>1401</v>
      </c>
      <c r="C937" s="551">
        <v>0.06</v>
      </c>
      <c r="D937" s="1302">
        <v>0.03</v>
      </c>
      <c r="E937" s="1302">
        <v>0.03</v>
      </c>
      <c r="F937" s="1302">
        <v>0.03</v>
      </c>
      <c r="G937" s="1302">
        <v>0.03</v>
      </c>
      <c r="H937" s="1302">
        <v>0.03</v>
      </c>
      <c r="I937" s="1302">
        <v>0.03</v>
      </c>
      <c r="J937" s="1302">
        <v>0.03</v>
      </c>
      <c r="K937" s="1302">
        <v>0.03</v>
      </c>
    </row>
    <row r="938" spans="1:11" s="551" customFormat="1">
      <c r="A938" s="550"/>
      <c r="B938" s="530" t="s">
        <v>1402</v>
      </c>
      <c r="C938" s="551">
        <v>7.0000000000000007E-2</v>
      </c>
      <c r="D938" s="1302">
        <v>0.11</v>
      </c>
      <c r="E938" s="1302">
        <v>0.11</v>
      </c>
      <c r="F938" s="1302">
        <v>0.11</v>
      </c>
      <c r="G938" s="1302">
        <v>0.11</v>
      </c>
      <c r="H938" s="1302">
        <v>0.11</v>
      </c>
      <c r="I938" s="1302">
        <v>0.11</v>
      </c>
      <c r="J938" s="1302">
        <v>0.11</v>
      </c>
      <c r="K938" s="1302">
        <v>0.11</v>
      </c>
    </row>
    <row r="939" spans="1:11" s="551" customFormat="1">
      <c r="A939" s="550"/>
      <c r="B939" s="530" t="s">
        <v>1403</v>
      </c>
      <c r="C939" s="551">
        <v>0.08</v>
      </c>
      <c r="D939" s="1302">
        <v>0.11</v>
      </c>
      <c r="E939" s="1302">
        <v>0.11</v>
      </c>
      <c r="F939" s="1302">
        <v>0.11</v>
      </c>
      <c r="G939" s="1302">
        <v>0.11</v>
      </c>
      <c r="H939" s="1302">
        <v>0.11</v>
      </c>
      <c r="I939" s="1302">
        <v>0.11</v>
      </c>
      <c r="J939" s="1302">
        <v>0.11</v>
      </c>
      <c r="K939" s="1302">
        <v>0.11</v>
      </c>
    </row>
    <row r="940" spans="1:11" s="551" customFormat="1">
      <c r="A940" s="550"/>
      <c r="B940" s="530" t="s">
        <v>1404</v>
      </c>
      <c r="C940" s="551">
        <v>0.1</v>
      </c>
      <c r="D940" s="1302">
        <v>0.14000000000000001</v>
      </c>
      <c r="E940" s="1302">
        <v>0.14000000000000001</v>
      </c>
      <c r="F940" s="1302">
        <v>0.14000000000000001</v>
      </c>
      <c r="G940" s="1302">
        <v>0.14000000000000001</v>
      </c>
      <c r="H940" s="1302">
        <v>0.14000000000000001</v>
      </c>
      <c r="I940" s="1302">
        <v>0.14000000000000001</v>
      </c>
      <c r="J940" s="1302">
        <v>0.14000000000000001</v>
      </c>
      <c r="K940" s="1302">
        <v>0.14000000000000001</v>
      </c>
    </row>
    <row r="941" spans="1:11" s="551" customFormat="1">
      <c r="A941" s="550"/>
      <c r="B941" s="530" t="s">
        <v>1405</v>
      </c>
      <c r="C941" s="551">
        <v>0.1</v>
      </c>
      <c r="D941" s="1302">
        <v>0.14000000000000001</v>
      </c>
      <c r="E941" s="1302">
        <v>0.14000000000000001</v>
      </c>
      <c r="F941" s="1302">
        <v>0.14000000000000001</v>
      </c>
      <c r="G941" s="1302">
        <v>0.14000000000000001</v>
      </c>
      <c r="H941" s="1302">
        <v>0.14000000000000001</v>
      </c>
      <c r="I941" s="1302">
        <v>0.14000000000000001</v>
      </c>
      <c r="J941" s="1302">
        <v>0.14000000000000001</v>
      </c>
      <c r="K941" s="1302">
        <v>0.14000000000000001</v>
      </c>
    </row>
    <row r="942" spans="1:11" s="551" customFormat="1">
      <c r="A942" s="550"/>
      <c r="B942" s="530" t="s">
        <v>1406</v>
      </c>
      <c r="C942" s="551">
        <v>0.12</v>
      </c>
      <c r="D942" s="1296">
        <v>0.12</v>
      </c>
      <c r="E942" s="1296">
        <v>0.12</v>
      </c>
      <c r="F942" s="1296">
        <v>0.12</v>
      </c>
      <c r="G942" s="1296">
        <v>0.12</v>
      </c>
      <c r="H942" s="1296">
        <v>0.12</v>
      </c>
      <c r="I942" s="1296">
        <v>0.12</v>
      </c>
      <c r="J942" s="1296">
        <v>0.12</v>
      </c>
      <c r="K942" s="1296">
        <v>0.12</v>
      </c>
    </row>
    <row r="943" spans="1:11" s="551" customFormat="1">
      <c r="A943" s="550"/>
      <c r="B943" s="530" t="s">
        <v>1407</v>
      </c>
      <c r="C943" s="551">
        <v>0.12</v>
      </c>
      <c r="D943" s="1296">
        <v>0.12</v>
      </c>
      <c r="E943" s="1296">
        <v>0.12</v>
      </c>
      <c r="F943" s="1296">
        <v>0.12</v>
      </c>
      <c r="G943" s="1296">
        <v>0.12</v>
      </c>
      <c r="H943" s="1296">
        <v>0.12</v>
      </c>
      <c r="I943" s="1296">
        <v>0.12</v>
      </c>
      <c r="J943" s="1296">
        <v>0.12</v>
      </c>
      <c r="K943" s="1296">
        <v>0.12</v>
      </c>
    </row>
    <row r="944" spans="1:11" s="551" customFormat="1">
      <c r="A944" s="550"/>
      <c r="B944" s="530" t="s">
        <v>1408</v>
      </c>
      <c r="C944" s="551">
        <v>0.11</v>
      </c>
      <c r="D944" s="1296">
        <v>0.11</v>
      </c>
      <c r="E944" s="1296">
        <v>0.11</v>
      </c>
      <c r="F944" s="1296">
        <v>0.11</v>
      </c>
      <c r="G944" s="1296">
        <v>0.11</v>
      </c>
      <c r="H944" s="1296">
        <v>0.11</v>
      </c>
      <c r="I944" s="1296">
        <v>0.11</v>
      </c>
      <c r="J944" s="1296">
        <v>0.11</v>
      </c>
      <c r="K944" s="1296">
        <v>0.11</v>
      </c>
    </row>
    <row r="945" spans="1:11" s="551" customFormat="1">
      <c r="A945" s="550"/>
      <c r="B945" s="530" t="s">
        <v>1409</v>
      </c>
      <c r="C945" s="551">
        <v>7.0000000000000007E-2</v>
      </c>
      <c r="D945" s="1302">
        <v>0.03</v>
      </c>
      <c r="E945" s="1302">
        <v>0.03</v>
      </c>
      <c r="F945" s="1302">
        <v>0.03</v>
      </c>
      <c r="G945" s="1302">
        <v>0.03</v>
      </c>
      <c r="H945" s="1302">
        <v>0.03</v>
      </c>
      <c r="I945" s="1302">
        <v>0.03</v>
      </c>
      <c r="J945" s="1302">
        <v>0.03</v>
      </c>
      <c r="K945" s="1302">
        <v>0.03</v>
      </c>
    </row>
    <row r="946" spans="1:11" s="551" customFormat="1">
      <c r="A946" s="550"/>
      <c r="B946" s="530" t="s">
        <v>1410</v>
      </c>
      <c r="C946" s="551">
        <v>7.0000000000000007E-2</v>
      </c>
      <c r="D946" s="1302">
        <v>0.03</v>
      </c>
      <c r="E946" s="1302">
        <v>0.03</v>
      </c>
      <c r="F946" s="1302">
        <v>0.03</v>
      </c>
      <c r="G946" s="1302">
        <v>0.03</v>
      </c>
      <c r="H946" s="1302">
        <v>0.03</v>
      </c>
      <c r="I946" s="1302">
        <v>0.03</v>
      </c>
      <c r="J946" s="1302">
        <v>0.03</v>
      </c>
      <c r="K946" s="1302">
        <v>0.03</v>
      </c>
    </row>
    <row r="947" spans="1:11" s="551" customFormat="1">
      <c r="A947" s="550"/>
      <c r="B947" s="530" t="s">
        <v>1411</v>
      </c>
      <c r="C947" s="551">
        <v>0.05</v>
      </c>
      <c r="D947" s="1302">
        <v>0.03</v>
      </c>
      <c r="E947" s="1302">
        <v>0.03</v>
      </c>
      <c r="F947" s="1302">
        <v>0.03</v>
      </c>
      <c r="G947" s="1302">
        <v>0.03</v>
      </c>
      <c r="H947" s="1302">
        <v>0.03</v>
      </c>
      <c r="I947" s="1302">
        <v>0.03</v>
      </c>
      <c r="J947" s="1302">
        <v>0.03</v>
      </c>
      <c r="K947" s="1302">
        <v>0.03</v>
      </c>
    </row>
    <row r="948" spans="1:11" s="551" customFormat="1">
      <c r="A948" s="550"/>
      <c r="B948" s="530" t="s">
        <v>1412</v>
      </c>
      <c r="C948" s="551">
        <v>0.05</v>
      </c>
      <c r="D948" s="1302">
        <v>0.03</v>
      </c>
      <c r="E948" s="1302">
        <v>0.03</v>
      </c>
      <c r="F948" s="1302">
        <v>0.03</v>
      </c>
      <c r="G948" s="1302">
        <v>0.03</v>
      </c>
      <c r="H948" s="1302">
        <v>0.03</v>
      </c>
      <c r="I948" s="1302">
        <v>0.03</v>
      </c>
      <c r="J948" s="1302">
        <v>0.03</v>
      </c>
      <c r="K948" s="1302">
        <v>0.03</v>
      </c>
    </row>
    <row r="949" spans="1:11" s="551" customFormat="1">
      <c r="A949" s="550"/>
      <c r="B949" s="530" t="s">
        <v>1413</v>
      </c>
      <c r="C949" s="551">
        <v>0.06</v>
      </c>
      <c r="D949" s="1302">
        <v>0.03</v>
      </c>
      <c r="E949" s="1302">
        <v>0.03</v>
      </c>
      <c r="F949" s="1302">
        <v>0.03</v>
      </c>
      <c r="G949" s="1302">
        <v>0.03</v>
      </c>
      <c r="H949" s="1302">
        <v>0.03</v>
      </c>
      <c r="I949" s="1302">
        <v>0.03</v>
      </c>
      <c r="J949" s="1302">
        <v>0.03</v>
      </c>
      <c r="K949" s="1302">
        <v>0.03</v>
      </c>
    </row>
    <row r="950" spans="1:11" s="551" customFormat="1">
      <c r="A950" s="550"/>
      <c r="B950" s="530" t="s">
        <v>1414</v>
      </c>
      <c r="C950" s="551">
        <v>7.0000000000000007E-2</v>
      </c>
      <c r="D950" s="1302">
        <v>0.11</v>
      </c>
      <c r="E950" s="1302">
        <v>0.11</v>
      </c>
      <c r="F950" s="1302">
        <v>0.11</v>
      </c>
      <c r="G950" s="1302">
        <v>0.11</v>
      </c>
      <c r="H950" s="1302">
        <v>0.11</v>
      </c>
      <c r="I950" s="1302">
        <v>0.11</v>
      </c>
      <c r="J950" s="1302">
        <v>0.11</v>
      </c>
      <c r="K950" s="1302">
        <v>0.11</v>
      </c>
    </row>
    <row r="951" spans="1:11" s="551" customFormat="1">
      <c r="A951" s="550"/>
      <c r="B951" s="530" t="s">
        <v>1415</v>
      </c>
      <c r="C951" s="551">
        <v>0.08</v>
      </c>
      <c r="D951" s="1302">
        <v>0.11</v>
      </c>
      <c r="E951" s="1302">
        <v>0.11</v>
      </c>
      <c r="F951" s="1302">
        <v>0.11</v>
      </c>
      <c r="G951" s="1302">
        <v>0.11</v>
      </c>
      <c r="H951" s="1302">
        <v>0.11</v>
      </c>
      <c r="I951" s="1302">
        <v>0.11</v>
      </c>
      <c r="J951" s="1302">
        <v>0.11</v>
      </c>
      <c r="K951" s="1302">
        <v>0.11</v>
      </c>
    </row>
    <row r="952" spans="1:11" s="551" customFormat="1">
      <c r="A952" s="550"/>
      <c r="B952" s="530" t="s">
        <v>1416</v>
      </c>
      <c r="C952" s="551">
        <v>0.1</v>
      </c>
      <c r="D952" s="1302">
        <v>0.14000000000000001</v>
      </c>
      <c r="E952" s="1302">
        <v>0.14000000000000001</v>
      </c>
      <c r="F952" s="1302">
        <v>0.14000000000000001</v>
      </c>
      <c r="G952" s="1302">
        <v>0.14000000000000001</v>
      </c>
      <c r="H952" s="1302">
        <v>0.14000000000000001</v>
      </c>
      <c r="I952" s="1302">
        <v>0.14000000000000001</v>
      </c>
      <c r="J952" s="1302">
        <v>0.14000000000000001</v>
      </c>
      <c r="K952" s="1302">
        <v>0.14000000000000001</v>
      </c>
    </row>
    <row r="953" spans="1:11" s="551" customFormat="1">
      <c r="A953" s="550"/>
      <c r="B953" s="530" t="s">
        <v>1417</v>
      </c>
      <c r="C953" s="551">
        <v>0.1</v>
      </c>
      <c r="D953" s="1302">
        <v>0.14000000000000001</v>
      </c>
      <c r="E953" s="1302">
        <v>0.14000000000000001</v>
      </c>
      <c r="F953" s="1302">
        <v>0.14000000000000001</v>
      </c>
      <c r="G953" s="1302">
        <v>0.14000000000000001</v>
      </c>
      <c r="H953" s="1302">
        <v>0.14000000000000001</v>
      </c>
      <c r="I953" s="1302">
        <v>0.14000000000000001</v>
      </c>
      <c r="J953" s="1302">
        <v>0.14000000000000001</v>
      </c>
      <c r="K953" s="1302">
        <v>0.14000000000000001</v>
      </c>
    </row>
    <row r="954" spans="1:11" s="551" customFormat="1">
      <c r="A954" s="550"/>
      <c r="B954" s="530" t="s">
        <v>1418</v>
      </c>
      <c r="C954" s="551">
        <v>0.12</v>
      </c>
      <c r="D954" s="1296">
        <v>0.12</v>
      </c>
      <c r="E954" s="1296">
        <v>0.12</v>
      </c>
      <c r="F954" s="1296">
        <v>0.12</v>
      </c>
      <c r="G954" s="1296">
        <v>0.12</v>
      </c>
      <c r="H954" s="1296">
        <v>0.12</v>
      </c>
      <c r="I954" s="1296">
        <v>0.12</v>
      </c>
      <c r="J954" s="1296">
        <v>0.12</v>
      </c>
      <c r="K954" s="1296">
        <v>0.12</v>
      </c>
    </row>
    <row r="955" spans="1:11" s="551" customFormat="1">
      <c r="A955" s="550"/>
      <c r="B955" s="530" t="s">
        <v>1419</v>
      </c>
      <c r="C955" s="551">
        <v>0.12</v>
      </c>
      <c r="D955" s="1296">
        <v>0.12</v>
      </c>
      <c r="E955" s="1296">
        <v>0.12</v>
      </c>
      <c r="F955" s="1296">
        <v>0.12</v>
      </c>
      <c r="G955" s="1296">
        <v>0.12</v>
      </c>
      <c r="H955" s="1296">
        <v>0.12</v>
      </c>
      <c r="I955" s="1296">
        <v>0.12</v>
      </c>
      <c r="J955" s="1296">
        <v>0.12</v>
      </c>
      <c r="K955" s="1296">
        <v>0.12</v>
      </c>
    </row>
    <row r="956" spans="1:11" s="551" customFormat="1">
      <c r="A956" s="550"/>
      <c r="B956" s="530" t="s">
        <v>1420</v>
      </c>
      <c r="C956" s="551">
        <v>0.11</v>
      </c>
      <c r="D956" s="1296">
        <v>0.11</v>
      </c>
      <c r="E956" s="1296">
        <v>0.11</v>
      </c>
      <c r="F956" s="1296">
        <v>0.11</v>
      </c>
      <c r="G956" s="1296">
        <v>0.11</v>
      </c>
      <c r="H956" s="1296">
        <v>0.11</v>
      </c>
      <c r="I956" s="1296">
        <v>0.11</v>
      </c>
      <c r="J956" s="1296">
        <v>0.11</v>
      </c>
      <c r="K956" s="1296">
        <v>0.11</v>
      </c>
    </row>
    <row r="957" spans="1:11" s="551" customFormat="1">
      <c r="A957" s="550"/>
      <c r="B957" s="530" t="s">
        <v>1421</v>
      </c>
      <c r="C957" s="551">
        <v>7.0000000000000007E-2</v>
      </c>
      <c r="D957" s="1302">
        <v>0.03</v>
      </c>
      <c r="E957" s="1302">
        <v>0.03</v>
      </c>
      <c r="F957" s="1302">
        <v>0.03</v>
      </c>
      <c r="G957" s="1302">
        <v>0.03</v>
      </c>
      <c r="H957" s="1302">
        <v>0.03</v>
      </c>
      <c r="I957" s="1302">
        <v>0.03</v>
      </c>
      <c r="J957" s="1302">
        <v>0.03</v>
      </c>
      <c r="K957" s="1302">
        <v>0.03</v>
      </c>
    </row>
    <row r="958" spans="1:11" s="551" customFormat="1">
      <c r="A958" s="550"/>
      <c r="B958" s="530" t="s">
        <v>1422</v>
      </c>
      <c r="C958" s="551">
        <v>7.0000000000000007E-2</v>
      </c>
      <c r="D958" s="1302">
        <v>0.03</v>
      </c>
      <c r="E958" s="1302">
        <v>0.03</v>
      </c>
      <c r="F958" s="1302">
        <v>0.03</v>
      </c>
      <c r="G958" s="1302">
        <v>0.03</v>
      </c>
      <c r="H958" s="1302">
        <v>0.03</v>
      </c>
      <c r="I958" s="1302">
        <v>0.03</v>
      </c>
      <c r="J958" s="1302">
        <v>0.03</v>
      </c>
      <c r="K958" s="1302">
        <v>0.03</v>
      </c>
    </row>
    <row r="959" spans="1:11">
      <c r="A959" s="159"/>
      <c r="B959" s="531"/>
    </row>
    <row r="960" spans="1:11">
      <c r="A960" s="159">
        <v>6.23</v>
      </c>
      <c r="B960" s="530" t="s">
        <v>445</v>
      </c>
      <c r="D960" s="1294"/>
      <c r="E960" s="1294"/>
      <c r="F960" s="1294"/>
      <c r="G960" s="1294"/>
      <c r="H960" s="1294"/>
      <c r="I960" s="1294"/>
      <c r="J960" s="1294"/>
      <c r="K960" s="1294"/>
    </row>
    <row r="961" spans="1:11" s="551" customFormat="1">
      <c r="A961" s="550"/>
      <c r="B961" s="530" t="s">
        <v>1327</v>
      </c>
      <c r="C961" s="551">
        <v>7.0000000000000007E-2</v>
      </c>
      <c r="D961" s="1302">
        <v>0.04</v>
      </c>
      <c r="E961" s="1302">
        <v>0.04</v>
      </c>
      <c r="F961" s="1302">
        <v>0.04</v>
      </c>
      <c r="G961" s="1302">
        <v>0.04</v>
      </c>
      <c r="H961" s="1302">
        <v>0.04</v>
      </c>
      <c r="I961" s="1302">
        <v>0.04</v>
      </c>
      <c r="J961" s="1302">
        <v>0.04</v>
      </c>
      <c r="K961" s="1302">
        <v>0.04</v>
      </c>
    </row>
    <row r="962" spans="1:11" s="551" customFormat="1">
      <c r="A962" s="550"/>
      <c r="B962" s="530" t="s">
        <v>1328</v>
      </c>
      <c r="C962" s="551">
        <v>7.0000000000000007E-2</v>
      </c>
      <c r="D962" s="1302">
        <v>0.04</v>
      </c>
      <c r="E962" s="1302">
        <v>0.04</v>
      </c>
      <c r="F962" s="1302">
        <v>0.04</v>
      </c>
      <c r="G962" s="1302">
        <v>0.04</v>
      </c>
      <c r="H962" s="1302">
        <v>0.04</v>
      </c>
      <c r="I962" s="1302">
        <v>0.04</v>
      </c>
      <c r="J962" s="1302">
        <v>0.04</v>
      </c>
      <c r="K962" s="1302">
        <v>0.04</v>
      </c>
    </row>
    <row r="963" spans="1:11" s="551" customFormat="1">
      <c r="A963" s="550"/>
      <c r="B963" s="530" t="s">
        <v>1329</v>
      </c>
      <c r="C963" s="551">
        <v>7.0000000000000007E-2</v>
      </c>
      <c r="D963" s="1302">
        <v>0.04</v>
      </c>
      <c r="E963" s="1302">
        <v>0.04</v>
      </c>
      <c r="F963" s="1302">
        <v>0.04</v>
      </c>
      <c r="G963" s="1302">
        <v>0.04</v>
      </c>
      <c r="H963" s="1302">
        <v>0.04</v>
      </c>
      <c r="I963" s="1302">
        <v>0.04</v>
      </c>
      <c r="J963" s="1302">
        <v>0.04</v>
      </c>
      <c r="K963" s="1302">
        <v>0.04</v>
      </c>
    </row>
    <row r="964" spans="1:11" s="551" customFormat="1">
      <c r="A964" s="550"/>
      <c r="B964" s="530" t="s">
        <v>1330</v>
      </c>
      <c r="C964" s="551">
        <v>7.0000000000000007E-2</v>
      </c>
      <c r="D964" s="1302">
        <v>0.04</v>
      </c>
      <c r="E964" s="1302">
        <v>0.04</v>
      </c>
      <c r="F964" s="1302">
        <v>0.04</v>
      </c>
      <c r="G964" s="1302">
        <v>0.04</v>
      </c>
      <c r="H964" s="1302">
        <v>0.04</v>
      </c>
      <c r="I964" s="1302">
        <v>0.04</v>
      </c>
      <c r="J964" s="1302">
        <v>0.04</v>
      </c>
      <c r="K964" s="1302">
        <v>0.04</v>
      </c>
    </row>
    <row r="965" spans="1:11" s="551" customFormat="1">
      <c r="A965" s="550"/>
      <c r="B965" s="530" t="s">
        <v>1331</v>
      </c>
      <c r="C965" s="551">
        <v>0.08</v>
      </c>
      <c r="D965" s="1302">
        <v>0.12</v>
      </c>
      <c r="E965" s="1302">
        <v>0.12</v>
      </c>
      <c r="F965" s="1302">
        <v>0.12</v>
      </c>
      <c r="G965" s="1302">
        <v>0.12</v>
      </c>
      <c r="H965" s="1302">
        <v>0.12</v>
      </c>
      <c r="I965" s="1302">
        <v>0.12</v>
      </c>
      <c r="J965" s="1302">
        <v>0.12</v>
      </c>
      <c r="K965" s="1302">
        <v>0.12</v>
      </c>
    </row>
    <row r="966" spans="1:11" s="551" customFormat="1">
      <c r="A966" s="550"/>
      <c r="B966" s="530" t="s">
        <v>1332</v>
      </c>
      <c r="C966" s="551">
        <v>0.1</v>
      </c>
      <c r="D966" s="1302">
        <v>0.12</v>
      </c>
      <c r="E966" s="1302">
        <v>0.12</v>
      </c>
      <c r="F966" s="1302">
        <v>0.12</v>
      </c>
      <c r="G966" s="1302">
        <v>0.12</v>
      </c>
      <c r="H966" s="1302">
        <v>0.12</v>
      </c>
      <c r="I966" s="1302">
        <v>0.12</v>
      </c>
      <c r="J966" s="1302">
        <v>0.12</v>
      </c>
      <c r="K966" s="1302">
        <v>0.12</v>
      </c>
    </row>
    <row r="967" spans="1:11" s="551" customFormat="1">
      <c r="A967" s="550"/>
      <c r="B967" s="530" t="s">
        <v>1333</v>
      </c>
      <c r="C967" s="551">
        <v>0.1</v>
      </c>
      <c r="D967" s="1302">
        <v>0.12</v>
      </c>
      <c r="E967" s="1302">
        <v>0.12</v>
      </c>
      <c r="F967" s="1302">
        <v>0.12</v>
      </c>
      <c r="G967" s="1302">
        <v>0.12</v>
      </c>
      <c r="H967" s="1302">
        <v>0.12</v>
      </c>
      <c r="I967" s="1302">
        <v>0.12</v>
      </c>
      <c r="J967" s="1302">
        <v>0.12</v>
      </c>
      <c r="K967" s="1302">
        <v>0.12</v>
      </c>
    </row>
    <row r="968" spans="1:11" s="551" customFormat="1">
      <c r="A968" s="550"/>
      <c r="B968" s="530" t="s">
        <v>1334</v>
      </c>
      <c r="C968" s="551">
        <v>0.1</v>
      </c>
      <c r="D968" s="1302">
        <v>0.12</v>
      </c>
      <c r="E968" s="1302">
        <v>0.12</v>
      </c>
      <c r="F968" s="1302">
        <v>0.12</v>
      </c>
      <c r="G968" s="1302">
        <v>0.12</v>
      </c>
      <c r="H968" s="1302">
        <v>0.12</v>
      </c>
      <c r="I968" s="1302">
        <v>0.12</v>
      </c>
      <c r="J968" s="1302">
        <v>0.12</v>
      </c>
      <c r="K968" s="1302">
        <v>0.12</v>
      </c>
    </row>
    <row r="969" spans="1:11" s="551" customFormat="1">
      <c r="A969" s="550"/>
      <c r="B969" s="530" t="s">
        <v>1335</v>
      </c>
      <c r="C969" s="551">
        <v>0.1</v>
      </c>
      <c r="D969" s="1302">
        <v>0.12</v>
      </c>
      <c r="E969" s="1302">
        <v>0.12</v>
      </c>
      <c r="F969" s="1302">
        <v>0.12</v>
      </c>
      <c r="G969" s="1302">
        <v>0.12</v>
      </c>
      <c r="H969" s="1302">
        <v>0.12</v>
      </c>
      <c r="I969" s="1302">
        <v>0.12</v>
      </c>
      <c r="J969" s="1302">
        <v>0.12</v>
      </c>
      <c r="K969" s="1302">
        <v>0.12</v>
      </c>
    </row>
    <row r="970" spans="1:11" s="551" customFormat="1">
      <c r="A970" s="550"/>
      <c r="B970" s="530" t="s">
        <v>1336</v>
      </c>
      <c r="C970" s="551">
        <v>0.1</v>
      </c>
      <c r="D970" s="1296">
        <v>0.1</v>
      </c>
      <c r="E970" s="1296">
        <v>0.1</v>
      </c>
      <c r="F970" s="1296">
        <v>0.1</v>
      </c>
      <c r="G970" s="1296">
        <v>0.1</v>
      </c>
      <c r="H970" s="1296">
        <v>0.1</v>
      </c>
      <c r="I970" s="1296">
        <v>0.1</v>
      </c>
      <c r="J970" s="1296">
        <v>0.1</v>
      </c>
      <c r="K970" s="1296">
        <v>0.1</v>
      </c>
    </row>
    <row r="971" spans="1:11" s="551" customFormat="1">
      <c r="A971" s="550"/>
      <c r="B971" s="530" t="s">
        <v>1337</v>
      </c>
      <c r="C971" s="551">
        <v>7.0000000000000007E-2</v>
      </c>
      <c r="D971" s="1296">
        <v>7.0000000000000007E-2</v>
      </c>
      <c r="E971" s="1296">
        <v>7.0000000000000007E-2</v>
      </c>
      <c r="F971" s="1296">
        <v>7.0000000000000007E-2</v>
      </c>
      <c r="G971" s="1296">
        <v>7.0000000000000007E-2</v>
      </c>
      <c r="H971" s="1296">
        <v>7.0000000000000007E-2</v>
      </c>
      <c r="I971" s="1296">
        <v>7.0000000000000007E-2</v>
      </c>
      <c r="J971" s="1296">
        <v>7.0000000000000007E-2</v>
      </c>
      <c r="K971" s="1296">
        <v>7.0000000000000007E-2</v>
      </c>
    </row>
    <row r="972" spans="1:11" s="551" customFormat="1">
      <c r="A972" s="550"/>
      <c r="B972" s="530" t="s">
        <v>1338</v>
      </c>
      <c r="C972" s="551">
        <v>7.0000000000000007E-2</v>
      </c>
      <c r="D972" s="1296">
        <v>7.0000000000000007E-2</v>
      </c>
      <c r="E972" s="1296">
        <v>7.0000000000000007E-2</v>
      </c>
      <c r="F972" s="1296">
        <v>7.0000000000000007E-2</v>
      </c>
      <c r="G972" s="1296">
        <v>7.0000000000000007E-2</v>
      </c>
      <c r="H972" s="1296">
        <v>7.0000000000000007E-2</v>
      </c>
      <c r="I972" s="1296">
        <v>7.0000000000000007E-2</v>
      </c>
      <c r="J972" s="1296">
        <v>7.0000000000000007E-2</v>
      </c>
      <c r="K972" s="1296">
        <v>7.0000000000000007E-2</v>
      </c>
    </row>
    <row r="973" spans="1:11" s="551" customFormat="1">
      <c r="A973" s="550"/>
      <c r="B973" s="530" t="s">
        <v>1339</v>
      </c>
      <c r="C973" s="551">
        <v>0.06</v>
      </c>
      <c r="D973" s="1296">
        <v>0.06</v>
      </c>
      <c r="E973" s="1296">
        <v>0.06</v>
      </c>
      <c r="F973" s="1296">
        <v>0.06</v>
      </c>
      <c r="G973" s="1296">
        <v>0.06</v>
      </c>
      <c r="H973" s="1296">
        <v>0.06</v>
      </c>
      <c r="I973" s="1296">
        <v>0.06</v>
      </c>
      <c r="J973" s="1296">
        <v>0.06</v>
      </c>
      <c r="K973" s="1296">
        <v>0.06</v>
      </c>
    </row>
    <row r="974" spans="1:11" s="551" customFormat="1">
      <c r="A974" s="550"/>
      <c r="B974" s="530" t="s">
        <v>1340</v>
      </c>
      <c r="C974" s="551">
        <v>0.06</v>
      </c>
      <c r="D974" s="1302">
        <v>0.05</v>
      </c>
      <c r="E974" s="1302">
        <v>0.05</v>
      </c>
      <c r="F974" s="1302">
        <v>0.05</v>
      </c>
      <c r="G974" s="1302">
        <v>0.05</v>
      </c>
      <c r="H974" s="1302">
        <v>0.05</v>
      </c>
      <c r="I974" s="1302">
        <v>0.05</v>
      </c>
      <c r="J974" s="1302">
        <v>0.05</v>
      </c>
      <c r="K974" s="1302">
        <v>0.05</v>
      </c>
    </row>
    <row r="975" spans="1:11" s="551" customFormat="1">
      <c r="A975" s="550"/>
      <c r="B975" s="530" t="s">
        <v>1341</v>
      </c>
      <c r="C975" s="551">
        <v>0.06</v>
      </c>
      <c r="D975" s="1296">
        <v>0.06</v>
      </c>
      <c r="E975" s="1296">
        <v>0.06</v>
      </c>
      <c r="F975" s="1296">
        <v>0.06</v>
      </c>
      <c r="G975" s="1296">
        <v>0.06</v>
      </c>
      <c r="H975" s="1296">
        <v>0.06</v>
      </c>
      <c r="I975" s="1296">
        <v>0.06</v>
      </c>
      <c r="J975" s="1296">
        <v>0.06</v>
      </c>
      <c r="K975" s="1296">
        <v>0.06</v>
      </c>
    </row>
    <row r="976" spans="1:11" s="551" customFormat="1">
      <c r="A976" s="550"/>
      <c r="B976" s="530" t="s">
        <v>1342</v>
      </c>
      <c r="C976" s="551">
        <v>7.0000000000000007E-2</v>
      </c>
      <c r="D976" s="1302">
        <v>0.06</v>
      </c>
      <c r="E976" s="1302">
        <v>0.06</v>
      </c>
      <c r="F976" s="1302">
        <v>0.06</v>
      </c>
      <c r="G976" s="1302">
        <v>0.06</v>
      </c>
      <c r="H976" s="1302">
        <v>0.06</v>
      </c>
      <c r="I976" s="1302">
        <v>0.06</v>
      </c>
      <c r="J976" s="1302">
        <v>0.06</v>
      </c>
      <c r="K976" s="1302">
        <v>0.06</v>
      </c>
    </row>
    <row r="977" spans="1:11" s="551" customFormat="1">
      <c r="A977" s="550"/>
      <c r="B977" s="530" t="s">
        <v>1343</v>
      </c>
      <c r="C977" s="551">
        <v>0.08</v>
      </c>
      <c r="D977" s="1302">
        <v>0.11</v>
      </c>
      <c r="E977" s="1302">
        <v>0.11</v>
      </c>
      <c r="F977" s="1302">
        <v>0.11</v>
      </c>
      <c r="G977" s="1302">
        <v>0.11</v>
      </c>
      <c r="H977" s="1302">
        <v>0.11</v>
      </c>
      <c r="I977" s="1302">
        <v>0.11</v>
      </c>
      <c r="J977" s="1302">
        <v>0.11</v>
      </c>
      <c r="K977" s="1302">
        <v>0.11</v>
      </c>
    </row>
    <row r="978" spans="1:11" s="551" customFormat="1">
      <c r="A978" s="550"/>
      <c r="B978" s="530" t="s">
        <v>1344</v>
      </c>
      <c r="C978" s="551">
        <v>0.1</v>
      </c>
      <c r="D978" s="1302">
        <v>0.11</v>
      </c>
      <c r="E978" s="1302">
        <v>0.11</v>
      </c>
      <c r="F978" s="1302">
        <v>0.11</v>
      </c>
      <c r="G978" s="1302">
        <v>0.11</v>
      </c>
      <c r="H978" s="1302">
        <v>0.11</v>
      </c>
      <c r="I978" s="1302">
        <v>0.11</v>
      </c>
      <c r="J978" s="1302">
        <v>0.11</v>
      </c>
      <c r="K978" s="1302">
        <v>0.11</v>
      </c>
    </row>
    <row r="979" spans="1:11" s="551" customFormat="1">
      <c r="A979" s="550"/>
      <c r="B979" s="530" t="s">
        <v>1345</v>
      </c>
      <c r="C979" s="551">
        <v>0.1</v>
      </c>
      <c r="D979" s="1302">
        <v>0.11</v>
      </c>
      <c r="E979" s="1302">
        <v>0.11</v>
      </c>
      <c r="F979" s="1302">
        <v>0.11</v>
      </c>
      <c r="G979" s="1302">
        <v>0.11</v>
      </c>
      <c r="H979" s="1302">
        <v>0.11</v>
      </c>
      <c r="I979" s="1302">
        <v>0.11</v>
      </c>
      <c r="J979" s="1302">
        <v>0.11</v>
      </c>
      <c r="K979" s="1302">
        <v>0.11</v>
      </c>
    </row>
    <row r="980" spans="1:11" s="551" customFormat="1">
      <c r="A980" s="550"/>
      <c r="B980" s="530" t="s">
        <v>1346</v>
      </c>
      <c r="C980" s="551">
        <v>0.11</v>
      </c>
      <c r="D980" s="1296">
        <v>0.11</v>
      </c>
      <c r="E980" s="1296">
        <v>0.11</v>
      </c>
      <c r="F980" s="1296">
        <v>0.11</v>
      </c>
      <c r="G980" s="1296">
        <v>0.11</v>
      </c>
      <c r="H980" s="1296">
        <v>0.11</v>
      </c>
      <c r="I980" s="1296">
        <v>0.11</v>
      </c>
      <c r="J980" s="1296">
        <v>0.11</v>
      </c>
      <c r="K980" s="1296">
        <v>0.11</v>
      </c>
    </row>
    <row r="981" spans="1:11" s="551" customFormat="1">
      <c r="A981" s="550"/>
      <c r="B981" s="530" t="s">
        <v>1347</v>
      </c>
      <c r="C981" s="551">
        <v>0.11</v>
      </c>
      <c r="D981" s="1296">
        <v>0.11</v>
      </c>
      <c r="E981" s="1296">
        <v>0.11</v>
      </c>
      <c r="F981" s="1296">
        <v>0.11</v>
      </c>
      <c r="G981" s="1296">
        <v>0.11</v>
      </c>
      <c r="H981" s="1296">
        <v>0.11</v>
      </c>
      <c r="I981" s="1296">
        <v>0.11</v>
      </c>
      <c r="J981" s="1296">
        <v>0.11</v>
      </c>
      <c r="K981" s="1296">
        <v>0.11</v>
      </c>
    </row>
    <row r="982" spans="1:11" s="551" customFormat="1">
      <c r="A982" s="550"/>
      <c r="B982" s="530" t="s">
        <v>1348</v>
      </c>
      <c r="C982" s="551">
        <v>0.11</v>
      </c>
      <c r="D982" s="1296">
        <v>0.11</v>
      </c>
      <c r="E982" s="1296">
        <v>0.11</v>
      </c>
      <c r="F982" s="1296">
        <v>0.11</v>
      </c>
      <c r="G982" s="1296">
        <v>0.11</v>
      </c>
      <c r="H982" s="1296">
        <v>0.11</v>
      </c>
      <c r="I982" s="1296">
        <v>0.11</v>
      </c>
      <c r="J982" s="1296">
        <v>0.11</v>
      </c>
      <c r="K982" s="1296">
        <v>0.11</v>
      </c>
    </row>
    <row r="983" spans="1:11" s="551" customFormat="1">
      <c r="A983" s="550"/>
      <c r="B983" s="530" t="s">
        <v>1349</v>
      </c>
      <c r="C983" s="551">
        <v>7.0000000000000007E-2</v>
      </c>
      <c r="D983" s="1302">
        <v>0.06</v>
      </c>
      <c r="E983" s="1302">
        <v>0.06</v>
      </c>
      <c r="F983" s="1302">
        <v>0.06</v>
      </c>
      <c r="G983" s="1302">
        <v>0.06</v>
      </c>
      <c r="H983" s="1302">
        <v>0.06</v>
      </c>
      <c r="I983" s="1302">
        <v>0.06</v>
      </c>
      <c r="J983" s="1302">
        <v>0.06</v>
      </c>
      <c r="K983" s="1302">
        <v>0.06</v>
      </c>
    </row>
    <row r="984" spans="1:11" s="551" customFormat="1">
      <c r="A984" s="550"/>
      <c r="B984" s="530" t="s">
        <v>1350</v>
      </c>
      <c r="C984" s="551">
        <v>7.0000000000000007E-2</v>
      </c>
      <c r="D984" s="1302">
        <v>0.05</v>
      </c>
      <c r="E984" s="1302">
        <v>0.05</v>
      </c>
      <c r="F984" s="1302">
        <v>0.05</v>
      </c>
      <c r="G984" s="1302">
        <v>0.05</v>
      </c>
      <c r="H984" s="1302">
        <v>0.05</v>
      </c>
      <c r="I984" s="1302">
        <v>0.05</v>
      </c>
      <c r="J984" s="1302">
        <v>0.05</v>
      </c>
      <c r="K984" s="1302">
        <v>0.05</v>
      </c>
    </row>
    <row r="985" spans="1:11" s="551" customFormat="1">
      <c r="A985" s="550"/>
      <c r="B985" s="530" t="s">
        <v>1351</v>
      </c>
      <c r="C985" s="551">
        <v>0.05</v>
      </c>
      <c r="D985" s="1302">
        <v>0.02</v>
      </c>
      <c r="E985" s="1302">
        <v>0.02</v>
      </c>
      <c r="F985" s="1302">
        <v>0.02</v>
      </c>
      <c r="G985" s="1355">
        <v>0.06</v>
      </c>
      <c r="H985" s="1355">
        <v>0.06</v>
      </c>
      <c r="I985" s="1355">
        <v>0.06</v>
      </c>
      <c r="J985" s="1355">
        <v>0.06</v>
      </c>
      <c r="K985" s="1355">
        <v>0.06</v>
      </c>
    </row>
    <row r="986" spans="1:11" s="551" customFormat="1">
      <c r="A986" s="550"/>
      <c r="B986" s="530" t="s">
        <v>1352</v>
      </c>
      <c r="C986" s="551">
        <v>0.05</v>
      </c>
      <c r="D986" s="1302">
        <v>0.03</v>
      </c>
      <c r="E986" s="1302">
        <v>0.03</v>
      </c>
      <c r="F986" s="1302">
        <v>0.03</v>
      </c>
      <c r="G986" s="1355">
        <v>0.06</v>
      </c>
      <c r="H986" s="1355">
        <v>0.06</v>
      </c>
      <c r="I986" s="1355">
        <v>0.06</v>
      </c>
      <c r="J986" s="1355">
        <v>0.06</v>
      </c>
      <c r="K986" s="1355">
        <v>0.06</v>
      </c>
    </row>
    <row r="987" spans="1:11" s="551" customFormat="1">
      <c r="A987" s="550"/>
      <c r="B987" s="530" t="s">
        <v>1353</v>
      </c>
      <c r="C987" s="551">
        <v>0.06</v>
      </c>
      <c r="D987" s="1302">
        <v>0.03</v>
      </c>
      <c r="E987" s="1302">
        <v>0.03</v>
      </c>
      <c r="F987" s="1302">
        <v>0.03</v>
      </c>
      <c r="G987" s="1355">
        <v>0.06</v>
      </c>
      <c r="H987" s="1355">
        <v>0.06</v>
      </c>
      <c r="I987" s="1355">
        <v>0.06</v>
      </c>
      <c r="J987" s="1355">
        <v>0.06</v>
      </c>
      <c r="K987" s="1355">
        <v>0.06</v>
      </c>
    </row>
    <row r="988" spans="1:11" s="551" customFormat="1">
      <c r="A988" s="550"/>
      <c r="B988" s="530" t="s">
        <v>1354</v>
      </c>
      <c r="C988" s="551">
        <v>7.0000000000000007E-2</v>
      </c>
      <c r="D988" s="1302">
        <v>0.04</v>
      </c>
      <c r="E988" s="1302">
        <v>0.04</v>
      </c>
      <c r="F988" s="1302">
        <v>0.04</v>
      </c>
      <c r="G988" s="1355">
        <v>0.06</v>
      </c>
      <c r="H988" s="1355">
        <v>0.06</v>
      </c>
      <c r="I988" s="1355">
        <v>0.06</v>
      </c>
      <c r="J988" s="1355">
        <v>0.06</v>
      </c>
      <c r="K988" s="1355">
        <v>0.06</v>
      </c>
    </row>
    <row r="989" spans="1:11" s="551" customFormat="1">
      <c r="A989" s="550"/>
      <c r="B989" s="530" t="s">
        <v>1355</v>
      </c>
      <c r="C989" s="551">
        <v>0.08</v>
      </c>
      <c r="D989" s="1302">
        <v>0.11</v>
      </c>
      <c r="E989" s="1302">
        <v>0.11</v>
      </c>
      <c r="F989" s="1302">
        <v>0.11</v>
      </c>
      <c r="G989" s="1302">
        <v>0.11</v>
      </c>
      <c r="H989" s="1302">
        <v>0.11</v>
      </c>
      <c r="I989" s="1302">
        <v>0.11</v>
      </c>
      <c r="J989" s="1302">
        <v>0.11</v>
      </c>
      <c r="K989" s="1302">
        <v>0.11</v>
      </c>
    </row>
    <row r="990" spans="1:11" s="551" customFormat="1">
      <c r="A990" s="550"/>
      <c r="B990" s="530" t="s">
        <v>1356</v>
      </c>
      <c r="C990" s="551">
        <v>0.1</v>
      </c>
      <c r="D990" s="1302">
        <v>0.12</v>
      </c>
      <c r="E990" s="1302">
        <v>0.12</v>
      </c>
      <c r="F990" s="1302">
        <v>0.12</v>
      </c>
      <c r="G990" s="1355">
        <v>0.1</v>
      </c>
      <c r="H990" s="1355">
        <v>0.1</v>
      </c>
      <c r="I990" s="1355">
        <v>0.1</v>
      </c>
      <c r="J990" s="1355">
        <v>0.1</v>
      </c>
      <c r="K990" s="1355">
        <v>0.1</v>
      </c>
    </row>
    <row r="991" spans="1:11" s="551" customFormat="1">
      <c r="A991" s="550"/>
      <c r="B991" s="530" t="s">
        <v>1357</v>
      </c>
      <c r="C991" s="551">
        <v>0.1</v>
      </c>
      <c r="D991" s="1302">
        <v>0.12</v>
      </c>
      <c r="E991" s="1302">
        <v>0.12</v>
      </c>
      <c r="F991" s="1302">
        <v>0.12</v>
      </c>
      <c r="G991" s="1355">
        <v>0.1</v>
      </c>
      <c r="H991" s="1355">
        <v>0.1</v>
      </c>
      <c r="I991" s="1355">
        <v>0.1</v>
      </c>
      <c r="J991" s="1355">
        <v>0.1</v>
      </c>
      <c r="K991" s="1355">
        <v>0.1</v>
      </c>
    </row>
    <row r="992" spans="1:11" s="551" customFormat="1">
      <c r="A992" s="550"/>
      <c r="B992" s="530" t="s">
        <v>1358</v>
      </c>
      <c r="C992" s="551">
        <v>0.12</v>
      </c>
      <c r="D992" s="1296">
        <v>0.12</v>
      </c>
      <c r="E992" s="1296">
        <v>0.12</v>
      </c>
      <c r="F992" s="1296">
        <v>0.12</v>
      </c>
      <c r="G992" s="1355">
        <v>0.1</v>
      </c>
      <c r="H992" s="1355">
        <v>0.1</v>
      </c>
      <c r="I992" s="1355">
        <v>0.1</v>
      </c>
      <c r="J992" s="1355">
        <v>0.1</v>
      </c>
      <c r="K992" s="1355">
        <v>0.1</v>
      </c>
    </row>
    <row r="993" spans="1:11" s="551" customFormat="1">
      <c r="A993" s="550"/>
      <c r="B993" s="530" t="s">
        <v>1359</v>
      </c>
      <c r="C993" s="551">
        <v>0.12</v>
      </c>
      <c r="D993" s="1296">
        <v>0.12</v>
      </c>
      <c r="E993" s="1296">
        <v>0.12</v>
      </c>
      <c r="F993" s="1296">
        <v>0.12</v>
      </c>
      <c r="G993" s="1355">
        <v>0.1</v>
      </c>
      <c r="H993" s="1355">
        <v>0.1</v>
      </c>
      <c r="I993" s="1355">
        <v>0.1</v>
      </c>
      <c r="J993" s="1355">
        <v>0.1</v>
      </c>
      <c r="K993" s="1355">
        <v>0.1</v>
      </c>
    </row>
    <row r="994" spans="1:11" s="551" customFormat="1">
      <c r="A994" s="550"/>
      <c r="B994" s="530" t="s">
        <v>1360</v>
      </c>
      <c r="C994" s="551">
        <v>0.11</v>
      </c>
      <c r="D994" s="1296">
        <v>0.11</v>
      </c>
      <c r="E994" s="1296">
        <v>0.11</v>
      </c>
      <c r="F994" s="1296">
        <v>0.11</v>
      </c>
      <c r="G994" s="1355">
        <v>0.1</v>
      </c>
      <c r="H994" s="1355">
        <v>0.1</v>
      </c>
      <c r="I994" s="1355">
        <v>0.1</v>
      </c>
      <c r="J994" s="1355">
        <v>0.1</v>
      </c>
      <c r="K994" s="1355">
        <v>0.1</v>
      </c>
    </row>
    <row r="995" spans="1:11" s="551" customFormat="1">
      <c r="A995" s="550"/>
      <c r="B995" s="530" t="s">
        <v>1361</v>
      </c>
      <c r="C995" s="551">
        <v>7.0000000000000007E-2</v>
      </c>
      <c r="D995" s="1302">
        <v>0.15</v>
      </c>
      <c r="E995" s="1302">
        <v>0.15</v>
      </c>
      <c r="F995" s="1302">
        <v>0.15</v>
      </c>
      <c r="G995" s="1355">
        <v>0.12</v>
      </c>
      <c r="H995" s="1355">
        <v>0.12</v>
      </c>
      <c r="I995" s="1355">
        <v>0.12</v>
      </c>
      <c r="J995" s="1355">
        <v>0.12</v>
      </c>
      <c r="K995" s="1355">
        <v>0.12</v>
      </c>
    </row>
    <row r="996" spans="1:11" s="551" customFormat="1">
      <c r="A996" s="550"/>
      <c r="B996" s="530" t="s">
        <v>1362</v>
      </c>
      <c r="C996" s="551">
        <v>7.0000000000000007E-2</v>
      </c>
      <c r="D996" s="1302">
        <v>0.03</v>
      </c>
      <c r="E996" s="1302">
        <v>0.03</v>
      </c>
      <c r="F996" s="1302">
        <v>0.03</v>
      </c>
      <c r="G996" s="1302">
        <v>0.03</v>
      </c>
      <c r="H996" s="1302">
        <v>0.03</v>
      </c>
      <c r="I996" s="1302">
        <v>0.03</v>
      </c>
      <c r="J996" s="1302">
        <v>0.03</v>
      </c>
      <c r="K996" s="1302">
        <v>0.03</v>
      </c>
    </row>
    <row r="997" spans="1:11" s="551" customFormat="1">
      <c r="A997" s="550"/>
      <c r="B997" s="530" t="s">
        <v>1363</v>
      </c>
      <c r="C997" s="551">
        <v>0.05</v>
      </c>
      <c r="D997" s="1296">
        <v>0.05</v>
      </c>
      <c r="E997" s="1296">
        <v>0.05</v>
      </c>
      <c r="F997" s="1296">
        <v>0.05</v>
      </c>
      <c r="G997" s="1296">
        <v>0.05</v>
      </c>
      <c r="H997" s="1296">
        <v>0.05</v>
      </c>
      <c r="I997" s="1296">
        <v>0.05</v>
      </c>
      <c r="J997" s="1296">
        <v>0.05</v>
      </c>
      <c r="K997" s="1296">
        <v>0.05</v>
      </c>
    </row>
    <row r="998" spans="1:11" s="551" customFormat="1">
      <c r="A998" s="550"/>
      <c r="B998" s="530" t="s">
        <v>1364</v>
      </c>
      <c r="C998" s="551">
        <v>0.05</v>
      </c>
      <c r="D998" s="1296">
        <v>0.05</v>
      </c>
      <c r="E998" s="1296">
        <v>0.05</v>
      </c>
      <c r="F998" s="1296">
        <v>0.05</v>
      </c>
      <c r="G998" s="1296">
        <v>0.05</v>
      </c>
      <c r="H998" s="1296">
        <v>0.05</v>
      </c>
      <c r="I998" s="1296">
        <v>0.05</v>
      </c>
      <c r="J998" s="1296">
        <v>0.05</v>
      </c>
      <c r="K998" s="1296">
        <v>0.05</v>
      </c>
    </row>
    <row r="999" spans="1:11" s="551" customFormat="1">
      <c r="A999" s="550"/>
      <c r="B999" s="530" t="s">
        <v>1365</v>
      </c>
      <c r="C999" s="551">
        <v>0.06</v>
      </c>
      <c r="D999" s="1296">
        <v>0.06</v>
      </c>
      <c r="E999" s="1296">
        <v>0.06</v>
      </c>
      <c r="F999" s="1296">
        <v>0.06</v>
      </c>
      <c r="G999" s="1296">
        <v>0.06</v>
      </c>
      <c r="H999" s="1296">
        <v>0.06</v>
      </c>
      <c r="I999" s="1296">
        <v>0.06</v>
      </c>
      <c r="J999" s="1296">
        <v>0.06</v>
      </c>
      <c r="K999" s="1296">
        <v>0.06</v>
      </c>
    </row>
    <row r="1000" spans="1:11" s="551" customFormat="1">
      <c r="A1000" s="550"/>
      <c r="B1000" s="530" t="s">
        <v>1366</v>
      </c>
      <c r="C1000" s="551">
        <v>7.0000000000000007E-2</v>
      </c>
      <c r="D1000" s="1296">
        <v>7.0000000000000007E-2</v>
      </c>
      <c r="E1000" s="1296">
        <v>7.0000000000000007E-2</v>
      </c>
      <c r="F1000" s="1296">
        <v>7.0000000000000007E-2</v>
      </c>
      <c r="G1000" s="1296">
        <v>7.0000000000000007E-2</v>
      </c>
      <c r="H1000" s="1296">
        <v>7.0000000000000007E-2</v>
      </c>
      <c r="I1000" s="1296">
        <v>7.0000000000000007E-2</v>
      </c>
      <c r="J1000" s="1296">
        <v>7.0000000000000007E-2</v>
      </c>
      <c r="K1000" s="1296">
        <v>7.0000000000000007E-2</v>
      </c>
    </row>
    <row r="1001" spans="1:11" s="551" customFormat="1">
      <c r="A1001" s="550"/>
      <c r="B1001" s="530" t="s">
        <v>1367</v>
      </c>
      <c r="C1001" s="551">
        <v>0.08</v>
      </c>
      <c r="D1001" s="1296">
        <v>0.08</v>
      </c>
      <c r="E1001" s="1296">
        <v>0.08</v>
      </c>
      <c r="F1001" s="1296">
        <v>0.08</v>
      </c>
      <c r="G1001" s="1296">
        <v>0.08</v>
      </c>
      <c r="H1001" s="1296">
        <v>0.08</v>
      </c>
      <c r="I1001" s="1296">
        <v>0.08</v>
      </c>
      <c r="J1001" s="1296">
        <v>0.08</v>
      </c>
      <c r="K1001" s="1296">
        <v>0.08</v>
      </c>
    </row>
    <row r="1002" spans="1:11" s="551" customFormat="1">
      <c r="A1002" s="550"/>
      <c r="B1002" s="530" t="s">
        <v>1368</v>
      </c>
      <c r="C1002" s="551">
        <v>0.1</v>
      </c>
      <c r="D1002" s="1296">
        <v>0.1</v>
      </c>
      <c r="E1002" s="1296">
        <v>0.1</v>
      </c>
      <c r="F1002" s="1296">
        <v>0.1</v>
      </c>
      <c r="G1002" s="1296">
        <v>0.1</v>
      </c>
      <c r="H1002" s="1296">
        <v>0.1</v>
      </c>
      <c r="I1002" s="1296">
        <v>0.1</v>
      </c>
      <c r="J1002" s="1296">
        <v>0.1</v>
      </c>
      <c r="K1002" s="1296">
        <v>0.1</v>
      </c>
    </row>
    <row r="1003" spans="1:11" s="551" customFormat="1">
      <c r="A1003" s="550"/>
      <c r="B1003" s="530" t="s">
        <v>1369</v>
      </c>
      <c r="C1003" s="551">
        <v>0.1</v>
      </c>
      <c r="D1003" s="1296">
        <v>0.1</v>
      </c>
      <c r="E1003" s="1296">
        <v>0.1</v>
      </c>
      <c r="F1003" s="1296">
        <v>0.1</v>
      </c>
      <c r="G1003" s="1296">
        <v>0.1</v>
      </c>
      <c r="H1003" s="1296">
        <v>0.1</v>
      </c>
      <c r="I1003" s="1296">
        <v>0.1</v>
      </c>
      <c r="J1003" s="1296">
        <v>0.1</v>
      </c>
      <c r="K1003" s="1296">
        <v>0.1</v>
      </c>
    </row>
    <row r="1004" spans="1:11" s="551" customFormat="1">
      <c r="A1004" s="550"/>
      <c r="B1004" s="530" t="s">
        <v>1370</v>
      </c>
      <c r="C1004" s="551">
        <v>0.12</v>
      </c>
      <c r="D1004" s="1296">
        <v>0.12</v>
      </c>
      <c r="E1004" s="1296">
        <v>0.12</v>
      </c>
      <c r="F1004" s="1296">
        <v>0.12</v>
      </c>
      <c r="G1004" s="1296">
        <v>0.12</v>
      </c>
      <c r="H1004" s="1296">
        <v>0.12</v>
      </c>
      <c r="I1004" s="1296">
        <v>0.12</v>
      </c>
      <c r="J1004" s="1296">
        <v>0.12</v>
      </c>
      <c r="K1004" s="1296">
        <v>0.12</v>
      </c>
    </row>
    <row r="1005" spans="1:11" s="551" customFormat="1">
      <c r="A1005" s="550"/>
      <c r="B1005" s="530" t="s">
        <v>1371</v>
      </c>
      <c r="C1005" s="551">
        <v>0.12</v>
      </c>
      <c r="D1005" s="1296">
        <v>0.12</v>
      </c>
      <c r="E1005" s="1296">
        <v>0.12</v>
      </c>
      <c r="F1005" s="1296">
        <v>0.12</v>
      </c>
      <c r="G1005" s="1296">
        <v>0.12</v>
      </c>
      <c r="H1005" s="1296">
        <v>0.12</v>
      </c>
      <c r="I1005" s="1296">
        <v>0.12</v>
      </c>
      <c r="J1005" s="1296">
        <v>0.12</v>
      </c>
      <c r="K1005" s="1296">
        <v>0.12</v>
      </c>
    </row>
    <row r="1006" spans="1:11" s="551" customFormat="1">
      <c r="A1006" s="550"/>
      <c r="B1006" s="530" t="s">
        <v>1372</v>
      </c>
      <c r="C1006" s="551">
        <v>0.11</v>
      </c>
      <c r="D1006" s="1296">
        <v>0.11</v>
      </c>
      <c r="E1006" s="1296">
        <v>0.11</v>
      </c>
      <c r="F1006" s="1296">
        <v>0.11</v>
      </c>
      <c r="G1006" s="1296">
        <v>0.11</v>
      </c>
      <c r="H1006" s="1296">
        <v>0.11</v>
      </c>
      <c r="I1006" s="1296">
        <v>0.11</v>
      </c>
      <c r="J1006" s="1296">
        <v>0.11</v>
      </c>
      <c r="K1006" s="1296">
        <v>0.11</v>
      </c>
    </row>
    <row r="1007" spans="1:11" s="551" customFormat="1">
      <c r="A1007" s="550"/>
      <c r="B1007" s="530" t="s">
        <v>1373</v>
      </c>
      <c r="C1007" s="551">
        <v>7.0000000000000007E-2</v>
      </c>
      <c r="D1007" s="1296">
        <v>7.0000000000000007E-2</v>
      </c>
      <c r="E1007" s="1296">
        <v>7.0000000000000007E-2</v>
      </c>
      <c r="F1007" s="1296">
        <v>7.0000000000000007E-2</v>
      </c>
      <c r="G1007" s="1296">
        <v>7.0000000000000007E-2</v>
      </c>
      <c r="H1007" s="1296">
        <v>7.0000000000000007E-2</v>
      </c>
      <c r="I1007" s="1296">
        <v>7.0000000000000007E-2</v>
      </c>
      <c r="J1007" s="1296">
        <v>7.0000000000000007E-2</v>
      </c>
      <c r="K1007" s="1296">
        <v>7.0000000000000007E-2</v>
      </c>
    </row>
    <row r="1008" spans="1:11" s="551" customFormat="1">
      <c r="A1008" s="550"/>
      <c r="B1008" s="530" t="s">
        <v>1374</v>
      </c>
      <c r="C1008" s="551">
        <v>7.0000000000000007E-2</v>
      </c>
      <c r="D1008" s="1296">
        <v>7.0000000000000007E-2</v>
      </c>
      <c r="E1008" s="1296">
        <v>7.0000000000000007E-2</v>
      </c>
      <c r="F1008" s="1296">
        <v>7.0000000000000007E-2</v>
      </c>
      <c r="G1008" s="1296">
        <v>7.0000000000000007E-2</v>
      </c>
      <c r="H1008" s="1296">
        <v>7.0000000000000007E-2</v>
      </c>
      <c r="I1008" s="1296">
        <v>7.0000000000000007E-2</v>
      </c>
      <c r="J1008" s="1296">
        <v>7.0000000000000007E-2</v>
      </c>
      <c r="K1008" s="1296">
        <v>7.0000000000000007E-2</v>
      </c>
    </row>
    <row r="1009" spans="1:11" s="551" customFormat="1">
      <c r="A1009" s="550"/>
      <c r="B1009" s="530" t="s">
        <v>1375</v>
      </c>
      <c r="C1009" s="551">
        <v>0.05</v>
      </c>
      <c r="D1009" s="1296">
        <v>0.05</v>
      </c>
      <c r="E1009" s="1296">
        <v>0.05</v>
      </c>
      <c r="F1009" s="1296">
        <v>0.05</v>
      </c>
      <c r="G1009" s="1296">
        <v>0.05</v>
      </c>
      <c r="H1009" s="1296">
        <v>0.05</v>
      </c>
      <c r="I1009" s="1296">
        <v>0.05</v>
      </c>
      <c r="J1009" s="1296">
        <v>0.05</v>
      </c>
      <c r="K1009" s="1296">
        <v>0.05</v>
      </c>
    </row>
    <row r="1010" spans="1:11" s="551" customFormat="1">
      <c r="A1010" s="550"/>
      <c r="B1010" s="530" t="s">
        <v>1376</v>
      </c>
      <c r="C1010" s="551">
        <v>0.05</v>
      </c>
      <c r="D1010" s="1296">
        <v>0.05</v>
      </c>
      <c r="E1010" s="1296">
        <v>0.05</v>
      </c>
      <c r="F1010" s="1296">
        <v>0.05</v>
      </c>
      <c r="G1010" s="1296">
        <v>0.05</v>
      </c>
      <c r="H1010" s="1296">
        <v>0.05</v>
      </c>
      <c r="I1010" s="1296">
        <v>0.05</v>
      </c>
      <c r="J1010" s="1296">
        <v>0.05</v>
      </c>
      <c r="K1010" s="1296">
        <v>0.05</v>
      </c>
    </row>
    <row r="1011" spans="1:11" s="551" customFormat="1">
      <c r="A1011" s="550"/>
      <c r="B1011" s="530" t="s">
        <v>1377</v>
      </c>
      <c r="C1011" s="551">
        <v>0.06</v>
      </c>
      <c r="D1011" s="1296">
        <v>0.06</v>
      </c>
      <c r="E1011" s="1296">
        <v>0.06</v>
      </c>
      <c r="F1011" s="1296">
        <v>0.06</v>
      </c>
      <c r="G1011" s="1296">
        <v>0.06</v>
      </c>
      <c r="H1011" s="1296">
        <v>0.06</v>
      </c>
      <c r="I1011" s="1296">
        <v>0.06</v>
      </c>
      <c r="J1011" s="1296">
        <v>0.06</v>
      </c>
      <c r="K1011" s="1296">
        <v>0.06</v>
      </c>
    </row>
    <row r="1012" spans="1:11" s="551" customFormat="1">
      <c r="A1012" s="550"/>
      <c r="B1012" s="530" t="s">
        <v>1378</v>
      </c>
      <c r="C1012" s="551">
        <v>7.0000000000000007E-2</v>
      </c>
      <c r="D1012" s="1296">
        <v>7.0000000000000007E-2</v>
      </c>
      <c r="E1012" s="1296">
        <v>7.0000000000000007E-2</v>
      </c>
      <c r="F1012" s="1296">
        <v>7.0000000000000007E-2</v>
      </c>
      <c r="G1012" s="1296">
        <v>7.0000000000000007E-2</v>
      </c>
      <c r="H1012" s="1296">
        <v>7.0000000000000007E-2</v>
      </c>
      <c r="I1012" s="1296">
        <v>7.0000000000000007E-2</v>
      </c>
      <c r="J1012" s="1296">
        <v>7.0000000000000007E-2</v>
      </c>
      <c r="K1012" s="1296">
        <v>7.0000000000000007E-2</v>
      </c>
    </row>
    <row r="1013" spans="1:11" s="551" customFormat="1">
      <c r="A1013" s="550"/>
      <c r="B1013" s="530" t="s">
        <v>1379</v>
      </c>
      <c r="C1013" s="551">
        <v>0.08</v>
      </c>
      <c r="D1013" s="1296">
        <v>0.08</v>
      </c>
      <c r="E1013" s="1296">
        <v>0.08</v>
      </c>
      <c r="F1013" s="1296">
        <v>0.08</v>
      </c>
      <c r="G1013" s="1296">
        <v>0.08</v>
      </c>
      <c r="H1013" s="1296">
        <v>0.08</v>
      </c>
      <c r="I1013" s="1296">
        <v>0.08</v>
      </c>
      <c r="J1013" s="1296">
        <v>0.08</v>
      </c>
      <c r="K1013" s="1296">
        <v>0.08</v>
      </c>
    </row>
    <row r="1014" spans="1:11" s="551" customFormat="1">
      <c r="A1014" s="550"/>
      <c r="B1014" s="530" t="s">
        <v>1380</v>
      </c>
      <c r="C1014" s="551">
        <v>0.1</v>
      </c>
      <c r="D1014" s="1296">
        <v>0.1</v>
      </c>
      <c r="E1014" s="1296">
        <v>0.1</v>
      </c>
      <c r="F1014" s="1296">
        <v>0.1</v>
      </c>
      <c r="G1014" s="1296">
        <v>0.1</v>
      </c>
      <c r="H1014" s="1296">
        <v>0.1</v>
      </c>
      <c r="I1014" s="1296">
        <v>0.1</v>
      </c>
      <c r="J1014" s="1296">
        <v>0.1</v>
      </c>
      <c r="K1014" s="1296">
        <v>0.1</v>
      </c>
    </row>
    <row r="1015" spans="1:11" s="551" customFormat="1">
      <c r="A1015" s="550"/>
      <c r="B1015" s="530" t="s">
        <v>1381</v>
      </c>
      <c r="C1015" s="551">
        <v>0.1</v>
      </c>
      <c r="D1015" s="1296">
        <v>0.1</v>
      </c>
      <c r="E1015" s="1296">
        <v>0.1</v>
      </c>
      <c r="F1015" s="1296">
        <v>0.1</v>
      </c>
      <c r="G1015" s="1296">
        <v>0.1</v>
      </c>
      <c r="H1015" s="1296">
        <v>0.1</v>
      </c>
      <c r="I1015" s="1296">
        <v>0.1</v>
      </c>
      <c r="J1015" s="1296">
        <v>0.1</v>
      </c>
      <c r="K1015" s="1296">
        <v>0.1</v>
      </c>
    </row>
    <row r="1016" spans="1:11" s="551" customFormat="1">
      <c r="A1016" s="550"/>
      <c r="B1016" s="530" t="s">
        <v>1382</v>
      </c>
      <c r="C1016" s="551">
        <v>0.12</v>
      </c>
      <c r="D1016" s="1296">
        <v>0.12</v>
      </c>
      <c r="E1016" s="1296">
        <v>0.12</v>
      </c>
      <c r="F1016" s="1296">
        <v>0.12</v>
      </c>
      <c r="G1016" s="1296">
        <v>0.12</v>
      </c>
      <c r="H1016" s="1296">
        <v>0.12</v>
      </c>
      <c r="I1016" s="1296">
        <v>0.12</v>
      </c>
      <c r="J1016" s="1296">
        <v>0.12</v>
      </c>
      <c r="K1016" s="1296">
        <v>0.12</v>
      </c>
    </row>
    <row r="1017" spans="1:11" s="551" customFormat="1">
      <c r="A1017" s="550"/>
      <c r="B1017" s="530" t="s">
        <v>1383</v>
      </c>
      <c r="C1017" s="551">
        <v>0.12</v>
      </c>
      <c r="D1017" s="1296">
        <v>0.12</v>
      </c>
      <c r="E1017" s="1296">
        <v>0.12</v>
      </c>
      <c r="F1017" s="1296">
        <v>0.12</v>
      </c>
      <c r="G1017" s="1296">
        <v>0.12</v>
      </c>
      <c r="H1017" s="1296">
        <v>0.12</v>
      </c>
      <c r="I1017" s="1296">
        <v>0.12</v>
      </c>
      <c r="J1017" s="1296">
        <v>0.12</v>
      </c>
      <c r="K1017" s="1296">
        <v>0.12</v>
      </c>
    </row>
    <row r="1018" spans="1:11" s="551" customFormat="1">
      <c r="A1018" s="550"/>
      <c r="B1018" s="530" t="s">
        <v>1384</v>
      </c>
      <c r="C1018" s="551">
        <v>0.11</v>
      </c>
      <c r="D1018" s="1296">
        <v>0.11</v>
      </c>
      <c r="E1018" s="1296">
        <v>0.11</v>
      </c>
      <c r="F1018" s="1296">
        <v>0.11</v>
      </c>
      <c r="G1018" s="1296">
        <v>0.11</v>
      </c>
      <c r="H1018" s="1296">
        <v>0.11</v>
      </c>
      <c r="I1018" s="1296">
        <v>0.11</v>
      </c>
      <c r="J1018" s="1296">
        <v>0.11</v>
      </c>
      <c r="K1018" s="1296">
        <v>0.11</v>
      </c>
    </row>
    <row r="1019" spans="1:11" s="551" customFormat="1">
      <c r="A1019" s="550"/>
      <c r="B1019" s="530" t="s">
        <v>1385</v>
      </c>
      <c r="C1019" s="551">
        <v>7.0000000000000007E-2</v>
      </c>
      <c r="D1019" s="1296">
        <v>7.0000000000000007E-2</v>
      </c>
      <c r="E1019" s="1296">
        <v>7.0000000000000007E-2</v>
      </c>
      <c r="F1019" s="1296">
        <v>7.0000000000000007E-2</v>
      </c>
      <c r="G1019" s="1296">
        <v>7.0000000000000007E-2</v>
      </c>
      <c r="H1019" s="1296">
        <v>7.0000000000000007E-2</v>
      </c>
      <c r="I1019" s="1296">
        <v>7.0000000000000007E-2</v>
      </c>
      <c r="J1019" s="1296">
        <v>7.0000000000000007E-2</v>
      </c>
      <c r="K1019" s="1296">
        <v>7.0000000000000007E-2</v>
      </c>
    </row>
    <row r="1020" spans="1:11" s="551" customFormat="1">
      <c r="A1020" s="550"/>
      <c r="B1020" s="530" t="s">
        <v>1386</v>
      </c>
      <c r="C1020" s="551">
        <v>7.0000000000000007E-2</v>
      </c>
      <c r="D1020" s="1296">
        <v>7.0000000000000007E-2</v>
      </c>
      <c r="E1020" s="1296">
        <v>7.0000000000000007E-2</v>
      </c>
      <c r="F1020" s="1296">
        <v>7.0000000000000007E-2</v>
      </c>
      <c r="G1020" s="1296">
        <v>7.0000000000000007E-2</v>
      </c>
      <c r="H1020" s="1296">
        <v>7.0000000000000007E-2</v>
      </c>
      <c r="I1020" s="1296">
        <v>7.0000000000000007E-2</v>
      </c>
      <c r="J1020" s="1296">
        <v>7.0000000000000007E-2</v>
      </c>
      <c r="K1020" s="1296">
        <v>7.0000000000000007E-2</v>
      </c>
    </row>
    <row r="1021" spans="1:11" s="551" customFormat="1">
      <c r="A1021" s="550"/>
      <c r="B1021" s="530" t="s">
        <v>1387</v>
      </c>
      <c r="C1021" s="551">
        <v>0.05</v>
      </c>
      <c r="D1021" s="1296">
        <v>0.05</v>
      </c>
      <c r="E1021" s="1296">
        <v>0.05</v>
      </c>
      <c r="F1021" s="1296">
        <v>0.05</v>
      </c>
      <c r="G1021" s="1296">
        <v>0.05</v>
      </c>
      <c r="H1021" s="1296">
        <v>0.05</v>
      </c>
      <c r="I1021" s="1296">
        <v>0.05</v>
      </c>
      <c r="J1021" s="1296">
        <v>0.05</v>
      </c>
      <c r="K1021" s="1296">
        <v>0.05</v>
      </c>
    </row>
    <row r="1022" spans="1:11" s="551" customFormat="1">
      <c r="A1022" s="550"/>
      <c r="B1022" s="530" t="s">
        <v>1388</v>
      </c>
      <c r="C1022" s="551">
        <v>0.05</v>
      </c>
      <c r="D1022" s="1296">
        <v>0.05</v>
      </c>
      <c r="E1022" s="1296">
        <v>0.05</v>
      </c>
      <c r="F1022" s="1296">
        <v>0.05</v>
      </c>
      <c r="G1022" s="1296">
        <v>0.05</v>
      </c>
      <c r="H1022" s="1296">
        <v>0.05</v>
      </c>
      <c r="I1022" s="1296">
        <v>0.05</v>
      </c>
      <c r="J1022" s="1296">
        <v>0.05</v>
      </c>
      <c r="K1022" s="1296">
        <v>0.05</v>
      </c>
    </row>
    <row r="1023" spans="1:11" s="551" customFormat="1">
      <c r="A1023" s="550"/>
      <c r="B1023" s="530" t="s">
        <v>1389</v>
      </c>
      <c r="C1023" s="551">
        <v>0.06</v>
      </c>
      <c r="D1023" s="1296">
        <v>0.06</v>
      </c>
      <c r="E1023" s="1296">
        <v>0.06</v>
      </c>
      <c r="F1023" s="1296">
        <v>0.06</v>
      </c>
      <c r="G1023" s="1296">
        <v>0.06</v>
      </c>
      <c r="H1023" s="1296">
        <v>0.06</v>
      </c>
      <c r="I1023" s="1296">
        <v>0.06</v>
      </c>
      <c r="J1023" s="1296">
        <v>0.06</v>
      </c>
      <c r="K1023" s="1296">
        <v>0.06</v>
      </c>
    </row>
    <row r="1024" spans="1:11" s="551" customFormat="1">
      <c r="A1024" s="550"/>
      <c r="B1024" s="530" t="s">
        <v>1390</v>
      </c>
      <c r="C1024" s="551">
        <v>7.0000000000000007E-2</v>
      </c>
      <c r="D1024" s="1296">
        <v>7.0000000000000007E-2</v>
      </c>
      <c r="E1024" s="1296">
        <v>7.0000000000000007E-2</v>
      </c>
      <c r="F1024" s="1296">
        <v>7.0000000000000007E-2</v>
      </c>
      <c r="G1024" s="1296">
        <v>7.0000000000000007E-2</v>
      </c>
      <c r="H1024" s="1296">
        <v>7.0000000000000007E-2</v>
      </c>
      <c r="I1024" s="1296">
        <v>7.0000000000000007E-2</v>
      </c>
      <c r="J1024" s="1296">
        <v>7.0000000000000007E-2</v>
      </c>
      <c r="K1024" s="1296">
        <v>7.0000000000000007E-2</v>
      </c>
    </row>
    <row r="1025" spans="1:11" s="551" customFormat="1">
      <c r="A1025" s="550"/>
      <c r="B1025" s="530" t="s">
        <v>1391</v>
      </c>
      <c r="C1025" s="551">
        <v>0.08</v>
      </c>
      <c r="D1025" s="1296">
        <v>0.08</v>
      </c>
      <c r="E1025" s="1296">
        <v>0.08</v>
      </c>
      <c r="F1025" s="1296">
        <v>0.08</v>
      </c>
      <c r="G1025" s="1296">
        <v>0.08</v>
      </c>
      <c r="H1025" s="1296">
        <v>0.08</v>
      </c>
      <c r="I1025" s="1296">
        <v>0.08</v>
      </c>
      <c r="J1025" s="1296">
        <v>0.08</v>
      </c>
      <c r="K1025" s="1296">
        <v>0.08</v>
      </c>
    </row>
    <row r="1026" spans="1:11" s="551" customFormat="1">
      <c r="A1026" s="550"/>
      <c r="B1026" s="530" t="s">
        <v>1392</v>
      </c>
      <c r="C1026" s="551">
        <v>0.1</v>
      </c>
      <c r="D1026" s="1296">
        <v>0.1</v>
      </c>
      <c r="E1026" s="1296">
        <v>0.1</v>
      </c>
      <c r="F1026" s="1296">
        <v>0.1</v>
      </c>
      <c r="G1026" s="1296">
        <v>0.1</v>
      </c>
      <c r="H1026" s="1296">
        <v>0.1</v>
      </c>
      <c r="I1026" s="1296">
        <v>0.1</v>
      </c>
      <c r="J1026" s="1296">
        <v>0.1</v>
      </c>
      <c r="K1026" s="1296">
        <v>0.1</v>
      </c>
    </row>
    <row r="1027" spans="1:11" s="551" customFormat="1">
      <c r="A1027" s="550"/>
      <c r="B1027" s="530" t="s">
        <v>1393</v>
      </c>
      <c r="C1027" s="551">
        <v>0.1</v>
      </c>
      <c r="D1027" s="1296">
        <v>0.1</v>
      </c>
      <c r="E1027" s="1296">
        <v>0.1</v>
      </c>
      <c r="F1027" s="1296">
        <v>0.1</v>
      </c>
      <c r="G1027" s="1296">
        <v>0.1</v>
      </c>
      <c r="H1027" s="1296">
        <v>0.1</v>
      </c>
      <c r="I1027" s="1296">
        <v>0.1</v>
      </c>
      <c r="J1027" s="1296">
        <v>0.1</v>
      </c>
      <c r="K1027" s="1296">
        <v>0.1</v>
      </c>
    </row>
    <row r="1028" spans="1:11" s="551" customFormat="1">
      <c r="A1028" s="550"/>
      <c r="B1028" s="530" t="s">
        <v>1394</v>
      </c>
      <c r="C1028" s="551">
        <v>0.12</v>
      </c>
      <c r="D1028" s="1296">
        <v>0.12</v>
      </c>
      <c r="E1028" s="1296">
        <v>0.12</v>
      </c>
      <c r="F1028" s="1296">
        <v>0.12</v>
      </c>
      <c r="G1028" s="1296">
        <v>0.12</v>
      </c>
      <c r="H1028" s="1296">
        <v>0.12</v>
      </c>
      <c r="I1028" s="1296">
        <v>0.12</v>
      </c>
      <c r="J1028" s="1296">
        <v>0.12</v>
      </c>
      <c r="K1028" s="1296">
        <v>0.12</v>
      </c>
    </row>
    <row r="1029" spans="1:11" s="551" customFormat="1">
      <c r="A1029" s="550"/>
      <c r="B1029" s="530" t="s">
        <v>1395</v>
      </c>
      <c r="C1029" s="551">
        <v>0.12</v>
      </c>
      <c r="D1029" s="1296">
        <v>0.12</v>
      </c>
      <c r="E1029" s="1296">
        <v>0.12</v>
      </c>
      <c r="F1029" s="1296">
        <v>0.12</v>
      </c>
      <c r="G1029" s="1296">
        <v>0.12</v>
      </c>
      <c r="H1029" s="1296">
        <v>0.12</v>
      </c>
      <c r="I1029" s="1296">
        <v>0.12</v>
      </c>
      <c r="J1029" s="1296">
        <v>0.12</v>
      </c>
      <c r="K1029" s="1296">
        <v>0.12</v>
      </c>
    </row>
    <row r="1030" spans="1:11" s="551" customFormat="1">
      <c r="A1030" s="550"/>
      <c r="B1030" s="530" t="s">
        <v>1396</v>
      </c>
      <c r="C1030" s="551">
        <v>0.11</v>
      </c>
      <c r="D1030" s="1296">
        <v>0.11</v>
      </c>
      <c r="E1030" s="1296">
        <v>0.11</v>
      </c>
      <c r="F1030" s="1296">
        <v>0.11</v>
      </c>
      <c r="G1030" s="1296">
        <v>0.11</v>
      </c>
      <c r="H1030" s="1296">
        <v>0.11</v>
      </c>
      <c r="I1030" s="1296">
        <v>0.11</v>
      </c>
      <c r="J1030" s="1296">
        <v>0.11</v>
      </c>
      <c r="K1030" s="1296">
        <v>0.11</v>
      </c>
    </row>
    <row r="1031" spans="1:11" s="551" customFormat="1">
      <c r="A1031" s="550"/>
      <c r="B1031" s="530" t="s">
        <v>1397</v>
      </c>
      <c r="C1031" s="551">
        <v>7.0000000000000007E-2</v>
      </c>
      <c r="D1031" s="1296">
        <v>7.0000000000000007E-2</v>
      </c>
      <c r="E1031" s="1296">
        <v>7.0000000000000007E-2</v>
      </c>
      <c r="F1031" s="1296">
        <v>7.0000000000000007E-2</v>
      </c>
      <c r="G1031" s="1296">
        <v>7.0000000000000007E-2</v>
      </c>
      <c r="H1031" s="1296">
        <v>7.0000000000000007E-2</v>
      </c>
      <c r="I1031" s="1296">
        <v>7.0000000000000007E-2</v>
      </c>
      <c r="J1031" s="1296">
        <v>7.0000000000000007E-2</v>
      </c>
      <c r="K1031" s="1296">
        <v>7.0000000000000007E-2</v>
      </c>
    </row>
    <row r="1032" spans="1:11" s="551" customFormat="1">
      <c r="A1032" s="550"/>
      <c r="B1032" s="530" t="s">
        <v>1398</v>
      </c>
      <c r="C1032" s="551">
        <v>7.0000000000000007E-2</v>
      </c>
      <c r="D1032" s="1296">
        <v>7.0000000000000007E-2</v>
      </c>
      <c r="E1032" s="1296">
        <v>7.0000000000000007E-2</v>
      </c>
      <c r="F1032" s="1296">
        <v>7.0000000000000007E-2</v>
      </c>
      <c r="G1032" s="1296">
        <v>7.0000000000000007E-2</v>
      </c>
      <c r="H1032" s="1296">
        <v>7.0000000000000007E-2</v>
      </c>
      <c r="I1032" s="1296">
        <v>7.0000000000000007E-2</v>
      </c>
      <c r="J1032" s="1296">
        <v>7.0000000000000007E-2</v>
      </c>
      <c r="K1032" s="1296">
        <v>7.0000000000000007E-2</v>
      </c>
    </row>
    <row r="1033" spans="1:11" s="551" customFormat="1">
      <c r="A1033" s="550"/>
      <c r="B1033" s="530" t="s">
        <v>1399</v>
      </c>
      <c r="C1033" s="551">
        <v>0.05</v>
      </c>
      <c r="D1033" s="1302">
        <v>0.03</v>
      </c>
      <c r="E1033" s="1302">
        <v>0.03</v>
      </c>
      <c r="F1033" s="1302">
        <v>0.03</v>
      </c>
      <c r="G1033" s="1302">
        <v>0.03</v>
      </c>
      <c r="H1033" s="1302">
        <v>0.03</v>
      </c>
      <c r="I1033" s="1302">
        <v>0.03</v>
      </c>
      <c r="J1033" s="1302">
        <v>0.03</v>
      </c>
      <c r="K1033" s="1302">
        <v>0.03</v>
      </c>
    </row>
    <row r="1034" spans="1:11" s="551" customFormat="1">
      <c r="A1034" s="550"/>
      <c r="B1034" s="530" t="s">
        <v>1400</v>
      </c>
      <c r="C1034" s="551">
        <v>0.05</v>
      </c>
      <c r="D1034" s="1302">
        <v>0.03</v>
      </c>
      <c r="E1034" s="1302">
        <v>0.03</v>
      </c>
      <c r="F1034" s="1302">
        <v>0.03</v>
      </c>
      <c r="G1034" s="1302">
        <v>0.03</v>
      </c>
      <c r="H1034" s="1302">
        <v>0.03</v>
      </c>
      <c r="I1034" s="1302">
        <v>0.03</v>
      </c>
      <c r="J1034" s="1302">
        <v>0.03</v>
      </c>
      <c r="K1034" s="1302">
        <v>0.03</v>
      </c>
    </row>
    <row r="1035" spans="1:11" s="551" customFormat="1">
      <c r="A1035" s="550"/>
      <c r="B1035" s="530" t="s">
        <v>1401</v>
      </c>
      <c r="C1035" s="551">
        <v>0.06</v>
      </c>
      <c r="D1035" s="1302">
        <v>0.03</v>
      </c>
      <c r="E1035" s="1302">
        <v>0.03</v>
      </c>
      <c r="F1035" s="1302">
        <v>0.03</v>
      </c>
      <c r="G1035" s="1302">
        <v>0.03</v>
      </c>
      <c r="H1035" s="1302">
        <v>0.03</v>
      </c>
      <c r="I1035" s="1302">
        <v>0.03</v>
      </c>
      <c r="J1035" s="1302">
        <v>0.03</v>
      </c>
      <c r="K1035" s="1302">
        <v>0.03</v>
      </c>
    </row>
    <row r="1036" spans="1:11" s="551" customFormat="1">
      <c r="A1036" s="550"/>
      <c r="B1036" s="530" t="s">
        <v>1402</v>
      </c>
      <c r="C1036" s="551">
        <v>7.0000000000000007E-2</v>
      </c>
      <c r="D1036" s="1302">
        <v>0.11</v>
      </c>
      <c r="E1036" s="1302">
        <v>0.11</v>
      </c>
      <c r="F1036" s="1302">
        <v>0.11</v>
      </c>
      <c r="G1036" s="1302">
        <v>0.11</v>
      </c>
      <c r="H1036" s="1302">
        <v>0.11</v>
      </c>
      <c r="I1036" s="1302">
        <v>0.11</v>
      </c>
      <c r="J1036" s="1302">
        <v>0.11</v>
      </c>
      <c r="K1036" s="1302">
        <v>0.11</v>
      </c>
    </row>
    <row r="1037" spans="1:11" s="551" customFormat="1">
      <c r="A1037" s="550"/>
      <c r="B1037" s="530" t="s">
        <v>1403</v>
      </c>
      <c r="C1037" s="551">
        <v>0.08</v>
      </c>
      <c r="D1037" s="1302">
        <v>0.11</v>
      </c>
      <c r="E1037" s="1302">
        <v>0.11</v>
      </c>
      <c r="F1037" s="1302">
        <v>0.11</v>
      </c>
      <c r="G1037" s="1302">
        <v>0.11</v>
      </c>
      <c r="H1037" s="1302">
        <v>0.11</v>
      </c>
      <c r="I1037" s="1302">
        <v>0.11</v>
      </c>
      <c r="J1037" s="1302">
        <v>0.11</v>
      </c>
      <c r="K1037" s="1302">
        <v>0.11</v>
      </c>
    </row>
    <row r="1038" spans="1:11" s="551" customFormat="1">
      <c r="A1038" s="550"/>
      <c r="B1038" s="530" t="s">
        <v>1404</v>
      </c>
      <c r="C1038" s="551">
        <v>0.1</v>
      </c>
      <c r="D1038" s="1302">
        <v>0.14000000000000001</v>
      </c>
      <c r="E1038" s="1302">
        <v>0.14000000000000001</v>
      </c>
      <c r="F1038" s="1302">
        <v>0.14000000000000001</v>
      </c>
      <c r="G1038" s="1302">
        <v>0.14000000000000001</v>
      </c>
      <c r="H1038" s="1302">
        <v>0.14000000000000001</v>
      </c>
      <c r="I1038" s="1302">
        <v>0.14000000000000001</v>
      </c>
      <c r="J1038" s="1302">
        <v>0.14000000000000001</v>
      </c>
      <c r="K1038" s="1302">
        <v>0.14000000000000001</v>
      </c>
    </row>
    <row r="1039" spans="1:11" s="551" customFormat="1">
      <c r="A1039" s="550"/>
      <c r="B1039" s="530" t="s">
        <v>1405</v>
      </c>
      <c r="C1039" s="551">
        <v>0.1</v>
      </c>
      <c r="D1039" s="1302">
        <v>0.14000000000000001</v>
      </c>
      <c r="E1039" s="1302">
        <v>0.14000000000000001</v>
      </c>
      <c r="F1039" s="1302">
        <v>0.14000000000000001</v>
      </c>
      <c r="G1039" s="1302">
        <v>0.14000000000000001</v>
      </c>
      <c r="H1039" s="1302">
        <v>0.14000000000000001</v>
      </c>
      <c r="I1039" s="1302">
        <v>0.14000000000000001</v>
      </c>
      <c r="J1039" s="1302">
        <v>0.14000000000000001</v>
      </c>
      <c r="K1039" s="1302">
        <v>0.14000000000000001</v>
      </c>
    </row>
    <row r="1040" spans="1:11" s="551" customFormat="1">
      <c r="A1040" s="550"/>
      <c r="B1040" s="530" t="s">
        <v>1406</v>
      </c>
      <c r="C1040" s="551">
        <v>0.12</v>
      </c>
      <c r="D1040" s="1296">
        <v>0.12</v>
      </c>
      <c r="E1040" s="1296">
        <v>0.12</v>
      </c>
      <c r="F1040" s="1296">
        <v>0.12</v>
      </c>
      <c r="G1040" s="1296">
        <v>0.12</v>
      </c>
      <c r="H1040" s="1296">
        <v>0.12</v>
      </c>
      <c r="I1040" s="1296">
        <v>0.12</v>
      </c>
      <c r="J1040" s="1296">
        <v>0.12</v>
      </c>
      <c r="K1040" s="1296">
        <v>0.12</v>
      </c>
    </row>
    <row r="1041" spans="1:11" s="551" customFormat="1">
      <c r="A1041" s="550"/>
      <c r="B1041" s="530" t="s">
        <v>1407</v>
      </c>
      <c r="C1041" s="551">
        <v>0.12</v>
      </c>
      <c r="D1041" s="1296">
        <v>0.12</v>
      </c>
      <c r="E1041" s="1296">
        <v>0.12</v>
      </c>
      <c r="F1041" s="1296">
        <v>0.12</v>
      </c>
      <c r="G1041" s="1296">
        <v>0.12</v>
      </c>
      <c r="H1041" s="1296">
        <v>0.12</v>
      </c>
      <c r="I1041" s="1296">
        <v>0.12</v>
      </c>
      <c r="J1041" s="1296">
        <v>0.12</v>
      </c>
      <c r="K1041" s="1296">
        <v>0.12</v>
      </c>
    </row>
    <row r="1042" spans="1:11" s="551" customFormat="1">
      <c r="A1042" s="550"/>
      <c r="B1042" s="530" t="s">
        <v>1408</v>
      </c>
      <c r="C1042" s="551">
        <v>0.11</v>
      </c>
      <c r="D1042" s="1296">
        <v>0.11</v>
      </c>
      <c r="E1042" s="1296">
        <v>0.11</v>
      </c>
      <c r="F1042" s="1296">
        <v>0.11</v>
      </c>
      <c r="G1042" s="1296">
        <v>0.11</v>
      </c>
      <c r="H1042" s="1296">
        <v>0.11</v>
      </c>
      <c r="I1042" s="1296">
        <v>0.11</v>
      </c>
      <c r="J1042" s="1296">
        <v>0.11</v>
      </c>
      <c r="K1042" s="1296">
        <v>0.11</v>
      </c>
    </row>
    <row r="1043" spans="1:11" s="551" customFormat="1">
      <c r="A1043" s="550"/>
      <c r="B1043" s="530" t="s">
        <v>1409</v>
      </c>
      <c r="C1043" s="551">
        <v>7.0000000000000007E-2</v>
      </c>
      <c r="D1043" s="1302">
        <v>0.03</v>
      </c>
      <c r="E1043" s="1302">
        <v>0.03</v>
      </c>
      <c r="F1043" s="1302">
        <v>0.03</v>
      </c>
      <c r="G1043" s="1302">
        <v>0.03</v>
      </c>
      <c r="H1043" s="1302">
        <v>0.03</v>
      </c>
      <c r="I1043" s="1302">
        <v>0.03</v>
      </c>
      <c r="J1043" s="1302">
        <v>0.03</v>
      </c>
      <c r="K1043" s="1302">
        <v>0.03</v>
      </c>
    </row>
    <row r="1044" spans="1:11" s="551" customFormat="1">
      <c r="A1044" s="550"/>
      <c r="B1044" s="530" t="s">
        <v>1410</v>
      </c>
      <c r="C1044" s="551">
        <v>7.0000000000000007E-2</v>
      </c>
      <c r="D1044" s="1302">
        <v>0.03</v>
      </c>
      <c r="E1044" s="1302">
        <v>0.03</v>
      </c>
      <c r="F1044" s="1302">
        <v>0.03</v>
      </c>
      <c r="G1044" s="1302">
        <v>0.03</v>
      </c>
      <c r="H1044" s="1302">
        <v>0.03</v>
      </c>
      <c r="I1044" s="1302">
        <v>0.03</v>
      </c>
      <c r="J1044" s="1302">
        <v>0.03</v>
      </c>
      <c r="K1044" s="1302">
        <v>0.03</v>
      </c>
    </row>
    <row r="1045" spans="1:11" s="551" customFormat="1">
      <c r="A1045" s="550"/>
      <c r="B1045" s="530" t="s">
        <v>1411</v>
      </c>
      <c r="C1045" s="551">
        <v>0.05</v>
      </c>
      <c r="D1045" s="1302">
        <v>0.03</v>
      </c>
      <c r="E1045" s="1302">
        <v>0.03</v>
      </c>
      <c r="F1045" s="1302">
        <v>0.03</v>
      </c>
      <c r="G1045" s="1302">
        <v>0.03</v>
      </c>
      <c r="H1045" s="1302">
        <v>0.03</v>
      </c>
      <c r="I1045" s="1302">
        <v>0.03</v>
      </c>
      <c r="J1045" s="1302">
        <v>0.03</v>
      </c>
      <c r="K1045" s="1302">
        <v>0.03</v>
      </c>
    </row>
    <row r="1046" spans="1:11" s="551" customFormat="1">
      <c r="A1046" s="550"/>
      <c r="B1046" s="530" t="s">
        <v>1412</v>
      </c>
      <c r="C1046" s="551">
        <v>0.05</v>
      </c>
      <c r="D1046" s="1302">
        <v>0.03</v>
      </c>
      <c r="E1046" s="1302">
        <v>0.03</v>
      </c>
      <c r="F1046" s="1302">
        <v>0.03</v>
      </c>
      <c r="G1046" s="1302">
        <v>0.03</v>
      </c>
      <c r="H1046" s="1302">
        <v>0.03</v>
      </c>
      <c r="I1046" s="1302">
        <v>0.03</v>
      </c>
      <c r="J1046" s="1302">
        <v>0.03</v>
      </c>
      <c r="K1046" s="1302">
        <v>0.03</v>
      </c>
    </row>
    <row r="1047" spans="1:11" s="551" customFormat="1">
      <c r="A1047" s="550"/>
      <c r="B1047" s="530" t="s">
        <v>1413</v>
      </c>
      <c r="C1047" s="551">
        <v>0.06</v>
      </c>
      <c r="D1047" s="1302">
        <v>0.03</v>
      </c>
      <c r="E1047" s="1302">
        <v>0.03</v>
      </c>
      <c r="F1047" s="1302">
        <v>0.03</v>
      </c>
      <c r="G1047" s="1302">
        <v>0.03</v>
      </c>
      <c r="H1047" s="1302">
        <v>0.03</v>
      </c>
      <c r="I1047" s="1302">
        <v>0.03</v>
      </c>
      <c r="J1047" s="1302">
        <v>0.03</v>
      </c>
      <c r="K1047" s="1302">
        <v>0.03</v>
      </c>
    </row>
    <row r="1048" spans="1:11" s="551" customFormat="1">
      <c r="A1048" s="550"/>
      <c r="B1048" s="530" t="s">
        <v>1414</v>
      </c>
      <c r="C1048" s="551">
        <v>7.0000000000000007E-2</v>
      </c>
      <c r="D1048" s="1302">
        <v>0.11</v>
      </c>
      <c r="E1048" s="1302">
        <v>0.11</v>
      </c>
      <c r="F1048" s="1302">
        <v>0.11</v>
      </c>
      <c r="G1048" s="1302">
        <v>0.11</v>
      </c>
      <c r="H1048" s="1302">
        <v>0.11</v>
      </c>
      <c r="I1048" s="1302">
        <v>0.11</v>
      </c>
      <c r="J1048" s="1302">
        <v>0.11</v>
      </c>
      <c r="K1048" s="1302">
        <v>0.11</v>
      </c>
    </row>
    <row r="1049" spans="1:11" s="551" customFormat="1">
      <c r="A1049" s="550"/>
      <c r="B1049" s="530" t="s">
        <v>1415</v>
      </c>
      <c r="C1049" s="551">
        <v>0.08</v>
      </c>
      <c r="D1049" s="1302">
        <v>0.11</v>
      </c>
      <c r="E1049" s="1302">
        <v>0.11</v>
      </c>
      <c r="F1049" s="1302">
        <v>0.11</v>
      </c>
      <c r="G1049" s="1302">
        <v>0.11</v>
      </c>
      <c r="H1049" s="1302">
        <v>0.11</v>
      </c>
      <c r="I1049" s="1302">
        <v>0.11</v>
      </c>
      <c r="J1049" s="1302">
        <v>0.11</v>
      </c>
      <c r="K1049" s="1302">
        <v>0.11</v>
      </c>
    </row>
    <row r="1050" spans="1:11" s="551" customFormat="1">
      <c r="A1050" s="550"/>
      <c r="B1050" s="530" t="s">
        <v>1416</v>
      </c>
      <c r="C1050" s="551">
        <v>0.1</v>
      </c>
      <c r="D1050" s="1302">
        <v>0.14000000000000001</v>
      </c>
      <c r="E1050" s="1302">
        <v>0.14000000000000001</v>
      </c>
      <c r="F1050" s="1302">
        <v>0.14000000000000001</v>
      </c>
      <c r="G1050" s="1302">
        <v>0.14000000000000001</v>
      </c>
      <c r="H1050" s="1302">
        <v>0.14000000000000001</v>
      </c>
      <c r="I1050" s="1302">
        <v>0.14000000000000001</v>
      </c>
      <c r="J1050" s="1302">
        <v>0.14000000000000001</v>
      </c>
      <c r="K1050" s="1302">
        <v>0.14000000000000001</v>
      </c>
    </row>
    <row r="1051" spans="1:11" s="551" customFormat="1">
      <c r="A1051" s="550"/>
      <c r="B1051" s="530" t="s">
        <v>1417</v>
      </c>
      <c r="C1051" s="551">
        <v>0.1</v>
      </c>
      <c r="D1051" s="1302">
        <v>0.14000000000000001</v>
      </c>
      <c r="E1051" s="1302">
        <v>0.14000000000000001</v>
      </c>
      <c r="F1051" s="1302">
        <v>0.14000000000000001</v>
      </c>
      <c r="G1051" s="1302">
        <v>0.14000000000000001</v>
      </c>
      <c r="H1051" s="1302">
        <v>0.14000000000000001</v>
      </c>
      <c r="I1051" s="1302">
        <v>0.14000000000000001</v>
      </c>
      <c r="J1051" s="1302">
        <v>0.14000000000000001</v>
      </c>
      <c r="K1051" s="1302">
        <v>0.14000000000000001</v>
      </c>
    </row>
    <row r="1052" spans="1:11" s="551" customFormat="1">
      <c r="A1052" s="550"/>
      <c r="B1052" s="530" t="s">
        <v>1418</v>
      </c>
      <c r="C1052" s="551">
        <v>0.12</v>
      </c>
      <c r="D1052" s="1296">
        <v>0.12</v>
      </c>
      <c r="E1052" s="1296">
        <v>0.12</v>
      </c>
      <c r="F1052" s="1296">
        <v>0.12</v>
      </c>
      <c r="G1052" s="1296">
        <v>0.12</v>
      </c>
      <c r="H1052" s="1296">
        <v>0.12</v>
      </c>
      <c r="I1052" s="1296">
        <v>0.12</v>
      </c>
      <c r="J1052" s="1296">
        <v>0.12</v>
      </c>
      <c r="K1052" s="1296">
        <v>0.12</v>
      </c>
    </row>
    <row r="1053" spans="1:11" s="551" customFormat="1">
      <c r="A1053" s="550"/>
      <c r="B1053" s="530" t="s">
        <v>1419</v>
      </c>
      <c r="C1053" s="551">
        <v>0.12</v>
      </c>
      <c r="D1053" s="1296">
        <v>0.12</v>
      </c>
      <c r="E1053" s="1296">
        <v>0.12</v>
      </c>
      <c r="F1053" s="1296">
        <v>0.12</v>
      </c>
      <c r="G1053" s="1296">
        <v>0.12</v>
      </c>
      <c r="H1053" s="1296">
        <v>0.12</v>
      </c>
      <c r="I1053" s="1296">
        <v>0.12</v>
      </c>
      <c r="J1053" s="1296">
        <v>0.12</v>
      </c>
      <c r="K1053" s="1296">
        <v>0.12</v>
      </c>
    </row>
    <row r="1054" spans="1:11" s="551" customFormat="1">
      <c r="A1054" s="550"/>
      <c r="B1054" s="530" t="s">
        <v>1420</v>
      </c>
      <c r="C1054" s="551">
        <v>0.11</v>
      </c>
      <c r="D1054" s="1296">
        <v>0.11</v>
      </c>
      <c r="E1054" s="1296">
        <v>0.11</v>
      </c>
      <c r="F1054" s="1296">
        <v>0.11</v>
      </c>
      <c r="G1054" s="1296">
        <v>0.11</v>
      </c>
      <c r="H1054" s="1296">
        <v>0.11</v>
      </c>
      <c r="I1054" s="1296">
        <v>0.11</v>
      </c>
      <c r="J1054" s="1296">
        <v>0.11</v>
      </c>
      <c r="K1054" s="1296">
        <v>0.11</v>
      </c>
    </row>
    <row r="1055" spans="1:11" s="551" customFormat="1">
      <c r="A1055" s="550"/>
      <c r="B1055" s="530" t="s">
        <v>1421</v>
      </c>
      <c r="C1055" s="551">
        <v>7.0000000000000007E-2</v>
      </c>
      <c r="D1055" s="1302">
        <v>0.03</v>
      </c>
      <c r="E1055" s="1302">
        <v>0.03</v>
      </c>
      <c r="F1055" s="1302">
        <v>0.03</v>
      </c>
      <c r="G1055" s="1302">
        <v>0.03</v>
      </c>
      <c r="H1055" s="1302">
        <v>0.03</v>
      </c>
      <c r="I1055" s="1302">
        <v>0.03</v>
      </c>
      <c r="J1055" s="1302">
        <v>0.03</v>
      </c>
      <c r="K1055" s="1302">
        <v>0.03</v>
      </c>
    </row>
    <row r="1056" spans="1:11" s="551" customFormat="1">
      <c r="A1056" s="550"/>
      <c r="B1056" s="530" t="s">
        <v>1422</v>
      </c>
      <c r="C1056" s="551">
        <v>7.0000000000000007E-2</v>
      </c>
      <c r="D1056" s="1302">
        <v>0.03</v>
      </c>
      <c r="E1056" s="1302">
        <v>0.03</v>
      </c>
      <c r="F1056" s="1302">
        <v>0.03</v>
      </c>
      <c r="G1056" s="1302">
        <v>0.03</v>
      </c>
      <c r="H1056" s="1302">
        <v>0.03</v>
      </c>
      <c r="I1056" s="1302">
        <v>0.03</v>
      </c>
      <c r="J1056" s="1302">
        <v>0.03</v>
      </c>
      <c r="K1056" s="1302">
        <v>0.03</v>
      </c>
    </row>
    <row r="1058" spans="1:11">
      <c r="A1058" s="159">
        <v>7.1</v>
      </c>
      <c r="B1058" s="527" t="s">
        <v>446</v>
      </c>
      <c r="D1058" s="1294"/>
      <c r="E1058" s="1294"/>
      <c r="F1058" s="1294"/>
      <c r="G1058" s="1294"/>
      <c r="H1058" s="1294"/>
      <c r="I1058" s="1294"/>
      <c r="J1058" s="1294"/>
      <c r="K1058" s="1294"/>
    </row>
    <row r="1059" spans="1:11" s="551" customFormat="1">
      <c r="A1059" s="550"/>
      <c r="B1059" s="528" t="s">
        <v>1423</v>
      </c>
      <c r="C1059" s="551">
        <v>1240</v>
      </c>
      <c r="D1059" s="1296">
        <v>1240</v>
      </c>
      <c r="E1059" s="1296">
        <v>1240</v>
      </c>
      <c r="F1059" s="1296">
        <v>1240</v>
      </c>
      <c r="G1059" s="1296">
        <v>1240</v>
      </c>
      <c r="H1059" s="1296">
        <v>1240</v>
      </c>
      <c r="I1059" s="1296">
        <v>1240</v>
      </c>
      <c r="J1059" s="1296">
        <v>1240</v>
      </c>
      <c r="K1059" s="1296">
        <v>1240</v>
      </c>
    </row>
    <row r="1060" spans="1:11" s="551" customFormat="1">
      <c r="A1060" s="550"/>
      <c r="B1060" s="528" t="s">
        <v>1424</v>
      </c>
      <c r="C1060" s="551">
        <v>10</v>
      </c>
      <c r="D1060" s="1296">
        <v>10</v>
      </c>
      <c r="E1060" s="1296">
        <v>10</v>
      </c>
      <c r="F1060" s="1296">
        <v>10</v>
      </c>
      <c r="G1060" s="1296">
        <v>10</v>
      </c>
      <c r="H1060" s="1296">
        <v>10</v>
      </c>
      <c r="I1060" s="1296">
        <v>10</v>
      </c>
      <c r="J1060" s="1296">
        <v>10</v>
      </c>
      <c r="K1060" s="1296">
        <v>10</v>
      </c>
    </row>
    <row r="1061" spans="1:11" s="551" customFormat="1">
      <c r="A1061" s="550"/>
      <c r="B1061" s="528" t="s">
        <v>1425</v>
      </c>
      <c r="C1061" s="551">
        <v>124</v>
      </c>
      <c r="D1061" s="1296">
        <v>124</v>
      </c>
      <c r="E1061" s="1296">
        <v>124</v>
      </c>
      <c r="F1061" s="1296">
        <v>124</v>
      </c>
      <c r="G1061" s="1296">
        <v>124</v>
      </c>
      <c r="H1061" s="1296">
        <v>124</v>
      </c>
      <c r="I1061" s="1296">
        <v>124</v>
      </c>
      <c r="J1061" s="1296">
        <v>124</v>
      </c>
      <c r="K1061" s="1296">
        <v>124</v>
      </c>
    </row>
    <row r="1063" spans="1:11">
      <c r="A1063" s="159">
        <v>7.2</v>
      </c>
      <c r="B1063" s="527" t="s">
        <v>428</v>
      </c>
      <c r="D1063" s="1294"/>
      <c r="E1063" s="1294"/>
      <c r="F1063" s="1294"/>
      <c r="G1063" s="1294"/>
      <c r="H1063" s="1294"/>
      <c r="I1063" s="1294"/>
      <c r="J1063" s="1294"/>
      <c r="K1063" s="1294"/>
    </row>
    <row r="1064" spans="1:11" s="551" customFormat="1">
      <c r="A1064" s="550"/>
      <c r="B1064" s="528" t="s">
        <v>1426</v>
      </c>
      <c r="C1064" s="551">
        <v>155</v>
      </c>
      <c r="D1064" s="1296">
        <v>155</v>
      </c>
      <c r="E1064" s="1296">
        <v>155</v>
      </c>
      <c r="F1064" s="1296">
        <v>155</v>
      </c>
      <c r="G1064" s="1296">
        <v>155</v>
      </c>
      <c r="H1064" s="1296">
        <v>155</v>
      </c>
      <c r="I1064" s="1296">
        <v>155</v>
      </c>
      <c r="J1064" s="1296">
        <v>155</v>
      </c>
      <c r="K1064" s="1296">
        <v>155</v>
      </c>
    </row>
    <row r="1065" spans="1:11" s="551" customFormat="1">
      <c r="A1065" s="550"/>
      <c r="B1065" s="528" t="s">
        <v>1427</v>
      </c>
      <c r="C1065" s="551">
        <v>1240</v>
      </c>
      <c r="D1065" s="1296">
        <v>1240</v>
      </c>
      <c r="E1065" s="1296">
        <v>1240</v>
      </c>
      <c r="F1065" s="1296">
        <v>1240</v>
      </c>
      <c r="G1065" s="1296">
        <v>1240</v>
      </c>
      <c r="H1065" s="1296">
        <v>1240</v>
      </c>
      <c r="I1065" s="1296">
        <v>1240</v>
      </c>
      <c r="J1065" s="1296">
        <v>1240</v>
      </c>
      <c r="K1065" s="1296">
        <v>1240</v>
      </c>
    </row>
    <row r="1066" spans="1:11" s="551" customFormat="1">
      <c r="A1066" s="550"/>
      <c r="B1066" s="528" t="s">
        <v>1428</v>
      </c>
      <c r="C1066" s="551">
        <v>1240</v>
      </c>
      <c r="D1066" s="1296">
        <v>1240</v>
      </c>
      <c r="E1066" s="1296">
        <v>1240</v>
      </c>
      <c r="F1066" s="1296">
        <v>1240</v>
      </c>
      <c r="G1066" s="1296">
        <v>1240</v>
      </c>
      <c r="H1066" s="1296">
        <v>1240</v>
      </c>
      <c r="I1066" s="1296">
        <v>1240</v>
      </c>
      <c r="J1066" s="1296">
        <v>1240</v>
      </c>
      <c r="K1066" s="1296">
        <v>1240</v>
      </c>
    </row>
    <row r="1067" spans="1:11" s="551" customFormat="1">
      <c r="A1067" s="550"/>
      <c r="B1067" s="528" t="s">
        <v>1429</v>
      </c>
      <c r="C1067" s="551">
        <v>4960</v>
      </c>
      <c r="D1067" s="1296">
        <v>4960</v>
      </c>
      <c r="E1067" s="1296">
        <v>4960</v>
      </c>
      <c r="F1067" s="1296">
        <v>4960</v>
      </c>
      <c r="G1067" s="1296">
        <v>4960</v>
      </c>
      <c r="H1067" s="1296">
        <v>4960</v>
      </c>
      <c r="I1067" s="1296">
        <v>4960</v>
      </c>
      <c r="J1067" s="1296">
        <v>4960</v>
      </c>
      <c r="K1067" s="1296">
        <v>4960</v>
      </c>
    </row>
    <row r="1068" spans="1:11" s="551" customFormat="1">
      <c r="A1068" s="550"/>
      <c r="B1068" s="528" t="s">
        <v>1430</v>
      </c>
      <c r="C1068" s="551">
        <v>59520</v>
      </c>
      <c r="D1068" s="1296">
        <v>59520</v>
      </c>
      <c r="E1068" s="1296">
        <v>59520</v>
      </c>
      <c r="F1068" s="1296">
        <v>59520</v>
      </c>
      <c r="G1068" s="1296">
        <v>59520</v>
      </c>
      <c r="H1068" s="1296">
        <v>59520</v>
      </c>
      <c r="I1068" s="1296">
        <v>59520</v>
      </c>
      <c r="J1068" s="1296">
        <v>59520</v>
      </c>
      <c r="K1068" s="1296">
        <v>59520</v>
      </c>
    </row>
    <row r="1069" spans="1:11" s="551" customFormat="1">
      <c r="A1069" s="550"/>
      <c r="B1069" s="528" t="s">
        <v>1431</v>
      </c>
      <c r="C1069" s="551">
        <v>155</v>
      </c>
      <c r="D1069" s="1296">
        <v>155</v>
      </c>
      <c r="E1069" s="1296">
        <v>155</v>
      </c>
      <c r="F1069" s="1296">
        <v>155</v>
      </c>
      <c r="G1069" s="1296">
        <v>155</v>
      </c>
      <c r="H1069" s="1296">
        <v>155</v>
      </c>
      <c r="I1069" s="1296">
        <v>155</v>
      </c>
      <c r="J1069" s="1296">
        <v>155</v>
      </c>
      <c r="K1069" s="1296">
        <v>155</v>
      </c>
    </row>
    <row r="1070" spans="1:11" s="551" customFormat="1">
      <c r="A1070" s="550"/>
      <c r="B1070" s="528" t="s">
        <v>1432</v>
      </c>
      <c r="C1070" s="551">
        <v>1240</v>
      </c>
      <c r="D1070" s="1296">
        <v>1240</v>
      </c>
      <c r="E1070" s="1296">
        <v>1240</v>
      </c>
      <c r="F1070" s="1296">
        <v>1240</v>
      </c>
      <c r="G1070" s="1296">
        <v>1240</v>
      </c>
      <c r="H1070" s="1296">
        <v>1240</v>
      </c>
      <c r="I1070" s="1296">
        <v>1240</v>
      </c>
      <c r="J1070" s="1296">
        <v>1240</v>
      </c>
      <c r="K1070" s="1296">
        <v>1240</v>
      </c>
    </row>
    <row r="1071" spans="1:11" s="551" customFormat="1">
      <c r="A1071" s="550"/>
      <c r="B1071" s="528" t="s">
        <v>1433</v>
      </c>
      <c r="C1071" s="551">
        <v>1240</v>
      </c>
      <c r="D1071" s="1296">
        <v>1240</v>
      </c>
      <c r="E1071" s="1296">
        <v>1240</v>
      </c>
      <c r="F1071" s="1296">
        <v>1240</v>
      </c>
      <c r="G1071" s="1296">
        <v>1240</v>
      </c>
      <c r="H1071" s="1296">
        <v>1240</v>
      </c>
      <c r="I1071" s="1296">
        <v>1240</v>
      </c>
      <c r="J1071" s="1296">
        <v>1240</v>
      </c>
      <c r="K1071" s="1296">
        <v>1240</v>
      </c>
    </row>
    <row r="1072" spans="1:11" s="551" customFormat="1">
      <c r="A1072" s="550"/>
      <c r="B1072" s="528" t="s">
        <v>1434</v>
      </c>
      <c r="C1072" s="551">
        <v>4960</v>
      </c>
      <c r="D1072" s="1296">
        <v>4960</v>
      </c>
      <c r="E1072" s="1296">
        <v>4960</v>
      </c>
      <c r="F1072" s="1296">
        <v>4960</v>
      </c>
      <c r="G1072" s="1296">
        <v>4960</v>
      </c>
      <c r="H1072" s="1296">
        <v>4960</v>
      </c>
      <c r="I1072" s="1296">
        <v>4960</v>
      </c>
      <c r="J1072" s="1296">
        <v>4960</v>
      </c>
      <c r="K1072" s="1296">
        <v>4960</v>
      </c>
    </row>
    <row r="1073" spans="1:11" s="551" customFormat="1">
      <c r="A1073" s="550"/>
      <c r="B1073" s="528" t="s">
        <v>1435</v>
      </c>
      <c r="C1073" s="551">
        <v>59520</v>
      </c>
      <c r="D1073" s="1296">
        <v>59520</v>
      </c>
      <c r="E1073" s="1296">
        <v>59520</v>
      </c>
      <c r="F1073" s="1296">
        <v>59520</v>
      </c>
      <c r="G1073" s="1296">
        <v>59520</v>
      </c>
      <c r="H1073" s="1296">
        <v>59520</v>
      </c>
      <c r="I1073" s="1296">
        <v>59520</v>
      </c>
      <c r="J1073" s="1296">
        <v>59520</v>
      </c>
      <c r="K1073" s="1296">
        <v>59520</v>
      </c>
    </row>
    <row r="1074" spans="1:11" s="551" customFormat="1">
      <c r="A1074" s="550"/>
      <c r="B1074" s="528" t="s">
        <v>1436</v>
      </c>
      <c r="C1074" s="551">
        <v>155</v>
      </c>
      <c r="D1074" s="1296">
        <v>155</v>
      </c>
      <c r="E1074" s="1296">
        <v>155</v>
      </c>
      <c r="F1074" s="1296">
        <v>155</v>
      </c>
      <c r="G1074" s="1296">
        <v>155</v>
      </c>
      <c r="H1074" s="1296">
        <v>155</v>
      </c>
      <c r="I1074" s="1296">
        <v>155</v>
      </c>
      <c r="J1074" s="1296">
        <v>155</v>
      </c>
      <c r="K1074" s="1296">
        <v>155</v>
      </c>
    </row>
    <row r="1075" spans="1:11" s="551" customFormat="1">
      <c r="A1075" s="550"/>
      <c r="B1075" s="528" t="s">
        <v>1437</v>
      </c>
      <c r="C1075" s="551">
        <v>1240</v>
      </c>
      <c r="D1075" s="1296">
        <v>1240</v>
      </c>
      <c r="E1075" s="1296">
        <v>1240</v>
      </c>
      <c r="F1075" s="1296">
        <v>1240</v>
      </c>
      <c r="G1075" s="1296">
        <v>1240</v>
      </c>
      <c r="H1075" s="1296">
        <v>1240</v>
      </c>
      <c r="I1075" s="1296">
        <v>1240</v>
      </c>
      <c r="J1075" s="1296">
        <v>1240</v>
      </c>
      <c r="K1075" s="1296">
        <v>1240</v>
      </c>
    </row>
    <row r="1076" spans="1:11" s="551" customFormat="1">
      <c r="A1076" s="550"/>
      <c r="B1076" s="528" t="s">
        <v>1438</v>
      </c>
      <c r="C1076" s="551">
        <v>1240</v>
      </c>
      <c r="D1076" s="1296">
        <v>1240</v>
      </c>
      <c r="E1076" s="1296">
        <v>1240</v>
      </c>
      <c r="F1076" s="1296">
        <v>1240</v>
      </c>
      <c r="G1076" s="1296">
        <v>1240</v>
      </c>
      <c r="H1076" s="1296">
        <v>1240</v>
      </c>
      <c r="I1076" s="1296">
        <v>1240</v>
      </c>
      <c r="J1076" s="1296">
        <v>1240</v>
      </c>
      <c r="K1076" s="1296">
        <v>1240</v>
      </c>
    </row>
    <row r="1077" spans="1:11" s="551" customFormat="1">
      <c r="A1077" s="550"/>
      <c r="B1077" s="528" t="s">
        <v>1439</v>
      </c>
      <c r="C1077" s="551">
        <v>4960</v>
      </c>
      <c r="D1077" s="1296">
        <v>4960</v>
      </c>
      <c r="E1077" s="1296">
        <v>4960</v>
      </c>
      <c r="F1077" s="1296">
        <v>4960</v>
      </c>
      <c r="G1077" s="1296">
        <v>4960</v>
      </c>
      <c r="H1077" s="1296">
        <v>4960</v>
      </c>
      <c r="I1077" s="1296">
        <v>4960</v>
      </c>
      <c r="J1077" s="1296">
        <v>4960</v>
      </c>
      <c r="K1077" s="1296">
        <v>4960</v>
      </c>
    </row>
    <row r="1078" spans="1:11" s="551" customFormat="1">
      <c r="A1078" s="550"/>
      <c r="B1078" s="528" t="s">
        <v>1440</v>
      </c>
      <c r="C1078" s="551">
        <v>59520</v>
      </c>
      <c r="D1078" s="1296">
        <v>59520</v>
      </c>
      <c r="E1078" s="1296">
        <v>59520</v>
      </c>
      <c r="F1078" s="1296">
        <v>59520</v>
      </c>
      <c r="G1078" s="1296">
        <v>59520</v>
      </c>
      <c r="H1078" s="1296">
        <v>59520</v>
      </c>
      <c r="I1078" s="1296">
        <v>59520</v>
      </c>
      <c r="J1078" s="1296">
        <v>59520</v>
      </c>
      <c r="K1078" s="1296">
        <v>59520</v>
      </c>
    </row>
    <row r="1079" spans="1:11" s="551" customFormat="1">
      <c r="A1079" s="550"/>
      <c r="B1079" s="528" t="s">
        <v>1441</v>
      </c>
      <c r="C1079" s="551">
        <v>155</v>
      </c>
      <c r="D1079" s="1296">
        <v>155</v>
      </c>
      <c r="E1079" s="1296">
        <v>155</v>
      </c>
      <c r="F1079" s="1296">
        <v>155</v>
      </c>
      <c r="G1079" s="1296">
        <v>155</v>
      </c>
      <c r="H1079" s="1296">
        <v>155</v>
      </c>
      <c r="I1079" s="1296">
        <v>155</v>
      </c>
      <c r="J1079" s="1296">
        <v>155</v>
      </c>
      <c r="K1079" s="1296">
        <v>155</v>
      </c>
    </row>
    <row r="1080" spans="1:11" s="551" customFormat="1">
      <c r="A1080" s="550"/>
      <c r="B1080" s="528" t="s">
        <v>1442</v>
      </c>
      <c r="C1080" s="551">
        <v>1240</v>
      </c>
      <c r="D1080" s="1296">
        <v>1240</v>
      </c>
      <c r="E1080" s="1296">
        <v>1240</v>
      </c>
      <c r="F1080" s="1296">
        <v>1240</v>
      </c>
      <c r="G1080" s="1296">
        <v>1240</v>
      </c>
      <c r="H1080" s="1296">
        <v>1240</v>
      </c>
      <c r="I1080" s="1296">
        <v>1240</v>
      </c>
      <c r="J1080" s="1296">
        <v>1240</v>
      </c>
      <c r="K1080" s="1296">
        <v>1240</v>
      </c>
    </row>
    <row r="1081" spans="1:11" s="551" customFormat="1">
      <c r="A1081" s="550"/>
      <c r="B1081" s="528" t="s">
        <v>1443</v>
      </c>
      <c r="C1081" s="551">
        <v>1240</v>
      </c>
      <c r="D1081" s="1296">
        <v>1240</v>
      </c>
      <c r="E1081" s="1296">
        <v>1240</v>
      </c>
      <c r="F1081" s="1296">
        <v>1240</v>
      </c>
      <c r="G1081" s="1296">
        <v>1240</v>
      </c>
      <c r="H1081" s="1296">
        <v>1240</v>
      </c>
      <c r="I1081" s="1296">
        <v>1240</v>
      </c>
      <c r="J1081" s="1296">
        <v>1240</v>
      </c>
      <c r="K1081" s="1296">
        <v>1240</v>
      </c>
    </row>
    <row r="1082" spans="1:11" s="551" customFormat="1">
      <c r="A1082" s="550"/>
      <c r="B1082" s="528" t="s">
        <v>1444</v>
      </c>
      <c r="C1082" s="551">
        <v>4960</v>
      </c>
      <c r="D1082" s="1296">
        <v>4960</v>
      </c>
      <c r="E1082" s="1296">
        <v>4960</v>
      </c>
      <c r="F1082" s="1296">
        <v>4960</v>
      </c>
      <c r="G1082" s="1296">
        <v>4960</v>
      </c>
      <c r="H1082" s="1296">
        <v>4960</v>
      </c>
      <c r="I1082" s="1296">
        <v>4960</v>
      </c>
      <c r="J1082" s="1296">
        <v>4960</v>
      </c>
      <c r="K1082" s="1296">
        <v>4960</v>
      </c>
    </row>
    <row r="1083" spans="1:11" s="551" customFormat="1">
      <c r="A1083" s="550"/>
      <c r="B1083" s="528" t="s">
        <v>1445</v>
      </c>
      <c r="C1083" s="551">
        <v>59520</v>
      </c>
      <c r="D1083" s="1296">
        <v>59520</v>
      </c>
      <c r="E1083" s="1296">
        <v>59520</v>
      </c>
      <c r="F1083" s="1296">
        <v>59520</v>
      </c>
      <c r="G1083" s="1296">
        <v>59520</v>
      </c>
      <c r="H1083" s="1296">
        <v>59520</v>
      </c>
      <c r="I1083" s="1296">
        <v>59520</v>
      </c>
      <c r="J1083" s="1296">
        <v>59520</v>
      </c>
      <c r="K1083" s="1296">
        <v>59520</v>
      </c>
    </row>
    <row r="1084" spans="1:11" s="551" customFormat="1">
      <c r="A1084" s="550"/>
      <c r="B1084" s="528" t="s">
        <v>1446</v>
      </c>
      <c r="C1084" s="551">
        <v>155</v>
      </c>
      <c r="D1084" s="1296">
        <v>155</v>
      </c>
      <c r="E1084" s="1296">
        <v>155</v>
      </c>
      <c r="F1084" s="1296">
        <v>155</v>
      </c>
      <c r="G1084" s="1296">
        <v>155</v>
      </c>
      <c r="H1084" s="1296">
        <v>155</v>
      </c>
      <c r="I1084" s="1296">
        <v>155</v>
      </c>
      <c r="J1084" s="1296">
        <v>155</v>
      </c>
      <c r="K1084" s="1296">
        <v>155</v>
      </c>
    </row>
    <row r="1085" spans="1:11" s="551" customFormat="1">
      <c r="A1085" s="550"/>
      <c r="B1085" s="528" t="s">
        <v>1447</v>
      </c>
      <c r="C1085" s="551">
        <v>1240</v>
      </c>
      <c r="D1085" s="1296">
        <v>1240</v>
      </c>
      <c r="E1085" s="1296">
        <v>1240</v>
      </c>
      <c r="F1085" s="1296">
        <v>1240</v>
      </c>
      <c r="G1085" s="1296">
        <v>1240</v>
      </c>
      <c r="H1085" s="1296">
        <v>1240</v>
      </c>
      <c r="I1085" s="1296">
        <v>1240</v>
      </c>
      <c r="J1085" s="1296">
        <v>1240</v>
      </c>
      <c r="K1085" s="1296">
        <v>1240</v>
      </c>
    </row>
    <row r="1086" spans="1:11" s="551" customFormat="1">
      <c r="A1086" s="550"/>
      <c r="B1086" s="528" t="s">
        <v>1448</v>
      </c>
      <c r="C1086" s="551">
        <v>1240</v>
      </c>
      <c r="D1086" s="1296">
        <v>1240</v>
      </c>
      <c r="E1086" s="1296">
        <v>1240</v>
      </c>
      <c r="F1086" s="1296">
        <v>1240</v>
      </c>
      <c r="G1086" s="1296">
        <v>1240</v>
      </c>
      <c r="H1086" s="1296">
        <v>1240</v>
      </c>
      <c r="I1086" s="1296">
        <v>1240</v>
      </c>
      <c r="J1086" s="1296">
        <v>1240</v>
      </c>
      <c r="K1086" s="1296">
        <v>1240</v>
      </c>
    </row>
    <row r="1087" spans="1:11" s="551" customFormat="1">
      <c r="A1087" s="550"/>
      <c r="B1087" s="528" t="s">
        <v>1449</v>
      </c>
      <c r="C1087" s="551">
        <v>4960</v>
      </c>
      <c r="D1087" s="1296">
        <v>4960</v>
      </c>
      <c r="E1087" s="1296">
        <v>4960</v>
      </c>
      <c r="F1087" s="1296">
        <v>4960</v>
      </c>
      <c r="G1087" s="1296">
        <v>4960</v>
      </c>
      <c r="H1087" s="1296">
        <v>4960</v>
      </c>
      <c r="I1087" s="1296">
        <v>4960</v>
      </c>
      <c r="J1087" s="1296">
        <v>4960</v>
      </c>
      <c r="K1087" s="1296">
        <v>4960</v>
      </c>
    </row>
    <row r="1088" spans="1:11" s="551" customFormat="1">
      <c r="A1088" s="550"/>
      <c r="B1088" s="528" t="s">
        <v>1450</v>
      </c>
      <c r="C1088" s="551">
        <v>59520</v>
      </c>
      <c r="D1088" s="1296">
        <v>59520</v>
      </c>
      <c r="E1088" s="1296">
        <v>59520</v>
      </c>
      <c r="F1088" s="1296">
        <v>59520</v>
      </c>
      <c r="G1088" s="1296">
        <v>59520</v>
      </c>
      <c r="H1088" s="1296">
        <v>59520</v>
      </c>
      <c r="I1088" s="1296">
        <v>59520</v>
      </c>
      <c r="J1088" s="1296">
        <v>59520</v>
      </c>
      <c r="K1088" s="1296">
        <v>59520</v>
      </c>
    </row>
    <row r="1089" spans="1:11" s="551" customFormat="1">
      <c r="A1089" s="550"/>
      <c r="B1089" s="528" t="s">
        <v>1451</v>
      </c>
      <c r="C1089" s="551">
        <v>155</v>
      </c>
      <c r="D1089" s="1296">
        <v>155</v>
      </c>
      <c r="E1089" s="1296">
        <v>155</v>
      </c>
      <c r="F1089" s="1296">
        <v>155</v>
      </c>
      <c r="G1089" s="1296">
        <v>155</v>
      </c>
      <c r="H1089" s="1296">
        <v>155</v>
      </c>
      <c r="I1089" s="1296">
        <v>155</v>
      </c>
      <c r="J1089" s="1296">
        <v>155</v>
      </c>
      <c r="K1089" s="1296">
        <v>155</v>
      </c>
    </row>
    <row r="1090" spans="1:11" s="551" customFormat="1">
      <c r="A1090" s="550"/>
      <c r="B1090" s="528" t="s">
        <v>1452</v>
      </c>
      <c r="C1090" s="551">
        <v>1240</v>
      </c>
      <c r="D1090" s="1296">
        <v>1240</v>
      </c>
      <c r="E1090" s="1296">
        <v>1240</v>
      </c>
      <c r="F1090" s="1296">
        <v>1240</v>
      </c>
      <c r="G1090" s="1296">
        <v>1240</v>
      </c>
      <c r="H1090" s="1296">
        <v>1240</v>
      </c>
      <c r="I1090" s="1296">
        <v>1240</v>
      </c>
      <c r="J1090" s="1296">
        <v>1240</v>
      </c>
      <c r="K1090" s="1296">
        <v>1240</v>
      </c>
    </row>
    <row r="1091" spans="1:11" s="551" customFormat="1">
      <c r="A1091" s="550"/>
      <c r="B1091" s="528" t="s">
        <v>1453</v>
      </c>
      <c r="C1091" s="551">
        <v>1240</v>
      </c>
      <c r="D1091" s="1296">
        <v>1240</v>
      </c>
      <c r="E1091" s="1296">
        <v>1240</v>
      </c>
      <c r="F1091" s="1296">
        <v>1240</v>
      </c>
      <c r="G1091" s="1296">
        <v>1240</v>
      </c>
      <c r="H1091" s="1296">
        <v>1240</v>
      </c>
      <c r="I1091" s="1296">
        <v>1240</v>
      </c>
      <c r="J1091" s="1296">
        <v>1240</v>
      </c>
      <c r="K1091" s="1296">
        <v>1240</v>
      </c>
    </row>
    <row r="1092" spans="1:11" s="551" customFormat="1">
      <c r="A1092" s="550"/>
      <c r="B1092" s="528" t="s">
        <v>1454</v>
      </c>
      <c r="C1092" s="551">
        <v>4960</v>
      </c>
      <c r="D1092" s="1296">
        <v>4960</v>
      </c>
      <c r="E1092" s="1296">
        <v>4960</v>
      </c>
      <c r="F1092" s="1296">
        <v>4960</v>
      </c>
      <c r="G1092" s="1296">
        <v>4960</v>
      </c>
      <c r="H1092" s="1296">
        <v>4960</v>
      </c>
      <c r="I1092" s="1296">
        <v>4960</v>
      </c>
      <c r="J1092" s="1296">
        <v>4960</v>
      </c>
      <c r="K1092" s="1296">
        <v>4960</v>
      </c>
    </row>
    <row r="1093" spans="1:11" s="551" customFormat="1">
      <c r="A1093" s="550"/>
      <c r="B1093" s="528" t="s">
        <v>1455</v>
      </c>
      <c r="C1093" s="551">
        <v>59520</v>
      </c>
      <c r="D1093" s="1296">
        <v>59520</v>
      </c>
      <c r="E1093" s="1296">
        <v>59520</v>
      </c>
      <c r="F1093" s="1296">
        <v>59520</v>
      </c>
      <c r="G1093" s="1296">
        <v>59520</v>
      </c>
      <c r="H1093" s="1296">
        <v>59520</v>
      </c>
      <c r="I1093" s="1296">
        <v>59520</v>
      </c>
      <c r="J1093" s="1296">
        <v>59520</v>
      </c>
      <c r="K1093" s="1296">
        <v>59520</v>
      </c>
    </row>
    <row r="1094" spans="1:11" s="551" customFormat="1">
      <c r="A1094" s="550"/>
      <c r="B1094" s="528" t="s">
        <v>1456</v>
      </c>
      <c r="C1094" s="551">
        <v>155</v>
      </c>
      <c r="D1094" s="1296">
        <v>155</v>
      </c>
      <c r="E1094" s="1296">
        <v>155</v>
      </c>
      <c r="F1094" s="1296">
        <v>155</v>
      </c>
      <c r="G1094" s="1296">
        <v>155</v>
      </c>
      <c r="H1094" s="1296">
        <v>155</v>
      </c>
      <c r="I1094" s="1296">
        <v>155</v>
      </c>
      <c r="J1094" s="1296">
        <v>155</v>
      </c>
      <c r="K1094" s="1296">
        <v>155</v>
      </c>
    </row>
    <row r="1095" spans="1:11" s="551" customFormat="1">
      <c r="A1095" s="550"/>
      <c r="B1095" s="528" t="s">
        <v>1457</v>
      </c>
      <c r="C1095" s="551">
        <v>1240</v>
      </c>
      <c r="D1095" s="1296">
        <v>1240</v>
      </c>
      <c r="E1095" s="1296">
        <v>1240</v>
      </c>
      <c r="F1095" s="1296">
        <v>1240</v>
      </c>
      <c r="G1095" s="1296">
        <v>1240</v>
      </c>
      <c r="H1095" s="1296">
        <v>1240</v>
      </c>
      <c r="I1095" s="1296">
        <v>1240</v>
      </c>
      <c r="J1095" s="1296">
        <v>1240</v>
      </c>
      <c r="K1095" s="1296">
        <v>1240</v>
      </c>
    </row>
    <row r="1096" spans="1:11" s="551" customFormat="1">
      <c r="A1096" s="550"/>
      <c r="B1096" s="528" t="s">
        <v>1458</v>
      </c>
      <c r="C1096" s="551">
        <v>1240</v>
      </c>
      <c r="D1096" s="1296">
        <v>1240</v>
      </c>
      <c r="E1096" s="1296">
        <v>1240</v>
      </c>
      <c r="F1096" s="1296">
        <v>1240</v>
      </c>
      <c r="G1096" s="1296">
        <v>1240</v>
      </c>
      <c r="H1096" s="1296">
        <v>1240</v>
      </c>
      <c r="I1096" s="1296">
        <v>1240</v>
      </c>
      <c r="J1096" s="1296">
        <v>1240</v>
      </c>
      <c r="K1096" s="1296">
        <v>1240</v>
      </c>
    </row>
    <row r="1097" spans="1:11" s="551" customFormat="1">
      <c r="A1097" s="550"/>
      <c r="B1097" s="528" t="s">
        <v>1459</v>
      </c>
      <c r="C1097" s="551">
        <v>4960</v>
      </c>
      <c r="D1097" s="1296">
        <v>4960</v>
      </c>
      <c r="E1097" s="1296">
        <v>4960</v>
      </c>
      <c r="F1097" s="1296">
        <v>4960</v>
      </c>
      <c r="G1097" s="1296">
        <v>4960</v>
      </c>
      <c r="H1097" s="1296">
        <v>4960</v>
      </c>
      <c r="I1097" s="1296">
        <v>4960</v>
      </c>
      <c r="J1097" s="1296">
        <v>4960</v>
      </c>
      <c r="K1097" s="1296">
        <v>4960</v>
      </c>
    </row>
    <row r="1098" spans="1:11" s="551" customFormat="1">
      <c r="A1098" s="550"/>
      <c r="B1098" s="528" t="s">
        <v>1460</v>
      </c>
      <c r="C1098" s="551">
        <v>59520</v>
      </c>
      <c r="D1098" s="1296">
        <v>59520</v>
      </c>
      <c r="E1098" s="1296">
        <v>59520</v>
      </c>
      <c r="F1098" s="1296">
        <v>59520</v>
      </c>
      <c r="G1098" s="1296">
        <v>59520</v>
      </c>
      <c r="H1098" s="1296">
        <v>59520</v>
      </c>
      <c r="I1098" s="1296">
        <v>59520</v>
      </c>
      <c r="J1098" s="1296">
        <v>59520</v>
      </c>
      <c r="K1098" s="1296">
        <v>59520</v>
      </c>
    </row>
    <row r="1099" spans="1:11" s="551" customFormat="1">
      <c r="A1099" s="550"/>
      <c r="B1099" s="528" t="s">
        <v>1461</v>
      </c>
      <c r="C1099" s="551">
        <v>155</v>
      </c>
      <c r="D1099" s="1296">
        <v>155</v>
      </c>
      <c r="E1099" s="1296">
        <v>155</v>
      </c>
      <c r="F1099" s="1296">
        <v>155</v>
      </c>
      <c r="G1099" s="1296">
        <v>155</v>
      </c>
      <c r="H1099" s="1296">
        <v>155</v>
      </c>
      <c r="I1099" s="1296">
        <v>155</v>
      </c>
      <c r="J1099" s="1296">
        <v>155</v>
      </c>
      <c r="K1099" s="1296">
        <v>155</v>
      </c>
    </row>
    <row r="1100" spans="1:11" s="551" customFormat="1">
      <c r="A1100" s="550"/>
      <c r="B1100" s="528" t="s">
        <v>1462</v>
      </c>
      <c r="C1100" s="551">
        <v>1240</v>
      </c>
      <c r="D1100" s="1296">
        <v>1240</v>
      </c>
      <c r="E1100" s="1296">
        <v>1240</v>
      </c>
      <c r="F1100" s="1296">
        <v>1240</v>
      </c>
      <c r="G1100" s="1296">
        <v>1240</v>
      </c>
      <c r="H1100" s="1296">
        <v>1240</v>
      </c>
      <c r="I1100" s="1296">
        <v>1240</v>
      </c>
      <c r="J1100" s="1296">
        <v>1240</v>
      </c>
      <c r="K1100" s="1296">
        <v>1240</v>
      </c>
    </row>
    <row r="1101" spans="1:11" s="551" customFormat="1">
      <c r="A1101" s="550"/>
      <c r="B1101" s="528" t="s">
        <v>1463</v>
      </c>
      <c r="C1101" s="551">
        <v>1240</v>
      </c>
      <c r="D1101" s="1296">
        <v>1240</v>
      </c>
      <c r="E1101" s="1296">
        <v>1240</v>
      </c>
      <c r="F1101" s="1296">
        <v>1240</v>
      </c>
      <c r="G1101" s="1296">
        <v>1240</v>
      </c>
      <c r="H1101" s="1296">
        <v>1240</v>
      </c>
      <c r="I1101" s="1296">
        <v>1240</v>
      </c>
      <c r="J1101" s="1296">
        <v>1240</v>
      </c>
      <c r="K1101" s="1296">
        <v>1240</v>
      </c>
    </row>
    <row r="1102" spans="1:11" s="551" customFormat="1">
      <c r="A1102" s="550"/>
      <c r="B1102" s="528" t="s">
        <v>1464</v>
      </c>
      <c r="C1102" s="551">
        <v>4960</v>
      </c>
      <c r="D1102" s="1296">
        <v>4960</v>
      </c>
      <c r="E1102" s="1296">
        <v>4960</v>
      </c>
      <c r="F1102" s="1296">
        <v>4960</v>
      </c>
      <c r="G1102" s="1296">
        <v>4960</v>
      </c>
      <c r="H1102" s="1296">
        <v>4960</v>
      </c>
      <c r="I1102" s="1296">
        <v>4960</v>
      </c>
      <c r="J1102" s="1296">
        <v>4960</v>
      </c>
      <c r="K1102" s="1296">
        <v>4960</v>
      </c>
    </row>
    <row r="1103" spans="1:11" s="551" customFormat="1">
      <c r="A1103" s="550"/>
      <c r="B1103" s="528" t="s">
        <v>1465</v>
      </c>
      <c r="C1103" s="551">
        <v>59520</v>
      </c>
      <c r="D1103" s="1296">
        <v>59520</v>
      </c>
      <c r="E1103" s="1296">
        <v>59520</v>
      </c>
      <c r="F1103" s="1296">
        <v>59520</v>
      </c>
      <c r="G1103" s="1296">
        <v>59520</v>
      </c>
      <c r="H1103" s="1296">
        <v>59520</v>
      </c>
      <c r="I1103" s="1296">
        <v>59520</v>
      </c>
      <c r="J1103" s="1296">
        <v>59520</v>
      </c>
      <c r="K1103" s="1296">
        <v>59520</v>
      </c>
    </row>
    <row r="1104" spans="1:11">
      <c r="A1104" s="159"/>
      <c r="B1104" s="527"/>
    </row>
    <row r="1105" spans="1:2">
      <c r="A1105" s="159"/>
      <c r="B1105" s="527"/>
    </row>
    <row r="1106" spans="1:2">
      <c r="A1106" s="159"/>
      <c r="B1106" s="527"/>
    </row>
    <row r="1107" spans="1:2">
      <c r="A1107" s="159"/>
      <c r="B1107" s="527"/>
    </row>
    <row r="1108" spans="1:2" s="551" customFormat="1">
      <c r="A1108" s="550"/>
      <c r="B1108" s="528"/>
    </row>
    <row r="1109" spans="1:2" s="551" customFormat="1">
      <c r="A1109" s="550"/>
      <c r="B1109" s="528"/>
    </row>
    <row r="1110" spans="1:2" s="551" customFormat="1">
      <c r="A1110" s="550"/>
      <c r="B1110" s="528"/>
    </row>
    <row r="1111" spans="1:2" s="551" customFormat="1">
      <c r="A1111" s="550"/>
      <c r="B1111" s="528"/>
    </row>
  </sheetData>
  <sheetProtection algorithmName="SHA-512" hashValue="SZgpcWJaxFEJOCE6c4PrGlzDyKRqGUDDs8/CBwO+RT9E+gy6dYjHWQ5WxFaUVFnC/n+4i7KTbLnYtiG2y/TRng==" saltValue="INHWAFrSZ6srg6HqUhgeOg==" spinCount="100000" sheet="1" objects="1" scenarios="1"/>
  <mergeCells count="1">
    <mergeCell ref="C1:I1"/>
  </mergeCells>
  <conditionalFormatting sqref="C50:C1108">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000" customWidth="1"/>
    <col min="8" max="8" width="13.42578125" customWidth="1"/>
    <col min="9" max="9" width="14.85546875" style="769" customWidth="1"/>
    <col min="10" max="10" width="14.140625" customWidth="1"/>
    <col min="11" max="11" width="10.85546875" bestFit="1" customWidth="1"/>
    <col min="12" max="12" width="10.5703125" bestFit="1" customWidth="1"/>
    <col min="15" max="15" width="9.140625" style="769"/>
    <col min="18" max="18" width="9.140625" style="769"/>
  </cols>
  <sheetData>
    <row r="1" spans="1:9" customFormat="1" ht="15.75" customHeight="1"/>
    <row r="2" spans="1:9" customFormat="1" ht="15.75">
      <c r="B2" s="563" t="str">
        <f>"Cycle in Calculation "&amp;MCSCycle</f>
        <v xml:space="preserve">Cycle in Calculation </v>
      </c>
      <c r="C2" s="563" t="str">
        <f>"Required Number of Interactions "&amp;MCSRun</f>
        <v>Required Number of Interactions 100</v>
      </c>
      <c r="G2" s="563" t="str">
        <f>"Current interaction "&amp;MCSInt</f>
        <v>Current interaction 0</v>
      </c>
    </row>
    <row r="3" spans="1:9" customFormat="1" ht="15.75">
      <c r="A3" s="564">
        <v>0</v>
      </c>
      <c r="B3" s="565" t="s">
        <v>532</v>
      </c>
      <c r="C3" s="566"/>
      <c r="D3" s="567"/>
      <c r="E3" s="567"/>
      <c r="F3" s="567"/>
      <c r="G3" s="563"/>
    </row>
    <row r="4" spans="1:9" customFormat="1" ht="15.75">
      <c r="B4" s="568" t="s">
        <v>533</v>
      </c>
      <c r="C4" s="569" t="s">
        <v>534</v>
      </c>
      <c r="D4" s="570" t="s">
        <v>535</v>
      </c>
      <c r="E4" s="571" t="s">
        <v>157</v>
      </c>
      <c r="F4" s="571" t="s">
        <v>156</v>
      </c>
      <c r="G4" s="571" t="s">
        <v>536</v>
      </c>
      <c r="H4" s="571" t="s">
        <v>537</v>
      </c>
      <c r="I4" s="571" t="s">
        <v>538</v>
      </c>
    </row>
    <row r="5" spans="1:9" customFormat="1" ht="15.75">
      <c r="B5" s="572"/>
      <c r="C5" s="573"/>
      <c r="D5" s="568"/>
      <c r="E5" s="572"/>
      <c r="F5" s="572"/>
      <c r="G5" s="572">
        <v>0</v>
      </c>
      <c r="H5" s="574">
        <v>0.5</v>
      </c>
      <c r="I5" s="575">
        <v>0.05</v>
      </c>
    </row>
    <row r="6" spans="1:9" customFormat="1" ht="15.75">
      <c r="B6" s="576"/>
      <c r="C6" s="577" t="s">
        <v>101</v>
      </c>
      <c r="D6" s="578" t="s">
        <v>0</v>
      </c>
      <c r="E6" s="576"/>
      <c r="F6" s="576"/>
      <c r="G6" s="576"/>
      <c r="H6" s="579"/>
      <c r="I6" s="580"/>
    </row>
    <row r="7" spans="1:9" customFormat="1" ht="15.75">
      <c r="B7" s="1264">
        <v>1.25</v>
      </c>
      <c r="C7" s="1263"/>
      <c r="D7" s="1263" t="s">
        <v>448</v>
      </c>
      <c r="E7" s="1263"/>
      <c r="F7" s="1263"/>
      <c r="G7" s="1263"/>
      <c r="H7" s="1263"/>
      <c r="I7" s="1263"/>
    </row>
    <row r="8" spans="1:9" customFormat="1" ht="15.75">
      <c r="B8" s="1262">
        <v>1.26</v>
      </c>
      <c r="C8" s="1259"/>
      <c r="D8" s="1259" t="s">
        <v>448</v>
      </c>
      <c r="E8" s="1259"/>
      <c r="F8" s="1259"/>
      <c r="G8" s="1259"/>
      <c r="H8" s="1259"/>
      <c r="I8" s="1259"/>
    </row>
    <row r="9" spans="1:9" customFormat="1" ht="15.75">
      <c r="B9" s="1262">
        <v>1.31</v>
      </c>
      <c r="C9" s="1259" t="s">
        <v>118</v>
      </c>
      <c r="D9" s="1259" t="s">
        <v>448</v>
      </c>
      <c r="E9" s="1259"/>
      <c r="F9" s="1259"/>
      <c r="G9" s="1259"/>
      <c r="H9" s="1259"/>
      <c r="I9" s="1259"/>
    </row>
    <row r="10" spans="1:9" customFormat="1" ht="15.75">
      <c r="B10" s="1262">
        <v>1.41</v>
      </c>
      <c r="C10" s="1259"/>
      <c r="D10" s="1259" t="s">
        <v>448</v>
      </c>
      <c r="E10" s="1259"/>
      <c r="F10" s="1259"/>
      <c r="G10" s="1259"/>
      <c r="H10" s="1259"/>
      <c r="I10" s="1259"/>
    </row>
    <row r="11" spans="1:9" customFormat="1" ht="15.75">
      <c r="B11" s="1262">
        <v>1.41</v>
      </c>
      <c r="C11" s="1259" t="s">
        <v>539</v>
      </c>
      <c r="D11" s="1259"/>
      <c r="E11" s="1259"/>
      <c r="F11" s="1259"/>
      <c r="G11" s="1259">
        <v>5.5E-2</v>
      </c>
      <c r="H11" s="1259">
        <v>8.2000000000000003E-2</v>
      </c>
      <c r="I11" s="1259"/>
    </row>
    <row r="12" spans="1:9" customFormat="1" ht="15.75">
      <c r="B12" s="1262">
        <v>1.41</v>
      </c>
      <c r="C12" s="1259" t="s">
        <v>540</v>
      </c>
      <c r="D12" s="1259"/>
      <c r="E12" s="1259"/>
      <c r="F12" s="1259"/>
      <c r="G12" s="1259">
        <v>5.5E-2</v>
      </c>
      <c r="H12" s="1259">
        <v>8.2000000000000003E-2</v>
      </c>
      <c r="I12" s="1259"/>
    </row>
    <row r="13" spans="1:9" customFormat="1" ht="15.75">
      <c r="B13" s="1262">
        <v>1.41</v>
      </c>
      <c r="C13" s="1259" t="s">
        <v>541</v>
      </c>
      <c r="D13" s="1259"/>
      <c r="E13" s="1259"/>
      <c r="F13" s="1259"/>
      <c r="G13" s="1259">
        <v>5.5E-2</v>
      </c>
      <c r="H13" s="1259">
        <v>8.2000000000000003E-2</v>
      </c>
      <c r="I13" s="1259"/>
    </row>
    <row r="14" spans="1:9" customFormat="1" ht="15.75">
      <c r="B14" s="1262">
        <v>1.24</v>
      </c>
      <c r="C14" s="1259"/>
      <c r="D14" s="1259" t="s">
        <v>448</v>
      </c>
      <c r="E14" s="1259"/>
      <c r="F14" s="1259"/>
      <c r="G14" s="1259"/>
      <c r="H14" s="1259"/>
      <c r="I14" s="1259"/>
    </row>
    <row r="15" spans="1:9" customFormat="1" ht="15.75">
      <c r="B15" s="1262">
        <v>1.1200000000000001</v>
      </c>
      <c r="C15" s="1259" t="s">
        <v>449</v>
      </c>
      <c r="D15" s="1259"/>
      <c r="E15" s="1259"/>
      <c r="F15" s="1259"/>
      <c r="G15" s="1259">
        <v>0</v>
      </c>
      <c r="H15" s="1259">
        <v>0.35</v>
      </c>
      <c r="I15" s="1259"/>
    </row>
    <row r="16" spans="1:9" customFormat="1" ht="15.75">
      <c r="B16" s="1262">
        <v>1.1200000000000001</v>
      </c>
      <c r="C16" s="1259" t="s">
        <v>450</v>
      </c>
      <c r="D16" s="1259"/>
      <c r="E16" s="1259"/>
      <c r="F16" s="1259"/>
      <c r="G16" s="1259">
        <v>0</v>
      </c>
      <c r="H16" s="1259">
        <v>0.35</v>
      </c>
      <c r="I16" s="1259"/>
    </row>
    <row r="17" spans="2:18" ht="15.75">
      <c r="B17" s="1262">
        <v>1.21</v>
      </c>
      <c r="C17" s="1259" t="s">
        <v>552</v>
      </c>
      <c r="D17" s="1259" t="s">
        <v>0</v>
      </c>
      <c r="E17" s="1259"/>
      <c r="F17" s="1259"/>
      <c r="G17" s="1259"/>
      <c r="H17" s="1259"/>
      <c r="I17" s="1259"/>
      <c r="O17"/>
      <c r="R17"/>
    </row>
    <row r="18" spans="2:18" ht="15.75">
      <c r="B18" s="1262">
        <v>1.21</v>
      </c>
      <c r="C18" s="1259" t="s">
        <v>553</v>
      </c>
      <c r="D18" s="1259" t="s">
        <v>0</v>
      </c>
      <c r="E18" s="1259"/>
      <c r="F18" s="1259"/>
      <c r="G18" s="1259"/>
      <c r="H18" s="1259"/>
      <c r="I18" s="1259"/>
      <c r="O18"/>
      <c r="R18"/>
    </row>
    <row r="19" spans="2:18" ht="15.75">
      <c r="B19" s="1262">
        <v>1.21</v>
      </c>
      <c r="C19" s="1259" t="s">
        <v>554</v>
      </c>
      <c r="D19" s="1259"/>
      <c r="E19" s="1259">
        <v>1</v>
      </c>
      <c r="F19" s="1259">
        <v>1.05</v>
      </c>
      <c r="G19" s="1259"/>
      <c r="H19" s="1259"/>
      <c r="I19" s="1259"/>
      <c r="O19"/>
      <c r="R19"/>
    </row>
    <row r="20" spans="2:18" ht="15.75">
      <c r="B20" s="1262">
        <v>1.22</v>
      </c>
      <c r="C20" s="1259" t="s">
        <v>555</v>
      </c>
      <c r="D20" s="1259" t="s">
        <v>0</v>
      </c>
      <c r="E20" s="1259"/>
      <c r="F20" s="1259"/>
      <c r="G20" s="1259"/>
      <c r="H20" s="1259"/>
      <c r="I20" s="1259"/>
      <c r="O20"/>
      <c r="R20"/>
    </row>
    <row r="21" spans="2:18" ht="15.75">
      <c r="B21" s="1262">
        <v>1.22</v>
      </c>
      <c r="C21" s="1259" t="s">
        <v>556</v>
      </c>
      <c r="D21" s="1259"/>
      <c r="E21" s="1259">
        <v>1</v>
      </c>
      <c r="F21" s="1259">
        <v>1.1000000000000001</v>
      </c>
      <c r="G21" s="1259"/>
      <c r="H21" s="1259"/>
      <c r="I21" s="1259"/>
      <c r="O21"/>
      <c r="R21"/>
    </row>
    <row r="22" spans="2:18" ht="15.75">
      <c r="B22" s="1262">
        <v>1.22</v>
      </c>
      <c r="C22" s="1259" t="s">
        <v>557</v>
      </c>
      <c r="D22" s="1259"/>
      <c r="E22" s="1259">
        <v>1</v>
      </c>
      <c r="F22" s="1259">
        <v>1.1000000000000001</v>
      </c>
      <c r="G22" s="1259"/>
      <c r="H22" s="1259"/>
      <c r="I22" s="1259"/>
      <c r="O22"/>
      <c r="R22"/>
    </row>
    <row r="23" spans="2:18" ht="15.75">
      <c r="B23" s="1262">
        <v>1.23</v>
      </c>
      <c r="C23" s="1259" t="s">
        <v>555</v>
      </c>
      <c r="D23" s="1259" t="s">
        <v>0</v>
      </c>
      <c r="E23" s="1259"/>
      <c r="F23" s="1259"/>
      <c r="G23" s="1259"/>
      <c r="H23" s="1259"/>
      <c r="I23" s="1259"/>
      <c r="O23"/>
      <c r="R23"/>
    </row>
    <row r="24" spans="2:18" ht="15.75">
      <c r="B24" s="1262">
        <v>1.23</v>
      </c>
      <c r="C24" s="1259" t="s">
        <v>556</v>
      </c>
      <c r="D24" s="1259"/>
      <c r="E24" s="1259">
        <v>1</v>
      </c>
      <c r="F24" s="1259">
        <v>1.1000000000000001</v>
      </c>
      <c r="G24" s="1259"/>
      <c r="H24" s="1259"/>
      <c r="I24" s="1259"/>
      <c r="O24"/>
      <c r="R24"/>
    </row>
    <row r="25" spans="2:18" ht="15.75">
      <c r="B25" s="1262">
        <v>1.23</v>
      </c>
      <c r="C25" s="1259" t="s">
        <v>557</v>
      </c>
      <c r="D25" s="1259"/>
      <c r="E25" s="1259">
        <v>1</v>
      </c>
      <c r="F25" s="1259">
        <v>1.1000000000000001</v>
      </c>
      <c r="G25" s="1259"/>
      <c r="H25" s="1259"/>
      <c r="I25" s="1259"/>
      <c r="O25"/>
      <c r="R25"/>
    </row>
    <row r="26" spans="2:18" ht="15.75">
      <c r="B26" s="1262">
        <v>1.4119999999999999</v>
      </c>
      <c r="C26" s="1259" t="s">
        <v>539</v>
      </c>
      <c r="D26" s="1259"/>
      <c r="E26" s="1259"/>
      <c r="F26" s="1259"/>
      <c r="G26" s="1259">
        <v>5.5E-2</v>
      </c>
      <c r="H26" s="1259">
        <v>8.2000000000000003E-2</v>
      </c>
      <c r="I26" s="1259"/>
      <c r="O26"/>
      <c r="R26"/>
    </row>
    <row r="27" spans="2:18" ht="15.75">
      <c r="B27" s="1262">
        <v>1.4119999999999999</v>
      </c>
      <c r="C27" s="1259" t="s">
        <v>540</v>
      </c>
      <c r="D27" s="1259"/>
      <c r="E27" s="1259"/>
      <c r="F27" s="1259"/>
      <c r="G27" s="1259">
        <v>5.5E-2</v>
      </c>
      <c r="H27" s="1259">
        <v>8.2000000000000003E-2</v>
      </c>
      <c r="I27" s="1259"/>
      <c r="O27"/>
      <c r="R27"/>
    </row>
    <row r="28" spans="2:18" ht="15.75">
      <c r="B28" s="1262">
        <v>1.4119999999999999</v>
      </c>
      <c r="C28" s="1259" t="s">
        <v>541</v>
      </c>
      <c r="D28" s="1259"/>
      <c r="E28" s="1259"/>
      <c r="F28" s="1259"/>
      <c r="G28" s="1259">
        <v>5.5E-2</v>
      </c>
      <c r="H28" s="1259">
        <v>8.2000000000000003E-2</v>
      </c>
      <c r="I28" s="1259"/>
      <c r="O28"/>
      <c r="R28"/>
    </row>
    <row r="29" spans="2:18" ht="15.75">
      <c r="B29" s="1262">
        <v>1.413</v>
      </c>
      <c r="C29" s="1259" t="s">
        <v>539</v>
      </c>
      <c r="D29" s="1259"/>
      <c r="E29" s="1259"/>
      <c r="F29" s="1259"/>
      <c r="G29" s="1259">
        <v>5.5E-2</v>
      </c>
      <c r="H29" s="1259">
        <v>8.2000000000000003E-2</v>
      </c>
      <c r="I29" s="1259"/>
      <c r="O29"/>
      <c r="R29"/>
    </row>
    <row r="30" spans="2:18" ht="15.75">
      <c r="B30" s="1262">
        <v>1.413</v>
      </c>
      <c r="C30" s="1259" t="s">
        <v>540</v>
      </c>
      <c r="D30" s="1259"/>
      <c r="E30" s="1259"/>
      <c r="F30" s="1259"/>
      <c r="G30" s="1259">
        <v>5.5E-2</v>
      </c>
      <c r="H30" s="1259">
        <v>8.2000000000000003E-2</v>
      </c>
      <c r="I30" s="1259"/>
      <c r="O30"/>
      <c r="R30"/>
    </row>
    <row r="31" spans="2:18" ht="15.75">
      <c r="B31" s="1262">
        <v>1.413</v>
      </c>
      <c r="C31" s="1259" t="s">
        <v>541</v>
      </c>
      <c r="D31" s="1259"/>
      <c r="E31" s="1259"/>
      <c r="F31" s="1259"/>
      <c r="G31" s="1259">
        <v>5.5E-2</v>
      </c>
      <c r="H31" s="1259">
        <v>8.2000000000000003E-2</v>
      </c>
      <c r="I31" s="1259"/>
      <c r="O31"/>
      <c r="R31"/>
    </row>
    <row r="32" spans="2:18" ht="15.75">
      <c r="B32" s="1262">
        <v>1.1200000000000001</v>
      </c>
      <c r="C32" s="1259" t="s">
        <v>710</v>
      </c>
      <c r="D32" s="1259" t="s">
        <v>0</v>
      </c>
      <c r="E32" s="1259"/>
      <c r="F32" s="1259"/>
      <c r="G32" s="1259"/>
      <c r="H32" s="1259"/>
      <c r="I32" s="1259"/>
      <c r="O32"/>
      <c r="R32"/>
    </row>
    <row r="33" spans="1:18" ht="18">
      <c r="A33" s="581"/>
      <c r="B33" s="563"/>
      <c r="C33" s="563"/>
      <c r="G33" s="563"/>
      <c r="H33" s="582"/>
      <c r="I33" s="583"/>
      <c r="O33"/>
      <c r="R33"/>
    </row>
    <row r="34" spans="1:18" ht="18">
      <c r="A34" s="581"/>
      <c r="B34" s="563"/>
      <c r="C34" s="563"/>
      <c r="G34" s="563"/>
      <c r="H34" s="582"/>
      <c r="I34" s="583"/>
      <c r="O34"/>
      <c r="R34"/>
    </row>
    <row r="35" spans="1:18" ht="15.75">
      <c r="A35" s="564">
        <v>1</v>
      </c>
      <c r="B35" s="565" t="s">
        <v>24</v>
      </c>
      <c r="C35" s="584"/>
      <c r="D35" s="584"/>
      <c r="E35" s="584"/>
      <c r="F35" s="584"/>
      <c r="G35"/>
      <c r="I35"/>
      <c r="O35"/>
      <c r="R35"/>
    </row>
    <row r="36" spans="1:18" s="523" customFormat="1" ht="15.75">
      <c r="A36" s="585"/>
      <c r="B36" s="586"/>
      <c r="D36" s="1570" t="s">
        <v>542</v>
      </c>
      <c r="E36" s="1570"/>
      <c r="F36" s="1570"/>
      <c r="G36" s="1570" t="s">
        <v>543</v>
      </c>
      <c r="H36" s="1570"/>
      <c r="I36" s="1570"/>
      <c r="J36" s="1570" t="s">
        <v>544</v>
      </c>
      <c r="K36" s="1570"/>
      <c r="L36" s="587"/>
      <c r="M36" s="588"/>
      <c r="N36" s="588"/>
      <c r="O36" s="588"/>
    </row>
    <row r="37" spans="1:18" s="523" customFormat="1" ht="15.75">
      <c r="A37" s="585"/>
      <c r="B37" s="586"/>
      <c r="C37" s="589" t="s">
        <v>535</v>
      </c>
      <c r="D37" s="590" t="s">
        <v>545</v>
      </c>
      <c r="E37" s="590" t="s">
        <v>157</v>
      </c>
      <c r="F37" s="590" t="s">
        <v>156</v>
      </c>
      <c r="G37" s="590" t="s">
        <v>536</v>
      </c>
      <c r="H37" s="590" t="s">
        <v>537</v>
      </c>
      <c r="I37" s="590" t="s">
        <v>538</v>
      </c>
      <c r="J37" s="590" t="s">
        <v>546</v>
      </c>
      <c r="K37" s="590" t="s">
        <v>547</v>
      </c>
      <c r="M37" s="588"/>
      <c r="N37" s="588"/>
      <c r="O37" s="588"/>
    </row>
    <row r="38" spans="1:18" hidden="1">
      <c r="A38" s="591">
        <v>1.1100000000000001</v>
      </c>
      <c r="B38" s="592" t="s">
        <v>15</v>
      </c>
      <c r="C38" s="593"/>
      <c r="D38" s="593"/>
      <c r="E38" s="593"/>
      <c r="F38" s="593"/>
      <c r="G38" s="593"/>
      <c r="H38" s="593"/>
      <c r="I38" s="593"/>
      <c r="J38" s="593"/>
      <c r="K38" s="593"/>
      <c r="L38" s="593"/>
      <c r="M38" s="593"/>
      <c r="N38" s="593"/>
      <c r="O38" s="593"/>
      <c r="R38"/>
    </row>
    <row r="39" spans="1:18" hidden="1">
      <c r="A39" s="543"/>
      <c r="B39" s="543"/>
      <c r="C39" s="593"/>
      <c r="D39" s="593"/>
      <c r="E39" s="593"/>
      <c r="F39" s="593"/>
      <c r="G39" s="593"/>
      <c r="H39" s="593"/>
      <c r="I39" s="593"/>
      <c r="J39" s="593"/>
      <c r="K39" s="593"/>
      <c r="L39" s="593"/>
      <c r="M39" s="593"/>
      <c r="N39" s="593"/>
      <c r="O39" s="593"/>
      <c r="R39"/>
    </row>
    <row r="40" spans="1:18">
      <c r="A40" s="591">
        <v>1.1200000000000001</v>
      </c>
      <c r="B40" s="592" t="s">
        <v>14</v>
      </c>
      <c r="C40" s="593"/>
      <c r="D40" s="593"/>
      <c r="E40" s="593"/>
      <c r="F40" s="593"/>
      <c r="G40" s="593"/>
      <c r="H40" s="593"/>
      <c r="I40" s="593"/>
      <c r="J40" s="593"/>
      <c r="K40" s="593"/>
      <c r="L40" s="593"/>
      <c r="M40" s="593"/>
      <c r="N40" s="593"/>
      <c r="O40" s="593"/>
      <c r="R40"/>
    </row>
    <row r="41" spans="1:18">
      <c r="B41" s="529"/>
      <c r="C41" s="593"/>
      <c r="D41" s="593"/>
      <c r="E41" s="593"/>
      <c r="F41" s="593"/>
      <c r="G41" s="593"/>
      <c r="H41" s="593"/>
      <c r="I41" s="593"/>
      <c r="J41" s="593"/>
      <c r="K41" s="593"/>
      <c r="L41" s="593"/>
      <c r="M41" s="593"/>
      <c r="N41" s="593"/>
      <c r="O41" s="593"/>
      <c r="R41"/>
    </row>
    <row r="42" spans="1:18">
      <c r="A42" s="591">
        <v>1.21</v>
      </c>
      <c r="B42" s="592" t="s">
        <v>359</v>
      </c>
      <c r="C42" s="593"/>
      <c r="D42" s="593"/>
      <c r="E42" s="593"/>
      <c r="F42" s="593"/>
      <c r="G42" s="593"/>
      <c r="H42" s="593"/>
      <c r="I42" s="593"/>
      <c r="J42" s="593"/>
      <c r="K42" s="593"/>
      <c r="L42" s="593"/>
      <c r="M42" s="593"/>
      <c r="N42" s="593"/>
      <c r="O42" s="593"/>
      <c r="R42"/>
    </row>
    <row r="43" spans="1:18">
      <c r="A43" s="159"/>
      <c r="B43" s="527"/>
      <c r="C43" s="593"/>
      <c r="D43" s="593"/>
      <c r="E43" s="593"/>
      <c r="F43" s="593"/>
      <c r="G43" s="593"/>
      <c r="H43" s="593"/>
      <c r="I43" s="593"/>
      <c r="J43" s="593"/>
      <c r="K43" s="593"/>
      <c r="L43" s="593"/>
      <c r="M43" s="593"/>
      <c r="N43" s="593"/>
      <c r="O43" s="593"/>
      <c r="R43"/>
    </row>
    <row r="44" spans="1:18">
      <c r="A44" s="591">
        <v>1.2110000000000001</v>
      </c>
      <c r="B44" s="592" t="s">
        <v>372</v>
      </c>
      <c r="C44" s="593"/>
      <c r="D44" s="593"/>
      <c r="E44" s="593"/>
      <c r="F44" s="593"/>
      <c r="G44" s="593"/>
      <c r="H44" s="593"/>
      <c r="I44" s="593"/>
      <c r="J44" s="593"/>
      <c r="K44" s="593"/>
      <c r="L44" s="593"/>
      <c r="M44" s="593"/>
      <c r="N44" s="593"/>
      <c r="O44" s="593"/>
      <c r="R44"/>
    </row>
    <row r="45" spans="1:18">
      <c r="A45" s="591">
        <v>1.212</v>
      </c>
      <c r="B45" s="592" t="s">
        <v>374</v>
      </c>
      <c r="C45" s="593"/>
      <c r="D45" s="593"/>
      <c r="E45" s="593"/>
      <c r="F45" s="593"/>
      <c r="G45" s="593"/>
      <c r="H45" s="593"/>
      <c r="I45" s="593"/>
      <c r="J45" s="593"/>
      <c r="K45" s="593"/>
      <c r="L45" s="593"/>
      <c r="M45" s="593"/>
      <c r="N45" s="593"/>
      <c r="O45" s="593"/>
      <c r="R45"/>
    </row>
    <row r="46" spans="1:18">
      <c r="A46" s="591">
        <v>1.2130000000000001</v>
      </c>
      <c r="B46" s="592" t="s">
        <v>375</v>
      </c>
      <c r="C46" s="593"/>
      <c r="D46" s="593"/>
      <c r="E46" s="593"/>
      <c r="F46" s="593"/>
      <c r="G46" s="593"/>
      <c r="H46" s="593"/>
      <c r="I46" s="593"/>
      <c r="J46" s="593"/>
      <c r="K46" s="593"/>
      <c r="L46" s="593"/>
      <c r="M46" s="593"/>
      <c r="N46" s="593"/>
      <c r="O46" s="593"/>
      <c r="R46"/>
    </row>
    <row r="47" spans="1:18">
      <c r="A47" s="159"/>
      <c r="B47" s="527"/>
      <c r="C47" s="593"/>
      <c r="D47" s="593"/>
      <c r="E47" s="593"/>
      <c r="F47" s="593"/>
      <c r="G47" s="593"/>
      <c r="H47" s="593"/>
      <c r="I47" s="593"/>
      <c r="J47" s="593"/>
      <c r="K47" s="593"/>
      <c r="L47" s="593"/>
      <c r="M47" s="593"/>
      <c r="N47" s="593"/>
      <c r="O47" s="593"/>
      <c r="R47"/>
    </row>
    <row r="48" spans="1:18">
      <c r="A48" s="591">
        <v>1.22</v>
      </c>
      <c r="B48" s="592" t="s">
        <v>360</v>
      </c>
      <c r="C48" s="593"/>
      <c r="D48" s="593"/>
      <c r="E48" s="593"/>
      <c r="F48" s="593"/>
      <c r="G48" s="593"/>
      <c r="H48" s="593"/>
      <c r="I48" s="593"/>
      <c r="J48" s="593"/>
      <c r="K48" s="593"/>
      <c r="L48" s="593"/>
      <c r="M48" s="593"/>
      <c r="N48" s="593"/>
      <c r="O48" s="593"/>
      <c r="R48"/>
    </row>
    <row r="49" spans="1:18">
      <c r="A49" s="159"/>
      <c r="B49" s="527"/>
      <c r="C49" s="593"/>
      <c r="D49" s="593"/>
      <c r="E49" s="593"/>
      <c r="F49" s="593"/>
      <c r="G49" s="593"/>
      <c r="H49" s="593"/>
      <c r="I49" s="593"/>
      <c r="J49" s="593"/>
      <c r="K49" s="593"/>
      <c r="L49" s="593"/>
      <c r="M49" s="593"/>
      <c r="N49" s="593"/>
      <c r="O49" s="593"/>
      <c r="R49"/>
    </row>
    <row r="50" spans="1:18">
      <c r="A50" s="591">
        <v>1.2210000000000001</v>
      </c>
      <c r="B50" s="592" t="s">
        <v>373</v>
      </c>
      <c r="C50" s="593"/>
      <c r="D50" s="593"/>
      <c r="E50" s="593"/>
      <c r="F50" s="593"/>
      <c r="G50" s="593"/>
      <c r="H50" s="593"/>
      <c r="I50" s="593"/>
      <c r="J50" s="593"/>
      <c r="K50" s="593"/>
      <c r="L50" s="593"/>
      <c r="M50" s="593"/>
      <c r="N50" s="593"/>
      <c r="O50" s="593"/>
      <c r="R50"/>
    </row>
    <row r="51" spans="1:18">
      <c r="A51" s="591">
        <v>1.222</v>
      </c>
      <c r="B51" s="592" t="s">
        <v>376</v>
      </c>
      <c r="C51" s="593"/>
      <c r="D51" s="593"/>
      <c r="E51" s="593"/>
      <c r="F51" s="593"/>
      <c r="G51" s="593"/>
      <c r="H51" s="593"/>
      <c r="I51" s="593"/>
      <c r="J51" s="593"/>
      <c r="K51" s="593"/>
      <c r="L51" s="593"/>
      <c r="M51" s="593"/>
      <c r="N51" s="593"/>
      <c r="O51" s="593"/>
      <c r="R51"/>
    </row>
    <row r="52" spans="1:18">
      <c r="A52" s="591">
        <v>1.2230000000000001</v>
      </c>
      <c r="B52" s="592" t="s">
        <v>377</v>
      </c>
      <c r="C52" s="593"/>
      <c r="D52" s="593"/>
      <c r="E52" s="593"/>
      <c r="F52" s="593"/>
      <c r="G52" s="593"/>
      <c r="H52" s="593"/>
      <c r="I52" s="593"/>
      <c r="J52" s="593"/>
      <c r="K52" s="593"/>
      <c r="L52" s="593"/>
      <c r="M52" s="593"/>
      <c r="N52" s="593"/>
      <c r="O52" s="593"/>
      <c r="R52"/>
    </row>
    <row r="53" spans="1:18">
      <c r="A53" s="159"/>
      <c r="B53" s="527"/>
      <c r="C53" s="593"/>
      <c r="D53" s="593"/>
      <c r="E53" s="593"/>
      <c r="F53" s="593"/>
      <c r="G53" s="593"/>
      <c r="H53" s="593"/>
      <c r="I53" s="593"/>
      <c r="J53" s="593"/>
      <c r="K53" s="593"/>
      <c r="L53" s="593"/>
      <c r="M53" s="593"/>
      <c r="N53" s="593"/>
      <c r="O53" s="593"/>
      <c r="R53"/>
    </row>
    <row r="54" spans="1:18">
      <c r="A54" s="591">
        <v>1.23</v>
      </c>
      <c r="B54" s="592" t="s">
        <v>366</v>
      </c>
      <c r="C54" s="593"/>
      <c r="D54" s="593"/>
      <c r="E54" s="593"/>
      <c r="F54" s="593"/>
      <c r="G54" s="593"/>
      <c r="H54" s="593"/>
      <c r="I54" s="593"/>
      <c r="J54" s="593"/>
      <c r="K54" s="593"/>
      <c r="L54" s="593"/>
      <c r="M54" s="593"/>
      <c r="N54" s="593"/>
      <c r="O54" s="593"/>
      <c r="R54"/>
    </row>
    <row r="55" spans="1:18">
      <c r="A55" s="159"/>
      <c r="B55" s="527"/>
      <c r="C55" s="593"/>
      <c r="D55" s="593"/>
      <c r="E55" s="593"/>
      <c r="F55" s="593"/>
      <c r="G55" s="593"/>
      <c r="H55" s="593"/>
      <c r="I55" s="593"/>
      <c r="J55" s="593"/>
      <c r="K55" s="593"/>
      <c r="L55" s="593"/>
      <c r="M55" s="593"/>
      <c r="N55" s="593"/>
      <c r="O55" s="593"/>
      <c r="R55"/>
    </row>
    <row r="56" spans="1:18">
      <c r="A56" s="591">
        <v>1.2310000000000001</v>
      </c>
      <c r="B56" s="592" t="s">
        <v>378</v>
      </c>
      <c r="C56" s="593"/>
      <c r="D56" s="593"/>
      <c r="E56" s="593"/>
      <c r="F56" s="593"/>
      <c r="G56" s="593"/>
      <c r="H56" s="593"/>
      <c r="I56" s="593"/>
      <c r="J56" s="593"/>
      <c r="K56" s="593"/>
      <c r="L56" s="593"/>
      <c r="M56" s="593"/>
      <c r="N56" s="593"/>
      <c r="O56" s="593"/>
      <c r="R56"/>
    </row>
    <row r="57" spans="1:18">
      <c r="A57" s="591">
        <v>1.232</v>
      </c>
      <c r="B57" s="592" t="s">
        <v>379</v>
      </c>
      <c r="C57" s="593"/>
      <c r="D57" s="593"/>
      <c r="E57" s="593"/>
      <c r="F57" s="593"/>
      <c r="G57" s="593"/>
      <c r="H57" s="593"/>
      <c r="I57" s="593"/>
      <c r="J57" s="593"/>
      <c r="K57" s="593"/>
      <c r="L57" s="593"/>
      <c r="M57" s="593"/>
      <c r="N57" s="593"/>
      <c r="O57" s="593"/>
      <c r="R57"/>
    </row>
    <row r="58" spans="1:18">
      <c r="A58" s="591">
        <v>1.2330000000000001</v>
      </c>
      <c r="B58" s="592" t="s">
        <v>380</v>
      </c>
      <c r="C58" s="593"/>
      <c r="D58" s="593"/>
      <c r="E58" s="593"/>
      <c r="F58" s="593"/>
      <c r="G58" s="593"/>
      <c r="H58" s="593"/>
      <c r="I58" s="593"/>
      <c r="J58" s="593"/>
      <c r="K58" s="593"/>
      <c r="L58" s="593"/>
      <c r="M58" s="593"/>
      <c r="N58" s="593"/>
      <c r="O58" s="593"/>
      <c r="R58"/>
    </row>
    <row r="59" spans="1:18">
      <c r="A59" s="159"/>
      <c r="B59" s="527"/>
      <c r="C59" s="593"/>
      <c r="D59" s="593"/>
      <c r="E59" s="593"/>
      <c r="F59" s="593"/>
      <c r="G59" s="593"/>
      <c r="H59" s="593"/>
      <c r="I59" s="593"/>
      <c r="J59" s="593"/>
      <c r="K59" s="593"/>
      <c r="L59" s="593"/>
      <c r="M59" s="593"/>
      <c r="N59" s="593"/>
      <c r="O59" s="593"/>
      <c r="R59"/>
    </row>
    <row r="60" spans="1:18">
      <c r="A60" s="591">
        <v>1.24</v>
      </c>
      <c r="B60" s="592" t="s">
        <v>83</v>
      </c>
      <c r="C60" s="593"/>
      <c r="D60" s="593"/>
      <c r="E60" s="593"/>
      <c r="F60" s="593"/>
      <c r="G60" s="593"/>
      <c r="H60" s="593"/>
      <c r="I60" s="593"/>
      <c r="J60" s="593"/>
      <c r="K60" s="593"/>
      <c r="L60" s="593"/>
      <c r="M60" s="593"/>
      <c r="N60" s="593"/>
      <c r="O60" s="593"/>
      <c r="R60"/>
    </row>
    <row r="61" spans="1:18">
      <c r="A61" s="159"/>
      <c r="B61" s="527"/>
      <c r="C61" s="593"/>
      <c r="D61" s="593"/>
      <c r="E61" s="593"/>
      <c r="F61" s="593"/>
      <c r="G61" s="593"/>
      <c r="H61" s="593"/>
      <c r="I61" s="593"/>
      <c r="J61" s="593"/>
      <c r="K61" s="593"/>
      <c r="L61" s="593"/>
      <c r="M61" s="593"/>
      <c r="N61" s="593"/>
      <c r="O61" s="593"/>
      <c r="R61"/>
    </row>
    <row r="62" spans="1:18">
      <c r="A62" s="591">
        <v>1.2410000000000001</v>
      </c>
      <c r="B62" s="592" t="s">
        <v>381</v>
      </c>
      <c r="G62"/>
      <c r="I62"/>
      <c r="O62"/>
      <c r="R62"/>
    </row>
    <row r="63" spans="1:18">
      <c r="A63" s="591">
        <v>1.242</v>
      </c>
      <c r="B63" s="592" t="s">
        <v>382</v>
      </c>
      <c r="G63"/>
      <c r="I63"/>
      <c r="O63"/>
      <c r="R63"/>
    </row>
    <row r="64" spans="1:18">
      <c r="A64" s="591">
        <v>1.2430000000000001</v>
      </c>
      <c r="B64" s="592" t="s">
        <v>383</v>
      </c>
      <c r="G64"/>
      <c r="I64"/>
      <c r="O64"/>
      <c r="R64"/>
    </row>
    <row r="65" spans="1:18">
      <c r="A65" s="159"/>
      <c r="B65" s="527"/>
      <c r="G65"/>
      <c r="I65"/>
      <c r="O65"/>
      <c r="R65"/>
    </row>
    <row r="66" spans="1:18">
      <c r="A66" s="591">
        <v>1.25</v>
      </c>
      <c r="B66" s="592" t="s">
        <v>335</v>
      </c>
      <c r="G66"/>
      <c r="I66"/>
      <c r="O66"/>
      <c r="R66"/>
    </row>
    <row r="67" spans="1:18">
      <c r="A67" s="159"/>
      <c r="B67" s="527"/>
      <c r="G67"/>
      <c r="I67"/>
      <c r="O67"/>
      <c r="R67"/>
    </row>
    <row r="68" spans="1:18">
      <c r="A68" s="591">
        <v>1.2509999999999999</v>
      </c>
      <c r="B68" s="592" t="s">
        <v>384</v>
      </c>
      <c r="G68"/>
      <c r="I68"/>
      <c r="O68"/>
      <c r="R68"/>
    </row>
    <row r="69" spans="1:18">
      <c r="A69" s="591">
        <v>1.252</v>
      </c>
      <c r="B69" s="592" t="s">
        <v>386</v>
      </c>
      <c r="G69"/>
      <c r="I69"/>
      <c r="O69"/>
      <c r="R69"/>
    </row>
    <row r="70" spans="1:18">
      <c r="A70" s="591">
        <v>1.2529999999999999</v>
      </c>
      <c r="B70" s="594" t="s">
        <v>385</v>
      </c>
      <c r="G70"/>
      <c r="I70"/>
      <c r="O70"/>
      <c r="R70"/>
    </row>
    <row r="71" spans="1:18">
      <c r="A71" s="159"/>
      <c r="B71" s="528"/>
      <c r="G71"/>
      <c r="I71"/>
      <c r="O71"/>
      <c r="R71"/>
    </row>
    <row r="72" spans="1:18">
      <c r="A72" s="591">
        <v>1.26</v>
      </c>
      <c r="B72" s="595" t="s">
        <v>76</v>
      </c>
      <c r="G72"/>
      <c r="I72"/>
      <c r="O72"/>
      <c r="R72"/>
    </row>
    <row r="73" spans="1:18">
      <c r="A73" s="548"/>
      <c r="B73" s="549"/>
      <c r="G73"/>
      <c r="I73"/>
      <c r="O73"/>
      <c r="R73"/>
    </row>
    <row r="74" spans="1:18">
      <c r="A74" s="544"/>
      <c r="B74" s="596" t="s">
        <v>462</v>
      </c>
      <c r="G74"/>
      <c r="I74"/>
      <c r="O74"/>
      <c r="R74"/>
    </row>
    <row r="75" spans="1:18">
      <c r="A75" s="597"/>
      <c r="B75" s="598"/>
      <c r="G75"/>
      <c r="I75"/>
      <c r="O75"/>
      <c r="R75"/>
    </row>
    <row r="76" spans="1:18">
      <c r="A76" s="544"/>
      <c r="B76" s="596" t="s">
        <v>463</v>
      </c>
      <c r="G76"/>
      <c r="I76"/>
      <c r="O76"/>
      <c r="R76"/>
    </row>
    <row r="77" spans="1:18">
      <c r="A77" s="599"/>
      <c r="B77" s="598"/>
      <c r="G77"/>
      <c r="I77"/>
      <c r="O77"/>
      <c r="R77"/>
    </row>
    <row r="78" spans="1:18">
      <c r="A78" s="544"/>
      <c r="B78" s="596" t="s">
        <v>464</v>
      </c>
      <c r="G78"/>
      <c r="I78"/>
      <c r="O78"/>
      <c r="R78"/>
    </row>
    <row r="79" spans="1:18">
      <c r="A79" s="159"/>
      <c r="B79" s="528"/>
      <c r="G79"/>
      <c r="I79"/>
      <c r="O79"/>
      <c r="R79"/>
    </row>
    <row r="80" spans="1:18">
      <c r="A80" s="591">
        <v>1.31</v>
      </c>
      <c r="B80" s="592" t="s">
        <v>343</v>
      </c>
      <c r="G80"/>
      <c r="I80"/>
      <c r="O80"/>
      <c r="R80"/>
    </row>
    <row r="81" spans="1:18">
      <c r="A81" s="544"/>
      <c r="B81" s="545"/>
      <c r="G81"/>
      <c r="I81"/>
      <c r="O81"/>
      <c r="R81"/>
    </row>
    <row r="82" spans="1:18">
      <c r="B82" s="529"/>
      <c r="G82"/>
      <c r="I82"/>
      <c r="O82"/>
      <c r="R82"/>
    </row>
    <row r="83" spans="1:18">
      <c r="A83" s="591">
        <v>1.32</v>
      </c>
      <c r="B83" s="592" t="s">
        <v>361</v>
      </c>
      <c r="G83"/>
      <c r="I83"/>
      <c r="O83"/>
      <c r="R83"/>
    </row>
    <row r="84" spans="1:18">
      <c r="A84" s="159"/>
      <c r="B84" s="527"/>
      <c r="G84"/>
      <c r="I84"/>
      <c r="O84"/>
      <c r="R84"/>
    </row>
    <row r="85" spans="1:18">
      <c r="A85" s="591">
        <v>1.321</v>
      </c>
      <c r="B85" s="592" t="s">
        <v>387</v>
      </c>
      <c r="G85"/>
      <c r="I85"/>
      <c r="O85"/>
      <c r="R85"/>
    </row>
    <row r="86" spans="1:18">
      <c r="A86" s="159"/>
      <c r="B86" s="527"/>
      <c r="G86"/>
      <c r="I86"/>
      <c r="O86"/>
      <c r="R86"/>
    </row>
    <row r="87" spans="1:18">
      <c r="A87" s="591">
        <v>1.41</v>
      </c>
      <c r="B87" s="592" t="s">
        <v>548</v>
      </c>
      <c r="G87"/>
      <c r="I87"/>
      <c r="O87"/>
      <c r="R87"/>
    </row>
    <row r="88" spans="1:18">
      <c r="A88" s="159"/>
      <c r="B88" s="527"/>
      <c r="G88"/>
      <c r="I88"/>
      <c r="O88"/>
      <c r="R88"/>
    </row>
    <row r="89" spans="1:18">
      <c r="A89" s="159">
        <v>1.4119999999999999</v>
      </c>
      <c r="B89" s="527" t="s">
        <v>696</v>
      </c>
      <c r="G89"/>
      <c r="I89"/>
      <c r="O89"/>
      <c r="R89"/>
    </row>
    <row r="90" spans="1:18">
      <c r="A90" s="159"/>
      <c r="B90" s="527"/>
      <c r="G90"/>
      <c r="I90"/>
      <c r="O90"/>
      <c r="R90"/>
    </row>
    <row r="91" spans="1:18">
      <c r="A91" s="159">
        <v>1.413</v>
      </c>
      <c r="B91" s="527" t="s">
        <v>697</v>
      </c>
      <c r="G91"/>
      <c r="I91"/>
      <c r="O91"/>
      <c r="R91"/>
    </row>
    <row r="92" spans="1:18">
      <c r="A92" s="159"/>
      <c r="B92" s="527"/>
      <c r="G92"/>
      <c r="I92"/>
      <c r="O92"/>
      <c r="R92"/>
    </row>
    <row r="93" spans="1:18">
      <c r="A93" s="591">
        <v>1.51</v>
      </c>
      <c r="B93" s="592" t="s">
        <v>439</v>
      </c>
      <c r="G93"/>
      <c r="I93"/>
      <c r="O93"/>
      <c r="R93"/>
    </row>
    <row r="94" spans="1:18">
      <c r="B94" s="529"/>
      <c r="G94"/>
      <c r="I94"/>
      <c r="O94"/>
      <c r="R94"/>
    </row>
    <row r="95" spans="1:18">
      <c r="A95" s="591">
        <v>1.621</v>
      </c>
      <c r="B95" s="600" t="s">
        <v>443</v>
      </c>
      <c r="G95"/>
      <c r="I95"/>
      <c r="O95"/>
      <c r="R95"/>
    </row>
    <row r="96" spans="1:18">
      <c r="A96" s="159"/>
      <c r="B96" s="531"/>
      <c r="G96"/>
      <c r="I96"/>
      <c r="O96"/>
      <c r="R96"/>
    </row>
    <row r="97" spans="1:18">
      <c r="A97" s="591">
        <v>1.6220000000000001</v>
      </c>
      <c r="B97" s="600" t="s">
        <v>444</v>
      </c>
      <c r="G97"/>
      <c r="I97"/>
      <c r="O97"/>
      <c r="R97"/>
    </row>
    <row r="98" spans="1:18">
      <c r="A98" s="159"/>
      <c r="B98" s="531"/>
      <c r="G98"/>
      <c r="I98"/>
      <c r="O98"/>
      <c r="R98"/>
    </row>
    <row r="99" spans="1:18">
      <c r="A99" s="591">
        <v>1.623</v>
      </c>
      <c r="B99" s="600" t="s">
        <v>445</v>
      </c>
      <c r="G99"/>
      <c r="I99"/>
      <c r="O99"/>
      <c r="R99"/>
    </row>
    <row r="100" spans="1:18">
      <c r="B100" s="529"/>
      <c r="G100"/>
      <c r="I100"/>
      <c r="O100"/>
      <c r="R100"/>
    </row>
    <row r="101" spans="1:18" ht="15.75">
      <c r="A101" s="591">
        <v>1.63</v>
      </c>
      <c r="B101" s="592" t="s">
        <v>363</v>
      </c>
      <c r="C101" s="563" t="s">
        <v>549</v>
      </c>
      <c r="D101" s="563" t="s">
        <v>550</v>
      </c>
      <c r="E101" s="563" t="s">
        <v>551</v>
      </c>
      <c r="G101"/>
      <c r="I101"/>
      <c r="O101"/>
      <c r="R101"/>
    </row>
    <row r="102" spans="1:18" s="523" customFormat="1">
      <c r="A102" s="601"/>
      <c r="B102" s="602"/>
      <c r="C102" s="77"/>
      <c r="D102" s="77"/>
      <c r="E102" s="77"/>
      <c r="F102" s="77"/>
      <c r="G102" s="77"/>
      <c r="H102" s="77"/>
      <c r="I102" s="77"/>
      <c r="J102" s="77"/>
      <c r="K102" s="77"/>
    </row>
    <row r="103" spans="1:18">
      <c r="A103" s="603"/>
      <c r="B103" s="603"/>
      <c r="C103" s="77"/>
      <c r="D103" s="77"/>
      <c r="E103" s="77"/>
      <c r="F103" s="77"/>
      <c r="G103" s="77"/>
      <c r="H103" s="77"/>
      <c r="I103" s="77"/>
      <c r="J103" s="77"/>
      <c r="K103" s="77"/>
      <c r="O103"/>
      <c r="R103"/>
    </row>
    <row r="104" spans="1:18" ht="16.5" thickBot="1">
      <c r="A104" s="604">
        <v>2</v>
      </c>
      <c r="B104" s="565" t="s">
        <v>567</v>
      </c>
      <c r="C104" s="567"/>
      <c r="D104" s="567"/>
      <c r="E104" s="567"/>
      <c r="F104" s="567"/>
      <c r="G104"/>
      <c r="I104"/>
      <c r="O104"/>
      <c r="R104"/>
    </row>
    <row r="105" spans="1:18" s="523" customFormat="1" ht="16.5" thickBot="1">
      <c r="A105" s="620"/>
      <c r="B105" s="190"/>
      <c r="C105" s="190"/>
      <c r="G105" s="79"/>
      <c r="H105" s="79"/>
      <c r="I105" s="79"/>
      <c r="J105" s="79"/>
      <c r="K105" s="79"/>
      <c r="L105" s="79"/>
      <c r="M105" s="79"/>
      <c r="N105" s="79"/>
      <c r="O105" s="79"/>
      <c r="P105" s="79"/>
      <c r="Q105" s="79"/>
    </row>
    <row r="106" spans="1:18" ht="15.75" thickBot="1">
      <c r="A106" s="9"/>
      <c r="B106" s="15" t="s">
        <v>116</v>
      </c>
      <c r="C106" s="21"/>
      <c r="D106" s="614" t="s">
        <v>128</v>
      </c>
      <c r="E106" s="614" t="s">
        <v>125</v>
      </c>
      <c r="F106" s="614" t="s">
        <v>33</v>
      </c>
      <c r="G106" s="608"/>
      <c r="H106" s="608"/>
      <c r="I106" s="608"/>
      <c r="J106" s="608"/>
      <c r="K106" s="608"/>
      <c r="L106" s="608"/>
      <c r="M106" s="608"/>
      <c r="N106" s="608"/>
      <c r="O106" s="608"/>
      <c r="Q106" s="14"/>
      <c r="R106"/>
    </row>
    <row r="107" spans="1:18">
      <c r="A107" s="9"/>
      <c r="B107" s="107" t="s">
        <v>367</v>
      </c>
      <c r="C107" s="77" t="s">
        <v>391</v>
      </c>
      <c r="D107" s="621"/>
      <c r="E107" s="622"/>
      <c r="F107" s="622"/>
      <c r="G107" s="612"/>
      <c r="H107" s="616"/>
      <c r="I107" s="612"/>
      <c r="J107" s="612"/>
      <c r="K107" s="612"/>
      <c r="L107" s="612"/>
      <c r="M107" s="612"/>
      <c r="N107" s="612"/>
      <c r="O107" s="612"/>
      <c r="Q107" s="14"/>
      <c r="R107"/>
    </row>
    <row r="108" spans="1:18">
      <c r="A108" s="9"/>
      <c r="B108" s="107"/>
      <c r="C108" s="77" t="s">
        <v>564</v>
      </c>
      <c r="D108" s="623"/>
      <c r="E108" s="622"/>
      <c r="F108" s="622"/>
      <c r="G108" s="612"/>
      <c r="H108" s="612"/>
      <c r="I108" s="612"/>
      <c r="J108" s="612"/>
      <c r="K108" s="612"/>
      <c r="L108" s="612"/>
      <c r="M108" s="612"/>
      <c r="N108" s="612"/>
      <c r="O108" s="612"/>
      <c r="Q108" s="14"/>
      <c r="R108"/>
    </row>
    <row r="109" spans="1:18">
      <c r="A109" s="9"/>
      <c r="B109" s="107"/>
      <c r="C109" s="205" t="s">
        <v>565</v>
      </c>
      <c r="D109" s="624">
        <v>0</v>
      </c>
      <c r="E109" s="624">
        <v>0</v>
      </c>
      <c r="F109" s="624">
        <v>0</v>
      </c>
      <c r="G109" s="113"/>
      <c r="H109" s="113"/>
      <c r="I109" s="113"/>
      <c r="J109" s="113"/>
      <c r="K109" s="113"/>
      <c r="L109" s="113"/>
      <c r="M109" s="113"/>
      <c r="N109" s="113"/>
      <c r="O109" s="113"/>
      <c r="Q109" s="112"/>
      <c r="R109"/>
    </row>
    <row r="110" spans="1:18">
      <c r="A110" s="9"/>
      <c r="B110" s="107"/>
      <c r="C110" s="205" t="s">
        <v>64</v>
      </c>
      <c r="D110" s="624"/>
      <c r="E110" s="624"/>
      <c r="F110" s="624"/>
      <c r="G110" s="113"/>
      <c r="H110" s="113"/>
      <c r="I110" s="113"/>
      <c r="J110" s="113"/>
      <c r="K110" s="113"/>
      <c r="L110" s="113"/>
      <c r="M110" s="113"/>
      <c r="N110" s="113"/>
      <c r="O110" s="113"/>
      <c r="Q110" s="112"/>
      <c r="R110"/>
    </row>
    <row r="111" spans="1:18">
      <c r="A111" s="9"/>
      <c r="B111" s="107"/>
      <c r="C111" s="205" t="s">
        <v>63</v>
      </c>
      <c r="D111" s="624"/>
      <c r="E111" s="624"/>
      <c r="F111" s="624"/>
      <c r="G111" s="113"/>
      <c r="H111" s="113"/>
      <c r="I111" s="113"/>
      <c r="J111" s="113"/>
      <c r="K111" s="113"/>
      <c r="L111" s="113"/>
      <c r="M111" s="113"/>
      <c r="N111" s="113"/>
      <c r="O111" s="113"/>
      <c r="Q111" s="112"/>
      <c r="R111"/>
    </row>
    <row r="112" spans="1:18">
      <c r="A112" s="9"/>
      <c r="B112" s="107"/>
      <c r="C112" s="205" t="s">
        <v>121</v>
      </c>
      <c r="D112" s="624"/>
      <c r="E112" s="624"/>
      <c r="F112" s="624"/>
      <c r="G112" s="113"/>
      <c r="H112" s="113"/>
      <c r="I112" s="113"/>
      <c r="J112" s="113"/>
      <c r="K112" s="113"/>
      <c r="L112" s="113"/>
      <c r="M112" s="113"/>
      <c r="N112" s="113"/>
      <c r="O112" s="113"/>
      <c r="Q112" s="112"/>
      <c r="R112"/>
    </row>
    <row r="113" spans="1:18">
      <c r="A113" s="9"/>
      <c r="B113" s="107"/>
      <c r="C113" s="205" t="s">
        <v>549</v>
      </c>
      <c r="D113" s="624"/>
      <c r="E113" s="624"/>
      <c r="F113" s="624"/>
      <c r="G113" s="113"/>
      <c r="H113" s="113"/>
      <c r="I113" s="113"/>
      <c r="J113" s="113"/>
      <c r="K113" s="113"/>
      <c r="L113" s="113"/>
      <c r="M113" s="113"/>
      <c r="N113" s="113"/>
      <c r="O113" s="113"/>
      <c r="Q113" s="112"/>
      <c r="R113"/>
    </row>
    <row r="114" spans="1:18">
      <c r="A114" s="9"/>
      <c r="B114" s="107"/>
      <c r="C114" s="205" t="s">
        <v>566</v>
      </c>
      <c r="D114" s="624"/>
      <c r="E114" s="624"/>
      <c r="F114" s="624"/>
      <c r="G114" s="113"/>
      <c r="H114" s="113"/>
      <c r="I114" s="113"/>
      <c r="J114" s="113"/>
      <c r="K114" s="113"/>
      <c r="L114" s="113"/>
      <c r="M114" s="113"/>
      <c r="N114" s="113"/>
      <c r="O114" s="113"/>
      <c r="Q114" s="112"/>
      <c r="R114"/>
    </row>
    <row r="115" spans="1:18">
      <c r="A115" s="9"/>
      <c r="B115" s="107"/>
      <c r="C115" s="205" t="s">
        <v>551</v>
      </c>
      <c r="D115" s="624"/>
      <c r="E115" s="624"/>
      <c r="F115" s="624"/>
      <c r="G115" s="113"/>
      <c r="H115" s="113"/>
      <c r="I115" s="113"/>
      <c r="J115" s="113"/>
      <c r="K115" s="113"/>
      <c r="L115" s="113"/>
      <c r="M115" s="113"/>
      <c r="N115" s="113"/>
      <c r="O115" s="113"/>
      <c r="Q115" s="112"/>
      <c r="R115"/>
    </row>
    <row r="116" spans="1:18">
      <c r="A116" s="9"/>
      <c r="B116" s="107"/>
      <c r="C116" s="77" t="s">
        <v>113</v>
      </c>
      <c r="D116" s="623">
        <f>D114*D107+D108*D115</f>
        <v>0</v>
      </c>
      <c r="E116" s="623">
        <f>SUM(D150:O150)</f>
        <v>0</v>
      </c>
      <c r="F116" s="623" t="e">
        <f>SUM(#REF!)</f>
        <v>#REF!</v>
      </c>
      <c r="G116" s="610"/>
      <c r="H116" s="610"/>
      <c r="I116" s="610"/>
      <c r="J116" s="610"/>
      <c r="K116" s="610"/>
      <c r="L116" s="610"/>
      <c r="M116" s="610"/>
      <c r="N116" s="610"/>
      <c r="O116" s="610"/>
      <c r="Q116" s="14"/>
      <c r="R116"/>
    </row>
    <row r="117" spans="1:18">
      <c r="A117" s="9"/>
      <c r="B117" s="107"/>
      <c r="C117" s="77" t="s">
        <v>112</v>
      </c>
      <c r="D117" s="623">
        <f>D113*D112</f>
        <v>0</v>
      </c>
      <c r="E117" s="623" t="e">
        <f>SUM(#REF!)</f>
        <v>#REF!</v>
      </c>
      <c r="F117" s="623" t="e">
        <f>SUM(#REF!)</f>
        <v>#REF!</v>
      </c>
      <c r="G117" s="610"/>
      <c r="H117" s="610"/>
      <c r="I117" s="610"/>
      <c r="J117" s="610"/>
      <c r="K117" s="610"/>
      <c r="L117" s="610"/>
      <c r="M117" s="610"/>
      <c r="N117" s="610"/>
      <c r="O117" s="610"/>
      <c r="Q117" s="14"/>
      <c r="R117"/>
    </row>
    <row r="118" spans="1:18">
      <c r="A118" s="9"/>
      <c r="B118" s="107"/>
      <c r="C118" s="77" t="s">
        <v>111</v>
      </c>
      <c r="D118" s="623">
        <f>D116-D117</f>
        <v>0</v>
      </c>
      <c r="E118" s="623" t="e">
        <f>SUM(#REF!)</f>
        <v>#REF!</v>
      </c>
      <c r="F118" s="623" t="e">
        <f>SUM(#REF!)</f>
        <v>#REF!</v>
      </c>
      <c r="G118" s="610"/>
      <c r="H118" s="610"/>
      <c r="I118" s="610"/>
      <c r="J118" s="610"/>
      <c r="K118" s="610"/>
      <c r="L118" s="610"/>
      <c r="M118" s="610"/>
      <c r="N118" s="610"/>
      <c r="O118" s="610"/>
      <c r="Q118" s="14"/>
      <c r="R118"/>
    </row>
    <row r="119" spans="1:18">
      <c r="A119" s="110"/>
      <c r="B119" s="107"/>
      <c r="C119" s="77"/>
      <c r="D119" s="623"/>
      <c r="E119" s="623"/>
      <c r="F119" s="623"/>
      <c r="G119" s="612"/>
      <c r="H119" s="612"/>
      <c r="I119" s="612"/>
      <c r="J119" s="612"/>
      <c r="K119" s="612"/>
      <c r="L119" s="612"/>
      <c r="M119" s="612"/>
      <c r="N119" s="612"/>
      <c r="O119" s="612"/>
      <c r="Q119" s="14"/>
      <c r="R119"/>
    </row>
    <row r="120" spans="1:18">
      <c r="A120" s="9"/>
      <c r="B120" s="107"/>
      <c r="C120" s="57" t="s">
        <v>370</v>
      </c>
      <c r="D120" s="625">
        <f>$K44</f>
        <v>0</v>
      </c>
      <c r="E120" s="626">
        <f>$K45</f>
        <v>0</v>
      </c>
      <c r="F120" s="626">
        <f>$K46</f>
        <v>0</v>
      </c>
      <c r="G120" s="610"/>
      <c r="H120" s="610"/>
      <c r="I120" s="610"/>
      <c r="J120" s="610"/>
      <c r="K120" s="610"/>
      <c r="L120" s="610"/>
      <c r="M120" s="610"/>
      <c r="N120" s="610"/>
      <c r="O120" s="610"/>
      <c r="Q120" s="14"/>
      <c r="R120"/>
    </row>
    <row r="121" spans="1:18">
      <c r="A121" s="9"/>
      <c r="B121" s="107"/>
      <c r="C121" s="57" t="s">
        <v>388</v>
      </c>
      <c r="D121" s="625">
        <f>$K50</f>
        <v>0</v>
      </c>
      <c r="E121" s="626">
        <f>$K51</f>
        <v>0</v>
      </c>
      <c r="F121" s="626">
        <f>$K52</f>
        <v>0</v>
      </c>
      <c r="G121" s="610"/>
      <c r="H121" s="610"/>
      <c r="I121" s="610"/>
      <c r="J121" s="610"/>
      <c r="K121" s="610"/>
      <c r="L121" s="610"/>
      <c r="M121" s="610"/>
      <c r="N121" s="610"/>
      <c r="O121" s="610"/>
      <c r="Q121" s="14"/>
      <c r="R121"/>
    </row>
    <row r="122" spans="1:18">
      <c r="A122" s="9"/>
      <c r="B122" s="107"/>
      <c r="C122" s="57" t="s">
        <v>366</v>
      </c>
      <c r="D122" s="625">
        <f>$K56</f>
        <v>0</v>
      </c>
      <c r="E122" s="626">
        <f>$K57</f>
        <v>0</v>
      </c>
      <c r="F122" s="626">
        <f>$K58</f>
        <v>0</v>
      </c>
      <c r="G122" s="610"/>
      <c r="H122" s="610"/>
      <c r="I122" s="610"/>
      <c r="J122" s="610"/>
      <c r="K122" s="610"/>
      <c r="L122" s="610"/>
      <c r="M122" s="610"/>
      <c r="N122" s="610"/>
      <c r="O122" s="610"/>
      <c r="Q122" s="14"/>
      <c r="R122"/>
    </row>
    <row r="123" spans="1:18">
      <c r="A123" s="9"/>
      <c r="B123" s="107"/>
      <c r="C123" s="57" t="s">
        <v>83</v>
      </c>
      <c r="D123" s="625">
        <f>$K62</f>
        <v>0</v>
      </c>
      <c r="E123" s="626">
        <f>$K63</f>
        <v>0</v>
      </c>
      <c r="F123" s="626">
        <f>$K64</f>
        <v>0</v>
      </c>
      <c r="G123" s="610"/>
      <c r="H123" s="610"/>
      <c r="I123" s="610"/>
      <c r="J123" s="610"/>
      <c r="K123" s="610"/>
      <c r="L123" s="610"/>
      <c r="M123" s="610"/>
      <c r="N123" s="610"/>
      <c r="O123" s="610"/>
      <c r="Q123" s="14"/>
      <c r="R123"/>
    </row>
    <row r="124" spans="1:18">
      <c r="A124" s="9"/>
      <c r="B124" s="107"/>
      <c r="C124" s="609" t="s">
        <v>108</v>
      </c>
      <c r="D124" s="625">
        <f>$K68</f>
        <v>0</v>
      </c>
      <c r="E124" s="626">
        <f>$K69</f>
        <v>0</v>
      </c>
      <c r="F124" s="626">
        <f>$K70</f>
        <v>0</v>
      </c>
      <c r="G124" s="611"/>
      <c r="H124" s="611"/>
      <c r="I124" s="611"/>
      <c r="J124" s="611"/>
      <c r="K124" s="611"/>
      <c r="L124" s="611"/>
      <c r="M124" s="611"/>
      <c r="N124" s="611"/>
      <c r="O124" s="611"/>
      <c r="Q124" s="14"/>
      <c r="R124"/>
    </row>
    <row r="125" spans="1:18">
      <c r="A125" s="9"/>
      <c r="B125" s="107"/>
      <c r="C125" s="49"/>
      <c r="D125" s="627"/>
      <c r="E125" s="623"/>
      <c r="F125" s="623"/>
      <c r="G125" s="612"/>
      <c r="H125" s="612"/>
      <c r="I125" s="612"/>
      <c r="J125" s="612"/>
      <c r="K125" s="612"/>
      <c r="L125" s="612"/>
      <c r="M125" s="612"/>
      <c r="N125" s="612"/>
      <c r="O125" s="612"/>
      <c r="Q125" s="14"/>
      <c r="R125"/>
    </row>
    <row r="126" spans="1:18">
      <c r="A126" s="9"/>
      <c r="B126" s="107"/>
      <c r="C126" s="77" t="s">
        <v>107</v>
      </c>
      <c r="D126" s="628">
        <f>SUM(D120:D124)</f>
        <v>0</v>
      </c>
      <c r="E126" s="628">
        <f>SUM(E120:E124)</f>
        <v>0</v>
      </c>
      <c r="F126" s="628">
        <f>SUM(F120:F124)</f>
        <v>0</v>
      </c>
      <c r="G126" s="610"/>
      <c r="H126" s="610"/>
      <c r="I126" s="610"/>
      <c r="J126" s="610"/>
      <c r="K126" s="610"/>
      <c r="L126" s="610"/>
      <c r="M126" s="610"/>
      <c r="N126" s="610"/>
      <c r="O126" s="610"/>
      <c r="Q126" s="14"/>
      <c r="R126"/>
    </row>
    <row r="127" spans="1:18">
      <c r="A127" s="9"/>
      <c r="B127" s="107"/>
      <c r="C127" s="49"/>
      <c r="D127" s="623"/>
      <c r="E127" s="623"/>
      <c r="F127" s="623"/>
      <c r="G127" s="612"/>
      <c r="H127" s="612"/>
      <c r="I127" s="612"/>
      <c r="J127" s="612"/>
      <c r="K127" s="612"/>
      <c r="L127" s="612"/>
      <c r="M127" s="612"/>
      <c r="N127" s="612"/>
      <c r="O127" s="612"/>
      <c r="Q127" s="14"/>
      <c r="R127"/>
    </row>
    <row r="128" spans="1:18">
      <c r="A128" s="9"/>
      <c r="B128" s="107"/>
      <c r="C128" s="49" t="s">
        <v>76</v>
      </c>
      <c r="D128" s="623">
        <f>$K74</f>
        <v>0</v>
      </c>
      <c r="E128" s="623">
        <f>$K76</f>
        <v>0</v>
      </c>
      <c r="F128" s="623">
        <f>$K78</f>
        <v>0</v>
      </c>
      <c r="G128" s="612"/>
      <c r="H128" s="612"/>
      <c r="I128" s="612"/>
      <c r="J128" s="612"/>
      <c r="K128" s="612"/>
      <c r="L128" s="612"/>
      <c r="M128" s="612"/>
      <c r="N128" s="612"/>
      <c r="O128" s="617"/>
      <c r="Q128" s="14"/>
      <c r="R128"/>
    </row>
    <row r="129" spans="1:18">
      <c r="A129" s="9"/>
      <c r="B129" s="107"/>
      <c r="C129" s="77" t="s">
        <v>126</v>
      </c>
      <c r="D129" s="628">
        <f>SUMIF(DescriptionMCS,"Contribution",FY1MCS)-D126</f>
        <v>0</v>
      </c>
      <c r="E129" s="628" t="e">
        <f>SUMIF(DescriptionMCS,"Contribution",FY2MCS)-E126</f>
        <v>#REF!</v>
      </c>
      <c r="F129" s="628" t="e">
        <f>SUMIF(DescriptionMCS,"Contribution",FY3MCS)-F126</f>
        <v>#REF!</v>
      </c>
      <c r="G129" s="610"/>
      <c r="H129" s="610"/>
      <c r="I129" s="610"/>
      <c r="J129" s="610"/>
      <c r="K129" s="610"/>
      <c r="L129" s="610"/>
      <c r="M129" s="610"/>
      <c r="N129" s="610"/>
      <c r="O129" s="610"/>
      <c r="Q129" s="14"/>
      <c r="R129"/>
    </row>
    <row r="130" spans="1:18">
      <c r="A130" s="9"/>
      <c r="B130" s="107"/>
      <c r="C130" s="77" t="s">
        <v>392</v>
      </c>
      <c r="D130" s="623">
        <f>K81</f>
        <v>0</v>
      </c>
      <c r="E130" s="623">
        <f>K81</f>
        <v>0</v>
      </c>
      <c r="F130" s="623">
        <f>K81</f>
        <v>0</v>
      </c>
      <c r="G130" s="611"/>
      <c r="H130" s="611"/>
      <c r="I130" s="611"/>
      <c r="J130" s="611"/>
      <c r="K130" s="611"/>
      <c r="L130" s="611"/>
      <c r="M130" s="611"/>
      <c r="N130" s="611"/>
      <c r="O130" s="611"/>
      <c r="Q130" s="14"/>
      <c r="R130"/>
    </row>
    <row r="131" spans="1:18">
      <c r="A131" s="9"/>
      <c r="B131" s="107"/>
      <c r="C131" s="58" t="s">
        <v>105</v>
      </c>
      <c r="D131" s="615">
        <f>IF(D129&gt;0,D129*(1-D130),D129)</f>
        <v>0</v>
      </c>
      <c r="E131" s="615" t="e">
        <f>IF(E129&gt;0,IF(D131&lt;0,IF(E129+D131&gt;0,(E129+D131)*(1-E130),E129),E129*(1-E130)),E129)</f>
        <v>#REF!</v>
      </c>
      <c r="F131" s="615" t="e">
        <f>IF(F129&gt;0,IF(E131&lt;0,IF(F129+E131&gt;0,(F129+E131)*(1-F130),F129),F129*(1-F130)),F129)</f>
        <v>#REF!</v>
      </c>
      <c r="G131" s="610" t="e">
        <f>SUM(D131:F131)</f>
        <v>#REF!</v>
      </c>
      <c r="H131" s="610"/>
      <c r="I131" s="610"/>
      <c r="J131" s="610"/>
      <c r="K131" s="610"/>
      <c r="L131" s="610"/>
      <c r="M131" s="610"/>
      <c r="N131" s="610"/>
      <c r="O131" s="610"/>
      <c r="Q131" s="14"/>
      <c r="R131"/>
    </row>
    <row r="132" spans="1:18">
      <c r="A132" s="9"/>
      <c r="B132" s="107"/>
      <c r="C132" s="58"/>
      <c r="D132" s="618"/>
      <c r="E132" s="619"/>
      <c r="F132" s="618"/>
      <c r="G132" s="613"/>
      <c r="H132" s="613"/>
      <c r="I132" s="613"/>
      <c r="J132" s="613"/>
      <c r="K132" s="613"/>
      <c r="L132" s="613"/>
      <c r="M132" s="613"/>
      <c r="N132" s="613"/>
      <c r="O132" s="613"/>
      <c r="Q132" s="14"/>
      <c r="R132"/>
    </row>
    <row r="133" spans="1:18">
      <c r="A133" s="9"/>
      <c r="B133" s="107"/>
      <c r="C133" s="50"/>
      <c r="D133" s="69"/>
      <c r="E133" s="69"/>
      <c r="F133" s="69"/>
      <c r="G133" s="608"/>
      <c r="H133" s="608"/>
      <c r="I133" s="608"/>
      <c r="J133" s="608"/>
      <c r="K133" s="608"/>
      <c r="L133" s="608"/>
      <c r="M133" s="608"/>
      <c r="N133" s="608"/>
      <c r="O133" s="608"/>
      <c r="Q133" s="14"/>
      <c r="R133"/>
    </row>
    <row r="134" spans="1:18" ht="15.75">
      <c r="A134" s="604">
        <v>3</v>
      </c>
      <c r="B134" s="565" t="s">
        <v>568</v>
      </c>
      <c r="C134" s="567"/>
      <c r="D134" s="567"/>
      <c r="E134" s="567"/>
      <c r="F134" s="567"/>
      <c r="G134"/>
      <c r="I134"/>
      <c r="O134"/>
      <c r="R134"/>
    </row>
    <row r="135" spans="1:18">
      <c r="A135" s="9"/>
      <c r="B135" s="49"/>
      <c r="C135" s="50"/>
      <c r="D135" s="69"/>
      <c r="E135" s="69"/>
      <c r="F135" s="69"/>
      <c r="G135" s="54"/>
      <c r="H135" s="54"/>
      <c r="I135" s="54"/>
      <c r="J135" s="54"/>
      <c r="K135" s="54"/>
      <c r="L135" s="54"/>
      <c r="M135" s="54"/>
      <c r="N135" s="54"/>
      <c r="O135" s="54"/>
      <c r="Q135" s="14"/>
      <c r="R135"/>
    </row>
    <row r="136" spans="1:18">
      <c r="A136" s="82"/>
      <c r="B136" s="631" t="s">
        <v>570</v>
      </c>
      <c r="C136" s="251" t="s">
        <v>569</v>
      </c>
      <c r="D136" s="59"/>
      <c r="E136" s="59"/>
      <c r="F136" s="59"/>
      <c r="G136" s="59"/>
      <c r="H136" s="59"/>
      <c r="I136" s="59"/>
      <c r="J136" s="59"/>
      <c r="K136" s="59"/>
      <c r="L136" s="59"/>
      <c r="M136" s="59"/>
      <c r="N136" s="59"/>
      <c r="O136" s="59"/>
      <c r="P136" s="14"/>
      <c r="Q136" s="14"/>
      <c r="R136"/>
    </row>
    <row r="137" spans="1:18" ht="15.75">
      <c r="A137" s="237"/>
      <c r="B137" s="633" t="s">
        <v>615</v>
      </c>
      <c r="C137" s="53"/>
      <c r="D137" s="59"/>
      <c r="E137" s="59"/>
      <c r="F137" s="59"/>
      <c r="G137" s="59"/>
      <c r="H137" s="59"/>
      <c r="I137" s="59"/>
      <c r="J137" s="59"/>
      <c r="K137" s="59"/>
      <c r="L137" s="59"/>
      <c r="M137" s="59"/>
      <c r="N137" s="59"/>
      <c r="O137" s="59"/>
      <c r="P137" s="14"/>
      <c r="Q137" s="14"/>
      <c r="R137"/>
    </row>
    <row r="138" spans="1:18">
      <c r="A138" s="82"/>
      <c r="B138" s="632" t="s">
        <v>571</v>
      </c>
      <c r="C138" s="53">
        <v>100</v>
      </c>
      <c r="D138" s="608"/>
      <c r="E138" s="608"/>
      <c r="F138" s="608"/>
      <c r="G138" s="608"/>
      <c r="H138" s="608"/>
      <c r="I138" s="608"/>
      <c r="J138" s="608"/>
      <c r="K138" s="608"/>
      <c r="L138" s="608"/>
      <c r="M138" s="608"/>
      <c r="N138" s="608"/>
      <c r="O138" s="608"/>
      <c r="Q138" s="14"/>
      <c r="R138"/>
    </row>
    <row r="139" spans="1:18">
      <c r="A139" s="82"/>
      <c r="B139" s="241" t="s">
        <v>572</v>
      </c>
      <c r="C139" s="53">
        <v>0</v>
      </c>
      <c r="D139" s="242"/>
      <c r="E139" s="54"/>
      <c r="F139" s="54"/>
      <c r="G139" s="54"/>
      <c r="H139" s="54"/>
      <c r="I139" s="54"/>
      <c r="J139" s="54"/>
      <c r="K139" s="54"/>
      <c r="L139" s="54"/>
      <c r="M139" s="54"/>
      <c r="N139" s="54"/>
      <c r="O139" s="54"/>
      <c r="Q139" s="14"/>
      <c r="R139"/>
    </row>
    <row r="140" spans="1:18">
      <c r="A140" s="82"/>
      <c r="B140" s="241" t="s">
        <v>579</v>
      </c>
      <c r="C140" s="53">
        <v>0</v>
      </c>
      <c r="D140" s="242"/>
      <c r="E140" s="54"/>
      <c r="F140" s="54"/>
      <c r="G140" s="54"/>
      <c r="H140" s="54"/>
      <c r="I140" s="54"/>
      <c r="J140" s="54"/>
      <c r="K140" s="54"/>
      <c r="L140" s="54"/>
      <c r="M140" s="54"/>
      <c r="N140" s="54"/>
      <c r="O140" s="54"/>
      <c r="Q140" s="14"/>
      <c r="R140"/>
    </row>
    <row r="141" spans="1:18">
      <c r="A141" s="82"/>
      <c r="B141" s="241" t="s">
        <v>616</v>
      </c>
      <c r="C141" s="53"/>
      <c r="D141" s="242"/>
      <c r="E141" s="54"/>
      <c r="F141" s="54"/>
      <c r="G141" s="54"/>
      <c r="H141" s="54"/>
      <c r="I141" s="54"/>
      <c r="J141" s="54"/>
      <c r="K141" s="54"/>
      <c r="L141" s="54"/>
      <c r="M141" s="54"/>
      <c r="N141" s="54"/>
      <c r="O141" s="54"/>
      <c r="Q141" s="14"/>
      <c r="R141"/>
    </row>
    <row r="142" spans="1:18">
      <c r="A142" s="82"/>
      <c r="C142" s="53"/>
      <c r="D142" s="242"/>
      <c r="E142" s="54"/>
      <c r="F142" s="54"/>
      <c r="G142" s="54"/>
      <c r="H142" s="54"/>
      <c r="I142" s="54"/>
      <c r="J142" s="54"/>
      <c r="K142" s="54"/>
      <c r="L142" s="54"/>
      <c r="M142" s="54"/>
      <c r="N142" s="54"/>
      <c r="O142" s="54"/>
      <c r="Q142" s="14"/>
      <c r="R142"/>
    </row>
    <row r="143" spans="1:18">
      <c r="A143" s="82"/>
      <c r="B143" s="80" t="s">
        <v>580</v>
      </c>
      <c r="C143" s="251" t="s">
        <v>35</v>
      </c>
      <c r="D143" s="637" t="s">
        <v>34</v>
      </c>
      <c r="E143" s="629" t="s">
        <v>33</v>
      </c>
      <c r="F143" s="629" t="s">
        <v>101</v>
      </c>
      <c r="G143" s="54"/>
      <c r="H143" s="54"/>
      <c r="I143" s="54"/>
      <c r="J143" s="54"/>
      <c r="K143" s="54"/>
      <c r="L143" s="54"/>
      <c r="M143" s="54"/>
      <c r="N143" s="54"/>
      <c r="O143" s="54"/>
      <c r="Q143" s="14"/>
      <c r="R143"/>
    </row>
    <row r="144" spans="1:18">
      <c r="A144" s="82"/>
      <c r="B144" s="241" t="s">
        <v>157</v>
      </c>
      <c r="C144" s="53"/>
      <c r="D144" s="242"/>
      <c r="E144" s="54"/>
      <c r="F144" s="54"/>
      <c r="G144" s="54"/>
      <c r="H144" s="54"/>
      <c r="I144" s="54"/>
      <c r="J144" s="54"/>
      <c r="K144" s="54"/>
      <c r="L144" s="54"/>
      <c r="M144" s="54"/>
      <c r="N144" s="54"/>
      <c r="O144" s="54"/>
      <c r="Q144" s="14"/>
      <c r="R144"/>
    </row>
    <row r="145" spans="1:18">
      <c r="A145" s="82"/>
      <c r="B145" s="241" t="s">
        <v>156</v>
      </c>
      <c r="C145" s="53"/>
      <c r="D145" s="242"/>
      <c r="E145" s="54"/>
      <c r="F145" s="54"/>
      <c r="G145" s="54"/>
      <c r="H145" s="54"/>
      <c r="I145" s="54"/>
      <c r="J145" s="54"/>
      <c r="K145" s="54"/>
      <c r="L145" s="54"/>
      <c r="M145" s="54"/>
      <c r="N145" s="54"/>
      <c r="O145" s="54"/>
      <c r="Q145" s="14"/>
      <c r="R145"/>
    </row>
    <row r="146" spans="1:18">
      <c r="A146" s="82"/>
      <c r="B146" s="241"/>
      <c r="C146" s="53"/>
      <c r="D146" s="242"/>
      <c r="E146" s="54"/>
      <c r="F146" s="54"/>
      <c r="G146" s="54"/>
      <c r="H146" s="54"/>
      <c r="I146" s="54"/>
      <c r="J146" s="54"/>
      <c r="K146" s="54"/>
      <c r="L146" s="54"/>
      <c r="M146" s="54"/>
      <c r="N146" s="54"/>
      <c r="O146" s="54"/>
      <c r="Q146" s="14"/>
      <c r="R146"/>
    </row>
    <row r="147" spans="1:18">
      <c r="A147" s="82"/>
      <c r="B147" s="634"/>
      <c r="C147" s="632"/>
      <c r="D147" s="207"/>
      <c r="E147" s="612"/>
      <c r="F147" s="612"/>
      <c r="G147" s="612"/>
      <c r="H147" s="616"/>
      <c r="I147" s="612"/>
      <c r="J147" s="612"/>
      <c r="K147" s="612"/>
      <c r="L147" s="612"/>
      <c r="M147" s="612"/>
      <c r="N147" s="612"/>
      <c r="O147" s="612"/>
      <c r="Q147" s="14"/>
      <c r="R147"/>
    </row>
    <row r="148" spans="1:18" ht="15.75">
      <c r="A148" s="604">
        <v>3</v>
      </c>
      <c r="B148" s="565" t="s">
        <v>573</v>
      </c>
      <c r="C148" s="567"/>
      <c r="D148" s="567"/>
      <c r="E148" s="567"/>
      <c r="F148" s="567"/>
      <c r="G148"/>
      <c r="I148"/>
      <c r="O148"/>
      <c r="R148"/>
    </row>
    <row r="149" spans="1:18" ht="15.75">
      <c r="A149" s="82"/>
      <c r="B149" s="631"/>
      <c r="C149" s="635"/>
      <c r="D149" s="113"/>
      <c r="E149" s="113"/>
      <c r="F149" s="113"/>
      <c r="G149" s="113"/>
      <c r="H149" s="630" t="s">
        <v>574</v>
      </c>
      <c r="I149" s="113"/>
      <c r="J149" s="113"/>
      <c r="K149" s="630" t="s">
        <v>575</v>
      </c>
      <c r="L149" s="113"/>
      <c r="M149" s="113"/>
      <c r="N149" s="630" t="s">
        <v>576</v>
      </c>
      <c r="O149" s="113"/>
      <c r="Q149" s="630" t="s">
        <v>577</v>
      </c>
      <c r="R149"/>
    </row>
    <row r="150" spans="1:18" ht="15.75">
      <c r="A150" s="636" t="s">
        <v>578</v>
      </c>
      <c r="B150" s="1013" t="s">
        <v>458</v>
      </c>
      <c r="C150" s="630" t="s">
        <v>574</v>
      </c>
      <c r="D150" s="630" t="s">
        <v>575</v>
      </c>
      <c r="E150" s="630" t="s">
        <v>576</v>
      </c>
      <c r="F150" s="630" t="s">
        <v>577</v>
      </c>
      <c r="G150" s="638" t="s">
        <v>619</v>
      </c>
      <c r="H150" s="638" t="s">
        <v>581</v>
      </c>
      <c r="I150" s="638" t="s">
        <v>582</v>
      </c>
      <c r="J150" s="610"/>
      <c r="K150" s="638" t="s">
        <v>581</v>
      </c>
      <c r="L150" s="638" t="s">
        <v>582</v>
      </c>
      <c r="M150" s="610"/>
      <c r="N150" s="638" t="s">
        <v>581</v>
      </c>
      <c r="O150" s="638" t="s">
        <v>582</v>
      </c>
      <c r="Q150" s="638" t="s">
        <v>581</v>
      </c>
      <c r="R150" s="638" t="s">
        <v>582</v>
      </c>
    </row>
    <row r="151" spans="1:18">
      <c r="G151"/>
      <c r="I151"/>
      <c r="O151"/>
      <c r="R151"/>
    </row>
    <row r="152" spans="1:18">
      <c r="G152" s="1275"/>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2" activePane="bottomLeft" state="frozen"/>
      <selection activeCell="D50" sqref="D50"/>
      <selection pane="bottomLeft" activeCell="F28" sqref="F28"/>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292" customFormat="1" ht="32.1" customHeight="1">
      <c r="L1" s="293"/>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75" customHeight="1">
      <c r="Q3" s="293"/>
      <c r="R3" s="293"/>
      <c r="S3" s="293"/>
      <c r="T3" s="293"/>
      <c r="U3" s="293"/>
      <c r="V3" s="293"/>
      <c r="W3" s="293"/>
      <c r="X3" s="293"/>
      <c r="Y3" s="293"/>
    </row>
    <row r="4" spans="1:25" s="300" customFormat="1" ht="15.75" hidden="1" customHeight="1">
      <c r="A4" s="294">
        <v>1</v>
      </c>
      <c r="B4" s="295" t="s">
        <v>14</v>
      </c>
      <c r="C4" s="295"/>
      <c r="D4" s="296"/>
      <c r="E4" s="296"/>
      <c r="F4" s="297"/>
      <c r="G4" s="1425"/>
      <c r="H4" s="1425"/>
      <c r="I4" s="1425"/>
      <c r="J4" s="1425"/>
      <c r="K4" s="299"/>
      <c r="O4" s="301"/>
      <c r="P4" s="302"/>
      <c r="Q4" s="303"/>
      <c r="R4" s="303"/>
      <c r="S4" s="303"/>
      <c r="T4" s="303"/>
      <c r="U4" s="303"/>
      <c r="V4" s="303"/>
      <c r="W4" s="303"/>
      <c r="X4" s="303"/>
      <c r="Y4" s="303"/>
    </row>
    <row r="5" spans="1:25" s="300" customFormat="1" ht="11.25" hidden="1" customHeight="1">
      <c r="A5" s="297"/>
      <c r="B5" s="304"/>
      <c r="C5" s="304"/>
      <c r="D5" s="304"/>
      <c r="E5" s="1426"/>
      <c r="F5" s="1426"/>
      <c r="G5" s="306"/>
      <c r="H5" s="303"/>
      <c r="I5" s="303"/>
      <c r="J5" s="303"/>
      <c r="K5" s="304"/>
      <c r="O5" s="301"/>
      <c r="P5" s="301"/>
      <c r="Q5" s="303"/>
      <c r="R5" s="303"/>
      <c r="S5" s="303"/>
      <c r="T5" s="303"/>
      <c r="U5" s="303"/>
      <c r="V5" s="303"/>
      <c r="W5" s="303"/>
      <c r="X5" s="303"/>
      <c r="Y5" s="303"/>
    </row>
    <row r="6" spans="1:25" s="300" customFormat="1" ht="11.25" hidden="1" customHeight="1">
      <c r="A6" s="297"/>
      <c r="B6" s="304"/>
      <c r="C6" s="304"/>
      <c r="D6" s="304"/>
      <c r="E6" s="1426"/>
      <c r="F6" s="1426"/>
      <c r="G6" s="307" t="s">
        <v>95</v>
      </c>
      <c r="H6" s="307" t="s">
        <v>35</v>
      </c>
      <c r="I6" s="307" t="s">
        <v>34</v>
      </c>
      <c r="J6" s="307" t="s">
        <v>33</v>
      </c>
      <c r="K6" s="308" t="s">
        <v>94</v>
      </c>
      <c r="O6" s="301"/>
      <c r="P6" s="301"/>
      <c r="Q6" s="303"/>
      <c r="R6" s="303"/>
      <c r="S6" s="303"/>
      <c r="T6" s="303"/>
      <c r="U6" s="303"/>
      <c r="V6" s="303"/>
      <c r="W6" s="303"/>
      <c r="X6" s="303"/>
      <c r="Y6" s="303"/>
    </row>
    <row r="7" spans="1:25" s="300" customFormat="1" ht="11.25" hidden="1" customHeight="1">
      <c r="A7" s="1290" t="s">
        <v>508</v>
      </c>
      <c r="B7" s="309" t="s">
        <v>91</v>
      </c>
      <c r="C7" s="310"/>
      <c r="D7" s="311"/>
      <c r="E7" s="310"/>
      <c r="F7" s="1424" t="s">
        <v>85</v>
      </c>
      <c r="G7" s="284">
        <v>15000000</v>
      </c>
      <c r="H7" s="285">
        <v>1.03</v>
      </c>
      <c r="I7" s="285">
        <v>1.06</v>
      </c>
      <c r="J7" s="285">
        <v>1.1000000000000001</v>
      </c>
      <c r="K7" s="312"/>
      <c r="O7" s="301"/>
      <c r="P7" s="301"/>
      <c r="Q7" s="303"/>
      <c r="R7" s="303"/>
      <c r="S7" s="303"/>
      <c r="T7" s="303"/>
      <c r="U7" s="303"/>
      <c r="V7" s="303"/>
      <c r="W7" s="303"/>
      <c r="X7" s="303"/>
      <c r="Y7" s="303"/>
    </row>
    <row r="8" spans="1:25" s="300" customFormat="1" ht="11.25" hidden="1" customHeight="1">
      <c r="A8" s="1290" t="s">
        <v>509</v>
      </c>
      <c r="B8" s="313" t="s">
        <v>636</v>
      </c>
      <c r="C8" s="314"/>
      <c r="D8" s="315"/>
      <c r="E8" s="316"/>
      <c r="F8" s="317" t="s">
        <v>89</v>
      </c>
      <c r="G8" s="286">
        <v>73920</v>
      </c>
      <c r="H8" s="318"/>
      <c r="I8" s="318"/>
      <c r="J8" s="318"/>
      <c r="K8" s="312"/>
      <c r="O8" s="301"/>
      <c r="P8" s="301"/>
      <c r="Q8" s="303"/>
      <c r="R8" s="303"/>
      <c r="S8" s="303"/>
      <c r="T8" s="303"/>
      <c r="U8" s="303"/>
      <c r="V8" s="303"/>
      <c r="W8" s="303"/>
      <c r="X8" s="303"/>
      <c r="Y8" s="303"/>
    </row>
    <row r="9" spans="1:25" s="300" customFormat="1" ht="11.25" hidden="1" customHeight="1">
      <c r="A9" s="1290" t="s">
        <v>510</v>
      </c>
      <c r="B9" s="319" t="s">
        <v>88</v>
      </c>
      <c r="C9" s="320"/>
      <c r="D9" s="321"/>
      <c r="E9" s="322"/>
      <c r="F9" s="1424" t="s">
        <v>85</v>
      </c>
      <c r="G9" s="287">
        <v>1.5</v>
      </c>
      <c r="H9" s="318"/>
      <c r="I9" s="318"/>
      <c r="J9" s="318"/>
      <c r="K9" s="312"/>
      <c r="O9" s="301"/>
      <c r="P9" s="301"/>
      <c r="Q9" s="303"/>
      <c r="R9" s="303"/>
      <c r="S9" s="303"/>
      <c r="T9" s="303"/>
      <c r="U9" s="303"/>
      <c r="V9" s="303"/>
      <c r="W9" s="303"/>
      <c r="X9" s="303"/>
      <c r="Y9" s="303"/>
    </row>
    <row r="10" spans="1:25" s="300" customFormat="1" ht="11.25" hidden="1" customHeight="1">
      <c r="A10" s="1290" t="s">
        <v>511</v>
      </c>
      <c r="B10" s="323" t="s">
        <v>93</v>
      </c>
      <c r="C10" s="324"/>
      <c r="D10" s="325"/>
      <c r="E10" s="324"/>
      <c r="F10" s="1424" t="s">
        <v>49</v>
      </c>
      <c r="G10" s="288"/>
      <c r="H10" s="289">
        <v>1.1000000000000001</v>
      </c>
      <c r="I10" s="289">
        <v>1.18</v>
      </c>
      <c r="J10" s="289">
        <v>1.25</v>
      </c>
      <c r="K10" s="326"/>
      <c r="O10" s="301"/>
      <c r="P10" s="301"/>
      <c r="Q10" s="303"/>
      <c r="R10" s="303"/>
      <c r="S10" s="303"/>
      <c r="T10" s="303"/>
      <c r="U10" s="303"/>
      <c r="V10" s="303"/>
      <c r="W10" s="303"/>
      <c r="X10" s="303"/>
      <c r="Y10" s="303"/>
    </row>
    <row r="11" spans="1:25" s="300" customFormat="1" ht="11.25" hidden="1" customHeight="1">
      <c r="A11" s="1290"/>
      <c r="B11" s="1260" t="s">
        <v>448</v>
      </c>
      <c r="C11" s="327"/>
      <c r="D11" s="328"/>
      <c r="E11" s="327"/>
      <c r="F11" s="1424" t="s">
        <v>85</v>
      </c>
      <c r="G11" s="329">
        <v>110880</v>
      </c>
      <c r="H11" s="330">
        <v>121968.00000000001</v>
      </c>
      <c r="I11" s="330">
        <v>130838.39999999999</v>
      </c>
      <c r="J11" s="330">
        <v>138600</v>
      </c>
      <c r="K11" s="326">
        <v>391406.4</v>
      </c>
      <c r="O11" s="301"/>
      <c r="P11" s="301"/>
      <c r="Q11" s="303"/>
      <c r="R11" s="303"/>
      <c r="S11" s="303"/>
      <c r="T11" s="303"/>
      <c r="U11" s="303"/>
      <c r="V11" s="303"/>
      <c r="W11" s="303"/>
      <c r="X11" s="303"/>
      <c r="Y11" s="303"/>
    </row>
    <row r="12" spans="1:25" s="300" customFormat="1" ht="11.25" hidden="1" customHeight="1">
      <c r="A12" s="1290" t="s">
        <v>512</v>
      </c>
      <c r="B12" s="331" t="s">
        <v>519</v>
      </c>
      <c r="C12" s="303"/>
      <c r="D12" s="332"/>
      <c r="E12" s="303"/>
      <c r="F12" s="1424" t="s">
        <v>49</v>
      </c>
      <c r="G12" s="333"/>
      <c r="H12" s="334"/>
      <c r="I12" s="334"/>
      <c r="J12" s="334"/>
      <c r="K12" s="750">
        <v>2.1800000000000002</v>
      </c>
      <c r="O12" s="301"/>
      <c r="P12" s="301"/>
      <c r="Q12" s="303"/>
      <c r="R12" s="303"/>
      <c r="S12" s="303"/>
      <c r="T12" s="303"/>
      <c r="U12" s="303"/>
      <c r="V12" s="303"/>
      <c r="W12" s="303"/>
      <c r="X12" s="303"/>
      <c r="Y12" s="303"/>
    </row>
    <row r="13" spans="1:25" s="300" customFormat="1" ht="11.25" hidden="1" customHeight="1">
      <c r="A13" s="1290" t="s">
        <v>513</v>
      </c>
      <c r="B13" s="313" t="s">
        <v>92</v>
      </c>
      <c r="C13" s="314"/>
      <c r="D13" s="315"/>
      <c r="E13" s="314"/>
      <c r="F13" s="1424" t="s">
        <v>49</v>
      </c>
      <c r="G13" s="335"/>
      <c r="H13" s="290">
        <v>0.31</v>
      </c>
      <c r="I13" s="290">
        <v>0.33</v>
      </c>
      <c r="J13" s="290">
        <v>0.36</v>
      </c>
      <c r="K13" s="336">
        <v>1</v>
      </c>
      <c r="O13" s="301"/>
      <c r="P13" s="301"/>
      <c r="Q13" s="303"/>
      <c r="R13" s="303"/>
      <c r="S13" s="303"/>
      <c r="T13" s="303"/>
      <c r="U13" s="303"/>
      <c r="V13" s="303"/>
      <c r="W13" s="303"/>
      <c r="X13" s="303"/>
      <c r="Y13" s="303"/>
    </row>
    <row r="14" spans="1:25" s="300" customFormat="1" ht="11.25" hidden="1" customHeight="1">
      <c r="A14" s="1290"/>
      <c r="B14" s="319" t="s">
        <v>405</v>
      </c>
      <c r="C14" s="320"/>
      <c r="D14" s="321"/>
      <c r="E14" s="320"/>
      <c r="F14" s="337" t="s">
        <v>85</v>
      </c>
      <c r="G14" s="335"/>
      <c r="H14" s="230">
        <v>264512.44512000005</v>
      </c>
      <c r="I14" s="230">
        <v>281577.76416000008</v>
      </c>
      <c r="J14" s="230">
        <v>307175.74272000004</v>
      </c>
      <c r="K14" s="338">
        <v>853265.95200000016</v>
      </c>
      <c r="O14" s="301"/>
      <c r="P14" s="301"/>
      <c r="Q14" s="303"/>
      <c r="R14" s="303"/>
      <c r="S14" s="303"/>
      <c r="T14" s="303"/>
      <c r="U14" s="303"/>
      <c r="V14" s="303"/>
      <c r="W14" s="303"/>
      <c r="X14" s="303"/>
      <c r="Y14" s="303"/>
    </row>
    <row r="15" spans="1:25" s="300" customFormat="1" ht="11.25" hidden="1" customHeight="1">
      <c r="A15" s="1290" t="s">
        <v>514</v>
      </c>
      <c r="B15" s="309" t="s">
        <v>87</v>
      </c>
      <c r="C15" s="309"/>
      <c r="D15" s="339"/>
      <c r="E15" s="340"/>
      <c r="F15" s="337" t="s">
        <v>49</v>
      </c>
      <c r="G15" s="318"/>
      <c r="H15" s="291">
        <v>0.38</v>
      </c>
      <c r="I15" s="291">
        <v>0.38</v>
      </c>
      <c r="J15" s="291">
        <v>0.36</v>
      </c>
      <c r="K15" s="335">
        <v>0.37280000000000002</v>
      </c>
      <c r="O15" s="301"/>
      <c r="P15" s="301"/>
      <c r="Q15" s="303"/>
      <c r="R15" s="303"/>
      <c r="S15" s="303"/>
      <c r="T15" s="303"/>
      <c r="U15" s="303"/>
      <c r="V15" s="303"/>
      <c r="W15" s="303"/>
      <c r="X15" s="303"/>
      <c r="Y15" s="303"/>
    </row>
    <row r="16" spans="1:25" s="300" customFormat="1" ht="11.25" hidden="1">
      <c r="A16" s="1290"/>
      <c r="B16" s="1261" t="s">
        <v>449</v>
      </c>
      <c r="C16" s="320"/>
      <c r="D16" s="321"/>
      <c r="E16" s="320"/>
      <c r="F16" s="337" t="s">
        <v>85</v>
      </c>
      <c r="G16" s="318"/>
      <c r="H16" s="329">
        <v>100514.72914560002</v>
      </c>
      <c r="I16" s="329">
        <v>106999.55038080004</v>
      </c>
      <c r="J16" s="329">
        <v>110583.26737920001</v>
      </c>
      <c r="K16" s="338">
        <v>318097.54690560006</v>
      </c>
      <c r="O16" s="301"/>
      <c r="P16" s="301"/>
      <c r="Q16" s="303"/>
      <c r="R16" s="303"/>
      <c r="S16" s="303"/>
      <c r="T16" s="303"/>
      <c r="U16" s="303"/>
      <c r="V16" s="303"/>
      <c r="W16" s="303"/>
      <c r="X16" s="303"/>
      <c r="Y16" s="303"/>
    </row>
    <row r="17" spans="1:25" s="300" customFormat="1" ht="11.25" hidden="1">
      <c r="A17" s="1290"/>
      <c r="B17" s="341" t="s">
        <v>406</v>
      </c>
      <c r="C17" s="303"/>
      <c r="D17" s="332"/>
      <c r="E17" s="303"/>
      <c r="F17" s="337" t="s">
        <v>49</v>
      </c>
      <c r="G17" s="318"/>
      <c r="H17" s="342">
        <v>0.82410738181818188</v>
      </c>
      <c r="I17" s="342">
        <v>0.81779928813559355</v>
      </c>
      <c r="J17" s="342">
        <v>0.79785907200000006</v>
      </c>
      <c r="K17" s="312"/>
      <c r="O17" s="301"/>
      <c r="P17" s="301"/>
      <c r="Q17" s="303"/>
      <c r="R17" s="303"/>
      <c r="S17" s="303"/>
      <c r="T17" s="303"/>
      <c r="U17" s="303"/>
      <c r="V17" s="303"/>
      <c r="W17" s="303"/>
      <c r="X17" s="303"/>
      <c r="Y17" s="303"/>
    </row>
    <row r="18" spans="1:25" s="300" customFormat="1" ht="11.25" hidden="1">
      <c r="A18" s="1290"/>
      <c r="B18" s="340" t="s">
        <v>407</v>
      </c>
      <c r="C18" s="310"/>
      <c r="D18" s="311"/>
      <c r="E18" s="310"/>
      <c r="F18" s="337" t="s">
        <v>49</v>
      </c>
      <c r="G18" s="312"/>
      <c r="H18" s="343">
        <v>0.62</v>
      </c>
      <c r="I18" s="343">
        <v>0.62</v>
      </c>
      <c r="J18" s="343">
        <v>0.64</v>
      </c>
      <c r="K18" s="335">
        <v>0.62719999999999998</v>
      </c>
      <c r="O18" s="301"/>
      <c r="P18" s="301"/>
      <c r="Q18" s="303"/>
      <c r="R18" s="303"/>
      <c r="S18" s="303"/>
      <c r="T18" s="303"/>
      <c r="U18" s="303"/>
      <c r="V18" s="303"/>
      <c r="W18" s="303"/>
      <c r="X18" s="303"/>
      <c r="Y18" s="303"/>
    </row>
    <row r="19" spans="1:25" s="300" customFormat="1" ht="11.25" hidden="1">
      <c r="A19" s="1290"/>
      <c r="B19" s="1261" t="s">
        <v>450</v>
      </c>
      <c r="C19" s="320"/>
      <c r="D19" s="321"/>
      <c r="E19" s="320"/>
      <c r="F19" s="337" t="s">
        <v>85</v>
      </c>
      <c r="G19" s="312"/>
      <c r="H19" s="329">
        <v>163997.71597440002</v>
      </c>
      <c r="I19" s="329">
        <v>174578.21377920004</v>
      </c>
      <c r="J19" s="329">
        <v>196592.47534080004</v>
      </c>
      <c r="K19" s="338">
        <v>535168.40509440005</v>
      </c>
      <c r="O19" s="301"/>
      <c r="P19" s="301"/>
      <c r="Q19" s="303"/>
      <c r="R19" s="303"/>
      <c r="S19" s="303"/>
      <c r="T19" s="303"/>
      <c r="U19" s="303"/>
      <c r="V19" s="303"/>
      <c r="W19" s="303"/>
      <c r="X19" s="303"/>
      <c r="Y19" s="303"/>
    </row>
    <row r="20" spans="1:25" s="300" customFormat="1" ht="11.25" hidden="1">
      <c r="A20" s="1290" t="s">
        <v>515</v>
      </c>
      <c r="B20" s="318" t="s">
        <v>86</v>
      </c>
      <c r="C20" s="318"/>
      <c r="D20" s="344"/>
      <c r="E20" s="313"/>
      <c r="F20" s="337" t="s">
        <v>85</v>
      </c>
      <c r="G20" s="284">
        <v>476160</v>
      </c>
      <c r="H20" s="284">
        <v>476160</v>
      </c>
      <c r="I20" s="284">
        <v>476160</v>
      </c>
      <c r="J20" s="284">
        <v>476160</v>
      </c>
      <c r="K20" s="336"/>
      <c r="O20" s="301"/>
      <c r="P20" s="301"/>
      <c r="Q20" s="303"/>
      <c r="R20" s="303"/>
      <c r="S20" s="303"/>
      <c r="T20" s="303"/>
      <c r="U20" s="303"/>
      <c r="V20" s="303"/>
      <c r="W20" s="303"/>
      <c r="X20" s="303"/>
      <c r="Y20" s="303"/>
    </row>
    <row r="21" spans="1:25" s="300" customFormat="1" ht="12.75" hidden="1" customHeight="1">
      <c r="A21" s="345"/>
      <c r="B21" s="346"/>
      <c r="C21" s="304"/>
      <c r="D21" s="347"/>
      <c r="E21" s="306"/>
      <c r="F21" s="306"/>
      <c r="G21" s="1426"/>
      <c r="H21" s="1426"/>
      <c r="I21" s="348"/>
      <c r="J21" s="301"/>
      <c r="K21" s="301"/>
      <c r="L21" s="303"/>
      <c r="M21" s="303"/>
      <c r="N21" s="303"/>
      <c r="O21" s="303"/>
      <c r="P21" s="301"/>
      <c r="Q21" s="303"/>
      <c r="R21" s="303"/>
      <c r="S21" s="303"/>
      <c r="T21" s="303"/>
      <c r="U21" s="303"/>
      <c r="V21" s="303"/>
      <c r="W21" s="303"/>
      <c r="X21" s="303"/>
      <c r="Y21" s="303"/>
    </row>
    <row r="22" spans="1:25" s="356" customFormat="1" ht="15.75">
      <c r="A22" s="349">
        <v>1</v>
      </c>
      <c r="B22" s="350" t="s">
        <v>365</v>
      </c>
      <c r="C22" s="351"/>
      <c r="D22" s="352"/>
      <c r="E22" s="353"/>
      <c r="F22" s="354"/>
      <c r="G22" s="354"/>
      <c r="H22" s="354"/>
      <c r="I22" s="354"/>
      <c r="J22" s="354"/>
      <c r="K22" s="354"/>
      <c r="L22" s="354"/>
      <c r="M22" s="354"/>
      <c r="N22" s="354"/>
      <c r="O22" s="354"/>
      <c r="P22" s="354"/>
      <c r="Q22" s="354"/>
      <c r="R22" s="354"/>
      <c r="S22" s="354"/>
      <c r="T22" s="355"/>
    </row>
    <row r="23" spans="1:25" s="300" customFormat="1" ht="12.75" customHeight="1">
      <c r="A23" s="345"/>
      <c r="B23" s="346"/>
      <c r="C23" s="304"/>
      <c r="D23" s="347"/>
      <c r="E23" s="306"/>
      <c r="F23" s="306"/>
      <c r="G23" s="1426"/>
      <c r="H23" s="1426"/>
      <c r="I23" s="348"/>
      <c r="J23" s="301"/>
      <c r="K23" s="301"/>
      <c r="L23" s="303"/>
      <c r="M23" s="303"/>
      <c r="N23" s="303"/>
      <c r="O23" s="303"/>
      <c r="P23" s="301"/>
      <c r="Q23" s="303"/>
      <c r="R23" s="303"/>
      <c r="S23" s="303"/>
      <c r="T23" s="303"/>
      <c r="U23" s="303"/>
      <c r="V23" s="303"/>
      <c r="W23" s="303"/>
      <c r="X23" s="303"/>
      <c r="Y23" s="303"/>
    </row>
    <row r="24" spans="1:25" s="300" customFormat="1" ht="11.25">
      <c r="D24" s="312" t="s">
        <v>333</v>
      </c>
      <c r="E24" s="1458" t="s">
        <v>334</v>
      </c>
      <c r="F24" s="1458"/>
      <c r="G24" s="1426"/>
      <c r="H24" s="1426"/>
      <c r="I24" s="348"/>
      <c r="J24" s="301"/>
      <c r="K24" s="301"/>
      <c r="L24" s="303"/>
      <c r="M24" s="303"/>
      <c r="N24" s="303"/>
      <c r="O24" s="303"/>
      <c r="P24" s="301"/>
      <c r="Q24" s="303"/>
      <c r="R24" s="303"/>
      <c r="S24" s="303"/>
      <c r="T24" s="303"/>
      <c r="U24" s="303"/>
      <c r="V24" s="303"/>
      <c r="W24" s="303"/>
      <c r="X24" s="303"/>
      <c r="Y24" s="303"/>
    </row>
    <row r="25" spans="1:25" s="300" customFormat="1" ht="12.75" customHeight="1">
      <c r="A25" s="345"/>
      <c r="D25" s="312" t="s">
        <v>35</v>
      </c>
      <c r="E25" s="312" t="s">
        <v>34</v>
      </c>
      <c r="F25" s="312" t="s">
        <v>33</v>
      </c>
      <c r="G25" s="1426"/>
      <c r="H25" s="1426"/>
      <c r="I25" s="348"/>
      <c r="J25" s="301"/>
      <c r="K25" s="301"/>
      <c r="L25" s="303"/>
      <c r="M25" s="303"/>
      <c r="N25" s="303"/>
      <c r="O25" s="303"/>
      <c r="P25" s="301"/>
      <c r="Q25" s="303"/>
      <c r="R25" s="303"/>
      <c r="S25" s="303"/>
      <c r="T25" s="303"/>
      <c r="U25" s="303"/>
      <c r="V25" s="303"/>
      <c r="W25" s="303"/>
      <c r="X25" s="303"/>
      <c r="Y25" s="303"/>
    </row>
    <row r="26" spans="1:25" s="300" customFormat="1" ht="12.75" customHeight="1">
      <c r="A26" s="345"/>
      <c r="B26" s="765" t="s">
        <v>79</v>
      </c>
      <c r="C26" s="740"/>
      <c r="D26" s="766">
        <v>35000</v>
      </c>
      <c r="E26" s="767">
        <v>1.1000000000000001</v>
      </c>
      <c r="F26" s="767">
        <v>1.1000000000000001</v>
      </c>
      <c r="G26" s="510"/>
      <c r="J26" s="303"/>
      <c r="K26" s="303"/>
      <c r="L26" s="303"/>
      <c r="M26" s="303"/>
      <c r="N26" s="303"/>
      <c r="O26" s="303"/>
      <c r="P26" s="301"/>
      <c r="Q26" s="303"/>
      <c r="R26" s="303"/>
      <c r="S26" s="303"/>
      <c r="T26" s="303"/>
      <c r="U26" s="303"/>
      <c r="V26" s="303"/>
      <c r="W26" s="303"/>
      <c r="X26" s="303"/>
      <c r="Y26" s="303"/>
    </row>
    <row r="27" spans="1:25" s="300" customFormat="1" ht="12.75" customHeight="1">
      <c r="A27" s="345"/>
      <c r="B27" s="765" t="s">
        <v>78</v>
      </c>
      <c r="C27" s="740"/>
      <c r="D27" s="766">
        <v>3000</v>
      </c>
      <c r="E27" s="767">
        <v>1.1000000000000001</v>
      </c>
      <c r="F27" s="767">
        <v>1.1000000000000001</v>
      </c>
      <c r="G27" s="510"/>
      <c r="J27" s="303"/>
      <c r="K27" s="303"/>
      <c r="L27" s="303"/>
      <c r="M27" s="303"/>
      <c r="N27" s="303"/>
      <c r="O27" s="303"/>
      <c r="P27" s="301"/>
      <c r="Q27" s="303"/>
      <c r="R27" s="303"/>
      <c r="S27" s="303"/>
      <c r="T27" s="303"/>
      <c r="U27" s="303"/>
      <c r="V27" s="303"/>
      <c r="W27" s="303"/>
      <c r="X27" s="303"/>
      <c r="Y27" s="303"/>
    </row>
    <row r="28" spans="1:25" s="300" customFormat="1" ht="12.75" customHeight="1">
      <c r="A28" s="345"/>
      <c r="B28" s="765" t="s">
        <v>1480</v>
      </c>
      <c r="C28" s="740"/>
      <c r="D28" s="766">
        <v>28000</v>
      </c>
      <c r="E28" s="767">
        <v>1.1000000000000001</v>
      </c>
      <c r="F28" s="767">
        <v>1.1000000000000001</v>
      </c>
      <c r="G28" s="510"/>
      <c r="J28" s="303"/>
      <c r="K28" s="303"/>
      <c r="L28" s="303"/>
      <c r="M28" s="303"/>
      <c r="N28" s="303"/>
      <c r="O28" s="303"/>
      <c r="P28" s="301"/>
      <c r="Q28" s="303"/>
      <c r="R28" s="303"/>
      <c r="S28" s="303"/>
      <c r="T28" s="303"/>
      <c r="U28" s="303"/>
      <c r="V28" s="303"/>
      <c r="W28" s="303"/>
      <c r="X28" s="303"/>
      <c r="Y28" s="303"/>
    </row>
    <row r="29" spans="1:25" s="300" customFormat="1" ht="12.75" customHeight="1">
      <c r="A29" s="345"/>
      <c r="B29" s="765" t="s">
        <v>1481</v>
      </c>
      <c r="C29" s="740"/>
      <c r="D29" s="766">
        <v>15000</v>
      </c>
      <c r="E29" s="767">
        <v>1.1000000000000001</v>
      </c>
      <c r="F29" s="767">
        <v>1.1000000000000001</v>
      </c>
      <c r="G29" s="510"/>
      <c r="J29" s="303"/>
      <c r="K29" s="303"/>
      <c r="L29" s="303"/>
      <c r="M29" s="303"/>
      <c r="N29" s="303"/>
      <c r="O29" s="303"/>
      <c r="P29" s="301"/>
      <c r="Q29" s="303"/>
      <c r="R29" s="303"/>
      <c r="S29" s="303"/>
      <c r="T29" s="303"/>
      <c r="U29" s="303"/>
      <c r="V29" s="303"/>
      <c r="W29" s="303"/>
      <c r="X29" s="303"/>
      <c r="Y29" s="303"/>
    </row>
    <row r="30" spans="1:25" s="300" customFormat="1" ht="12.75" customHeight="1">
      <c r="A30" s="345"/>
      <c r="B30" s="765" t="s">
        <v>1482</v>
      </c>
      <c r="C30" s="740"/>
      <c r="D30" s="766">
        <v>3000</v>
      </c>
      <c r="E30" s="767">
        <v>1.1000000000000001</v>
      </c>
      <c r="F30" s="767">
        <v>1.1000000000000001</v>
      </c>
      <c r="G30" s="510"/>
      <c r="J30" s="303"/>
      <c r="K30" s="303"/>
      <c r="L30" s="303"/>
      <c r="M30" s="303"/>
      <c r="N30" s="303"/>
      <c r="O30" s="303"/>
      <c r="P30" s="301"/>
      <c r="Q30" s="303"/>
      <c r="R30" s="303"/>
      <c r="S30" s="303"/>
      <c r="T30" s="303"/>
      <c r="U30" s="303"/>
      <c r="V30" s="303"/>
      <c r="W30" s="303"/>
      <c r="X30" s="303"/>
      <c r="Y30" s="303"/>
    </row>
    <row r="31" spans="1:25" s="300" customFormat="1" ht="12.75" customHeight="1">
      <c r="A31" s="345"/>
      <c r="B31" s="765" t="s">
        <v>1483</v>
      </c>
      <c r="C31" s="740"/>
      <c r="D31" s="766">
        <v>2900</v>
      </c>
      <c r="E31" s="767">
        <v>1.1000000000000001</v>
      </c>
      <c r="F31" s="767">
        <v>1.1000000000000001</v>
      </c>
      <c r="G31" s="510"/>
      <c r="J31" s="303"/>
      <c r="K31" s="303"/>
      <c r="L31" s="303"/>
      <c r="M31" s="303"/>
      <c r="N31" s="303"/>
      <c r="O31" s="303"/>
      <c r="P31" s="301"/>
      <c r="Q31" s="303"/>
      <c r="R31" s="303"/>
      <c r="S31" s="303"/>
      <c r="T31" s="303"/>
      <c r="U31" s="303"/>
      <c r="V31" s="303"/>
      <c r="W31" s="303"/>
      <c r="X31" s="303"/>
      <c r="Y31" s="303"/>
    </row>
    <row r="32" spans="1:25" s="300" customFormat="1" ht="12.75" customHeight="1">
      <c r="A32" s="345"/>
      <c r="B32" s="360"/>
      <c r="C32" s="303"/>
      <c r="D32" s="347"/>
      <c r="E32" s="306"/>
      <c r="F32" s="306"/>
      <c r="J32" s="303"/>
      <c r="K32" s="303"/>
      <c r="L32" s="303"/>
      <c r="M32" s="303"/>
      <c r="N32" s="303"/>
      <c r="O32" s="303"/>
      <c r="P32" s="301"/>
      <c r="Q32" s="303"/>
      <c r="R32" s="303"/>
      <c r="S32" s="303"/>
      <c r="T32" s="303"/>
      <c r="U32" s="303"/>
      <c r="V32" s="303"/>
      <c r="W32" s="303"/>
      <c r="X32" s="303"/>
      <c r="Y32" s="303"/>
    </row>
    <row r="33" spans="1:70" s="300" customFormat="1" ht="12.75" customHeight="1">
      <c r="A33" s="345"/>
      <c r="B33" s="361" t="s">
        <v>101</v>
      </c>
      <c r="C33" s="362"/>
      <c r="D33" s="363">
        <f>SUM(D26:D32)</f>
        <v>86900</v>
      </c>
      <c r="E33" s="363">
        <f>SUMPRODUCT(D26:D32,E26:E32)</f>
        <v>95590</v>
      </c>
      <c r="F33" s="363">
        <f>SUMPRODUCT(D26:D32,E26:E32,F26:F32)</f>
        <v>105149</v>
      </c>
      <c r="J33" s="303"/>
      <c r="K33" s="303"/>
      <c r="L33" s="303"/>
      <c r="M33" s="303"/>
      <c r="N33" s="303"/>
      <c r="O33" s="303"/>
      <c r="P33" s="301"/>
      <c r="Q33" s="303"/>
      <c r="R33" s="303"/>
      <c r="S33" s="303"/>
      <c r="T33" s="303"/>
      <c r="U33" s="303"/>
      <c r="V33" s="303"/>
      <c r="W33" s="303"/>
      <c r="X33" s="303"/>
      <c r="Y33" s="303"/>
    </row>
    <row r="34" spans="1:70" s="356" customFormat="1">
      <c r="B34" s="354"/>
      <c r="C34" s="354"/>
      <c r="D34" s="354"/>
      <c r="E34" s="354"/>
      <c r="F34" s="364"/>
      <c r="G34" s="364"/>
      <c r="H34" s="364"/>
      <c r="I34" s="365"/>
      <c r="J34" s="365"/>
      <c r="K34" s="366"/>
      <c r="L34" s="367"/>
      <c r="M34" s="367"/>
      <c r="N34" s="367"/>
      <c r="O34" s="367"/>
      <c r="P34" s="367"/>
      <c r="Q34" s="367"/>
      <c r="R34" s="367"/>
      <c r="S34" s="367"/>
      <c r="T34" s="368"/>
    </row>
    <row r="35" spans="1:70" s="369" customFormat="1" ht="12">
      <c r="B35" s="370"/>
      <c r="C35" s="367"/>
      <c r="D35" s="367"/>
      <c r="E35" s="367"/>
      <c r="F35" s="367"/>
      <c r="G35" s="367"/>
      <c r="H35" s="367"/>
      <c r="I35" s="365"/>
      <c r="J35" s="365"/>
      <c r="K35" s="371" t="s">
        <v>520</v>
      </c>
      <c r="L35" s="372"/>
      <c r="M35" s="372"/>
      <c r="N35" s="367"/>
      <c r="O35" s="367"/>
      <c r="P35" s="367"/>
      <c r="Q35" s="367"/>
      <c r="R35" s="367"/>
      <c r="S35" s="367"/>
      <c r="T35" s="368"/>
    </row>
    <row r="36" spans="1:70" s="368" customFormat="1" ht="11.25">
      <c r="B36" s="367"/>
      <c r="C36" s="367"/>
      <c r="D36" s="367"/>
      <c r="E36" s="367"/>
      <c r="F36" s="367"/>
      <c r="G36" s="367"/>
      <c r="H36" s="367"/>
      <c r="I36" s="367"/>
      <c r="J36" s="367"/>
      <c r="K36" s="367"/>
      <c r="L36" s="367"/>
      <c r="M36" s="367"/>
      <c r="N36" s="367"/>
      <c r="O36" s="367"/>
      <c r="P36" s="373"/>
      <c r="Q36" s="367"/>
      <c r="R36" s="367"/>
      <c r="S36" s="367"/>
      <c r="Z36" s="374"/>
      <c r="AA36" s="374"/>
    </row>
    <row r="37" spans="1:70" s="368" customFormat="1" ht="15.75">
      <c r="A37" s="375">
        <v>2</v>
      </c>
      <c r="B37" s="376" t="s">
        <v>362</v>
      </c>
      <c r="C37" s="377"/>
      <c r="D37" s="378"/>
      <c r="E37" s="379"/>
      <c r="F37" s="380"/>
      <c r="G37" s="303"/>
      <c r="H37" s="303"/>
      <c r="I37" s="303"/>
      <c r="J37" s="381"/>
      <c r="K37" s="303"/>
      <c r="L37" s="303"/>
      <c r="M37" s="303"/>
      <c r="N37" s="360"/>
      <c r="O37" s="300"/>
      <c r="P37" s="300"/>
      <c r="Q37" s="303"/>
      <c r="R37" s="303"/>
      <c r="S37" s="299"/>
      <c r="T37" s="382"/>
      <c r="U37" s="382"/>
      <c r="V37" s="382"/>
      <c r="W37" s="382"/>
      <c r="AC37" s="374"/>
    </row>
    <row r="38" spans="1:70" s="300" customFormat="1">
      <c r="A38" s="345"/>
      <c r="B38" s="361"/>
      <c r="C38" s="383"/>
      <c r="D38" s="361"/>
      <c r="K38" s="303"/>
      <c r="L38" s="303"/>
      <c r="M38" s="303"/>
      <c r="O38" s="301"/>
      <c r="P38" s="301"/>
      <c r="Q38" s="303"/>
      <c r="R38" s="303"/>
      <c r="S38" s="303"/>
      <c r="T38" s="303"/>
      <c r="U38" s="303"/>
      <c r="V38" s="303"/>
      <c r="W38" s="303"/>
      <c r="X38" s="303"/>
      <c r="Y38" s="303"/>
    </row>
    <row r="39" spans="1:70" s="300" customFormat="1">
      <c r="A39" s="345"/>
      <c r="B39" s="361"/>
      <c r="C39" s="383"/>
      <c r="D39" s="384"/>
      <c r="E39" s="1453" t="s">
        <v>189</v>
      </c>
      <c r="F39" s="1454"/>
      <c r="G39" s="1455"/>
      <c r="H39" s="323"/>
      <c r="M39" s="1033"/>
      <c r="N39" s="1033"/>
      <c r="O39" s="1033"/>
      <c r="P39" s="301"/>
      <c r="Q39" s="303"/>
      <c r="R39" s="303"/>
      <c r="S39" s="303"/>
      <c r="T39" s="303"/>
      <c r="U39" s="303"/>
      <c r="V39" s="303"/>
      <c r="W39" s="303"/>
      <c r="X39" s="303"/>
      <c r="Y39" s="303"/>
    </row>
    <row r="40" spans="1:70" s="301" customFormat="1">
      <c r="A40" s="38"/>
      <c r="B40" s="385"/>
      <c r="C40" s="385"/>
      <c r="D40" s="386"/>
      <c r="E40" s="387" t="s">
        <v>433</v>
      </c>
      <c r="F40" s="388" t="s">
        <v>64</v>
      </c>
      <c r="G40" s="389" t="s">
        <v>63</v>
      </c>
      <c r="H40" s="390" t="s">
        <v>369</v>
      </c>
      <c r="I40" s="388" t="s">
        <v>351</v>
      </c>
      <c r="J40" s="1293" t="s">
        <v>639</v>
      </c>
      <c r="K40" s="388" t="s">
        <v>70</v>
      </c>
      <c r="L40" s="388" t="s">
        <v>70</v>
      </c>
      <c r="M40" s="388" t="s">
        <v>347</v>
      </c>
      <c r="N40" s="388" t="s">
        <v>640</v>
      </c>
      <c r="O40" s="391"/>
      <c r="P40" s="391"/>
      <c r="Q40" s="303"/>
      <c r="R40" s="303"/>
      <c r="S40" s="303"/>
      <c r="T40" s="303"/>
      <c r="U40" s="303"/>
      <c r="V40" s="303"/>
      <c r="W40" s="303"/>
      <c r="X40" s="303"/>
      <c r="Y40" s="303"/>
      <c r="Z40" s="303"/>
      <c r="AA40" s="303"/>
      <c r="AB40" s="303"/>
      <c r="AC40" s="303"/>
      <c r="AD40" s="303"/>
      <c r="AE40" s="303"/>
      <c r="AF40" s="303"/>
      <c r="AG40" s="303"/>
      <c r="AH40" s="303"/>
      <c r="AI40" s="303"/>
      <c r="AJ40" s="303"/>
      <c r="AK40" s="303"/>
      <c r="AL40" s="303"/>
      <c r="AM40" s="303"/>
      <c r="AN40" s="303"/>
      <c r="AO40" s="303"/>
      <c r="AP40" s="303"/>
      <c r="AQ40" s="303"/>
      <c r="AR40" s="303"/>
      <c r="AS40" s="303"/>
      <c r="AT40" s="303"/>
      <c r="AU40" s="303"/>
      <c r="AV40" s="303"/>
      <c r="AW40" s="303"/>
      <c r="AX40" s="303"/>
      <c r="AY40" s="303"/>
      <c r="AZ40" s="303"/>
      <c r="BA40" s="303"/>
      <c r="BB40" s="303"/>
      <c r="BC40" s="303"/>
      <c r="BD40" s="303"/>
      <c r="BE40" s="303"/>
      <c r="BF40" s="303"/>
      <c r="BG40" s="303"/>
      <c r="BH40" s="303"/>
      <c r="BI40" s="303"/>
      <c r="BJ40" s="303"/>
      <c r="BK40" s="303"/>
      <c r="BL40" s="303"/>
      <c r="BM40" s="303"/>
      <c r="BN40" s="303"/>
      <c r="BO40" s="303"/>
      <c r="BP40" s="303"/>
      <c r="BQ40" s="303"/>
      <c r="BR40" s="303"/>
    </row>
    <row r="41" spans="1:70" s="301" customFormat="1">
      <c r="A41" s="38"/>
      <c r="B41" s="357" t="s">
        <v>66</v>
      </c>
      <c r="C41" s="1291" t="s">
        <v>432</v>
      </c>
      <c r="D41" s="395" t="s">
        <v>346</v>
      </c>
      <c r="E41" s="394" t="s">
        <v>354</v>
      </c>
      <c r="F41" s="395" t="s">
        <v>354</v>
      </c>
      <c r="G41" s="396" t="s">
        <v>354</v>
      </c>
      <c r="H41" s="397" t="s">
        <v>354</v>
      </c>
      <c r="I41" s="395" t="s">
        <v>350</v>
      </c>
      <c r="J41" s="395"/>
      <c r="K41" s="395" t="s">
        <v>352</v>
      </c>
      <c r="L41" s="395" t="s">
        <v>452</v>
      </c>
      <c r="M41" s="395" t="s">
        <v>353</v>
      </c>
      <c r="N41" s="395" t="s">
        <v>353</v>
      </c>
      <c r="O41" s="391"/>
      <c r="P41" s="303"/>
      <c r="Q41" s="303"/>
      <c r="R41" s="303"/>
      <c r="S41" s="303"/>
      <c r="T41" s="303"/>
      <c r="U41" s="303"/>
      <c r="V41" s="303"/>
      <c r="W41" s="303"/>
      <c r="X41" s="303"/>
      <c r="Y41" s="303"/>
      <c r="Z41" s="303"/>
      <c r="AA41" s="303"/>
      <c r="AB41" s="303"/>
      <c r="AC41" s="303"/>
      <c r="AD41" s="303"/>
      <c r="AE41" s="303"/>
      <c r="AF41" s="303"/>
      <c r="AG41" s="303"/>
      <c r="AH41" s="303"/>
      <c r="AI41" s="303"/>
      <c r="AJ41" s="303"/>
      <c r="AK41" s="303"/>
      <c r="AL41" s="303"/>
      <c r="AM41" s="303"/>
      <c r="AN41" s="303"/>
      <c r="AO41" s="303"/>
      <c r="AP41" s="303"/>
      <c r="AQ41" s="303"/>
      <c r="AR41" s="303"/>
      <c r="AS41" s="303"/>
      <c r="AT41" s="303"/>
      <c r="AU41" s="303"/>
      <c r="AV41" s="303"/>
      <c r="AW41" s="303"/>
      <c r="AX41" s="303"/>
      <c r="AY41" s="303"/>
      <c r="AZ41" s="303"/>
      <c r="BA41" s="303"/>
      <c r="BB41" s="303"/>
      <c r="BC41" s="303"/>
      <c r="BD41" s="303"/>
      <c r="BE41" s="303"/>
      <c r="BF41" s="303"/>
      <c r="BG41" s="303"/>
      <c r="BH41" s="303"/>
      <c r="BI41" s="303"/>
      <c r="BJ41" s="303"/>
      <c r="BK41" s="303"/>
      <c r="BL41" s="303"/>
      <c r="BM41" s="303"/>
      <c r="BN41" s="303"/>
      <c r="BO41" s="303"/>
      <c r="BP41" s="303"/>
      <c r="BQ41" s="303"/>
      <c r="BR41" s="303"/>
    </row>
    <row r="42" spans="1:70" s="301" customFormat="1">
      <c r="A42" s="38"/>
      <c r="B42" s="765" t="s">
        <v>584</v>
      </c>
      <c r="C42" s="391" t="s">
        <v>410</v>
      </c>
      <c r="D42" s="1017" t="s">
        <v>69</v>
      </c>
      <c r="E42" s="1018">
        <v>0.36</v>
      </c>
      <c r="F42" s="1018">
        <v>0.24</v>
      </c>
      <c r="G42" s="1018">
        <v>0.33</v>
      </c>
      <c r="H42" s="1019">
        <v>4.49</v>
      </c>
      <c r="I42" s="640">
        <v>1</v>
      </c>
      <c r="J42" s="391">
        <v>0.8</v>
      </c>
      <c r="K42" s="640">
        <v>1.05</v>
      </c>
      <c r="L42" s="640">
        <v>1.3</v>
      </c>
      <c r="M42" s="640">
        <v>0</v>
      </c>
      <c r="N42" s="640">
        <v>0</v>
      </c>
      <c r="O42" s="391"/>
      <c r="P42" s="402"/>
      <c r="Q42" s="403"/>
      <c r="R42" s="402"/>
      <c r="S42" s="402"/>
      <c r="T42" s="303"/>
      <c r="U42" s="303"/>
      <c r="V42" s="303"/>
      <c r="W42" s="303"/>
      <c r="X42" s="303"/>
      <c r="Y42" s="303"/>
      <c r="Z42" s="303"/>
      <c r="AA42" s="303"/>
      <c r="AB42" s="303"/>
      <c r="AC42" s="303"/>
      <c r="AD42" s="303"/>
      <c r="AE42" s="303"/>
      <c r="AF42" s="303"/>
      <c r="AG42" s="303"/>
      <c r="AH42" s="303"/>
      <c r="AI42" s="303"/>
      <c r="AJ42" s="303"/>
      <c r="AK42" s="303"/>
      <c r="AL42" s="303"/>
      <c r="AM42" s="303"/>
      <c r="AN42" s="303"/>
      <c r="AO42" s="303"/>
      <c r="AP42" s="303"/>
      <c r="AQ42" s="303"/>
      <c r="AR42" s="303"/>
      <c r="AS42" s="303"/>
      <c r="AT42" s="303"/>
      <c r="AU42" s="303"/>
      <c r="AV42" s="303"/>
      <c r="AW42" s="303"/>
      <c r="AX42" s="303"/>
      <c r="AY42" s="303"/>
      <c r="AZ42" s="303"/>
      <c r="BA42" s="303"/>
      <c r="BB42" s="303"/>
      <c r="BC42" s="303"/>
      <c r="BD42" s="303"/>
      <c r="BE42" s="303"/>
      <c r="BF42" s="303"/>
      <c r="BG42" s="303"/>
      <c r="BH42" s="303"/>
      <c r="BI42" s="303"/>
      <c r="BJ42" s="303"/>
      <c r="BK42" s="303"/>
      <c r="BL42" s="303"/>
      <c r="BM42" s="303"/>
      <c r="BN42" s="303"/>
      <c r="BO42" s="303"/>
      <c r="BP42" s="303"/>
      <c r="BQ42" s="303"/>
      <c r="BR42" s="303"/>
    </row>
    <row r="43" spans="1:70" s="301" customFormat="1">
      <c r="A43" s="38"/>
      <c r="B43" s="765" t="s">
        <v>585</v>
      </c>
      <c r="C43" s="391" t="s">
        <v>410</v>
      </c>
      <c r="D43" s="1017" t="s">
        <v>68</v>
      </c>
      <c r="E43" s="1018">
        <v>0.4</v>
      </c>
      <c r="F43" s="1018">
        <v>0.24</v>
      </c>
      <c r="G43" s="1018">
        <v>0.33</v>
      </c>
      <c r="H43" s="1019">
        <v>6.99</v>
      </c>
      <c r="I43" s="640">
        <v>1</v>
      </c>
      <c r="J43" s="391">
        <v>0.8</v>
      </c>
      <c r="K43" s="640">
        <v>1.05</v>
      </c>
      <c r="L43" s="640">
        <v>1.3</v>
      </c>
      <c r="M43" s="640">
        <v>0</v>
      </c>
      <c r="N43" s="640">
        <v>0</v>
      </c>
      <c r="O43" s="303"/>
      <c r="P43" s="405"/>
      <c r="Q43" s="407"/>
      <c r="R43" s="407"/>
      <c r="S43" s="402"/>
      <c r="T43" s="303"/>
      <c r="U43" s="303"/>
      <c r="V43" s="303"/>
      <c r="W43" s="303"/>
      <c r="X43" s="303"/>
      <c r="Y43" s="303"/>
      <c r="Z43" s="303"/>
      <c r="AA43" s="303"/>
      <c r="AB43" s="303"/>
      <c r="AC43" s="303"/>
      <c r="AD43" s="303"/>
      <c r="AE43" s="303"/>
      <c r="AF43" s="303"/>
      <c r="AG43" s="303"/>
      <c r="AH43" s="303"/>
      <c r="AI43" s="303"/>
      <c r="AJ43" s="303"/>
      <c r="AK43" s="303"/>
      <c r="AL43" s="303"/>
      <c r="AM43" s="303"/>
      <c r="AN43" s="303"/>
      <c r="AO43" s="303"/>
      <c r="AP43" s="303"/>
      <c r="AQ43" s="303"/>
      <c r="AR43" s="303"/>
      <c r="AS43" s="303"/>
      <c r="AT43" s="303"/>
      <c r="AU43" s="303"/>
      <c r="AV43" s="303"/>
      <c r="AW43" s="303"/>
      <c r="AX43" s="303"/>
      <c r="AY43" s="303"/>
      <c r="AZ43" s="303"/>
      <c r="BA43" s="303"/>
      <c r="BB43" s="303"/>
      <c r="BC43" s="303"/>
      <c r="BD43" s="303"/>
      <c r="BE43" s="303"/>
      <c r="BF43" s="303"/>
      <c r="BG43" s="303"/>
      <c r="BH43" s="303"/>
      <c r="BI43" s="303"/>
      <c r="BJ43" s="303"/>
      <c r="BK43" s="303"/>
      <c r="BL43" s="303"/>
      <c r="BM43" s="303"/>
      <c r="BN43" s="303"/>
      <c r="BO43" s="303"/>
      <c r="BP43" s="303"/>
      <c r="BQ43" s="303"/>
      <c r="BR43" s="303"/>
    </row>
    <row r="44" spans="1:70" s="301" customFormat="1">
      <c r="A44" s="38"/>
      <c r="B44" s="765" t="s">
        <v>586</v>
      </c>
      <c r="C44" s="391" t="s">
        <v>410</v>
      </c>
      <c r="D44" s="1017" t="s">
        <v>434</v>
      </c>
      <c r="E44" s="1018">
        <v>0.37</v>
      </c>
      <c r="F44" s="1018">
        <v>0.24</v>
      </c>
      <c r="G44" s="1018">
        <v>0.33</v>
      </c>
      <c r="H44" s="1019">
        <v>5.49</v>
      </c>
      <c r="I44" s="640">
        <v>1</v>
      </c>
      <c r="J44" s="391">
        <v>0.5</v>
      </c>
      <c r="K44" s="640">
        <v>1.05</v>
      </c>
      <c r="L44" s="640">
        <v>1.3</v>
      </c>
      <c r="M44" s="640">
        <v>0</v>
      </c>
      <c r="N44" s="640">
        <v>0</v>
      </c>
      <c r="O44" s="303"/>
      <c r="P44" s="405"/>
      <c r="Q44" s="407"/>
      <c r="R44" s="407"/>
      <c r="S44" s="402"/>
      <c r="T44" s="303"/>
      <c r="U44" s="303"/>
      <c r="V44" s="303"/>
      <c r="W44" s="303"/>
      <c r="X44" s="303"/>
      <c r="Y44" s="303"/>
      <c r="Z44" s="303"/>
      <c r="AA44" s="303"/>
      <c r="AB44" s="303"/>
      <c r="AC44" s="303"/>
      <c r="AD44" s="303"/>
      <c r="AE44" s="303"/>
      <c r="AF44" s="303"/>
      <c r="AG44" s="303"/>
      <c r="AH44" s="303"/>
      <c r="AI44" s="303"/>
      <c r="AJ44" s="303"/>
      <c r="AK44" s="303"/>
      <c r="AL44" s="303"/>
      <c r="AM44" s="303"/>
      <c r="AN44" s="303"/>
      <c r="AO44" s="303"/>
      <c r="AP44" s="303"/>
      <c r="AQ44" s="303"/>
      <c r="AR44" s="303"/>
      <c r="AS44" s="303"/>
      <c r="AT44" s="303"/>
      <c r="AU44" s="303"/>
      <c r="AV44" s="303"/>
      <c r="AW44" s="303"/>
      <c r="AX44" s="303"/>
      <c r="AY44" s="303"/>
      <c r="AZ44" s="303"/>
      <c r="BA44" s="303"/>
      <c r="BB44" s="303"/>
      <c r="BC44" s="303"/>
      <c r="BD44" s="303"/>
      <c r="BE44" s="303"/>
      <c r="BF44" s="303"/>
      <c r="BG44" s="303"/>
      <c r="BH44" s="303"/>
      <c r="BI44" s="303"/>
      <c r="BJ44" s="303"/>
      <c r="BK44" s="303"/>
      <c r="BL44" s="303"/>
      <c r="BM44" s="303"/>
      <c r="BN44" s="303"/>
      <c r="BO44" s="303"/>
      <c r="BP44" s="303"/>
      <c r="BQ44" s="303"/>
      <c r="BR44" s="303"/>
    </row>
    <row r="45" spans="1:70" s="301" customFormat="1">
      <c r="A45" s="38"/>
      <c r="B45" s="765" t="s">
        <v>587</v>
      </c>
      <c r="C45" s="391" t="s">
        <v>410</v>
      </c>
      <c r="D45" s="1017" t="s">
        <v>435</v>
      </c>
      <c r="E45" s="1018">
        <v>0.38</v>
      </c>
      <c r="F45" s="1018">
        <v>0.24</v>
      </c>
      <c r="G45" s="1018">
        <v>0.33</v>
      </c>
      <c r="H45" s="1019">
        <v>6.99</v>
      </c>
      <c r="I45" s="640">
        <v>1</v>
      </c>
      <c r="J45" s="391">
        <v>0.55000000000000004</v>
      </c>
      <c r="K45" s="640">
        <v>1.05</v>
      </c>
      <c r="L45" s="640">
        <v>1.3</v>
      </c>
      <c r="M45" s="640">
        <v>0</v>
      </c>
      <c r="N45" s="640">
        <v>0</v>
      </c>
      <c r="O45" s="303"/>
      <c r="P45" s="405"/>
      <c r="Q45" s="407"/>
      <c r="R45" s="407"/>
      <c r="S45" s="402"/>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row>
    <row r="46" spans="1:70" s="301" customFormat="1">
      <c r="A46" s="38"/>
      <c r="B46" s="765" t="s">
        <v>588</v>
      </c>
      <c r="C46" s="391" t="s">
        <v>410</v>
      </c>
      <c r="D46" s="1017" t="s">
        <v>436</v>
      </c>
      <c r="E46" s="1018">
        <v>0.37</v>
      </c>
      <c r="F46" s="1018">
        <v>0.24</v>
      </c>
      <c r="G46" s="1018">
        <v>0.33</v>
      </c>
      <c r="H46" s="1019">
        <v>5.99</v>
      </c>
      <c r="I46" s="640">
        <v>1</v>
      </c>
      <c r="J46" s="391">
        <v>0.55000000000000004</v>
      </c>
      <c r="K46" s="640">
        <v>1.05</v>
      </c>
      <c r="L46" s="640">
        <v>1.3</v>
      </c>
      <c r="M46" s="640">
        <v>0</v>
      </c>
      <c r="N46" s="640">
        <v>0</v>
      </c>
      <c r="O46" s="303"/>
      <c r="P46" s="405"/>
      <c r="Q46" s="407"/>
      <c r="R46" s="407"/>
      <c r="S46" s="402"/>
      <c r="T46" s="303"/>
      <c r="U46" s="303"/>
      <c r="V46" s="303"/>
      <c r="W46" s="303"/>
      <c r="X46" s="303"/>
      <c r="Y46" s="303"/>
      <c r="Z46" s="303"/>
      <c r="AA46" s="303"/>
      <c r="AB46" s="303"/>
      <c r="AC46" s="303"/>
      <c r="AD46" s="303"/>
      <c r="AE46" s="303"/>
      <c r="AF46" s="303"/>
      <c r="AG46" s="303"/>
      <c r="AH46" s="303"/>
      <c r="AI46" s="303"/>
      <c r="AJ46" s="303"/>
      <c r="AK46" s="303"/>
      <c r="AL46" s="303"/>
      <c r="AM46" s="303"/>
      <c r="AN46" s="303"/>
      <c r="AO46" s="303"/>
      <c r="AP46" s="303"/>
      <c r="AQ46" s="303"/>
      <c r="AR46" s="303"/>
      <c r="AS46" s="303"/>
      <c r="AT46" s="303"/>
      <c r="AU46" s="303"/>
      <c r="AV46" s="303"/>
      <c r="AW46" s="303"/>
      <c r="AX46" s="303"/>
      <c r="AY46" s="303"/>
      <c r="AZ46" s="303"/>
      <c r="BA46" s="303"/>
      <c r="BB46" s="303"/>
      <c r="BC46" s="303"/>
      <c r="BD46" s="303"/>
      <c r="BE46" s="303"/>
      <c r="BF46" s="303"/>
      <c r="BG46" s="303"/>
      <c r="BH46" s="303"/>
      <c r="BI46" s="303"/>
      <c r="BJ46" s="303"/>
      <c r="BK46" s="303"/>
      <c r="BL46" s="303"/>
      <c r="BM46" s="303"/>
      <c r="BN46" s="303"/>
      <c r="BO46" s="303"/>
      <c r="BP46" s="303"/>
      <c r="BQ46" s="303"/>
      <c r="BR46" s="303"/>
    </row>
    <row r="47" spans="1:70" s="301" customFormat="1">
      <c r="A47" s="38"/>
      <c r="B47" s="765" t="s">
        <v>589</v>
      </c>
      <c r="C47" s="391" t="s">
        <v>410</v>
      </c>
      <c r="D47" s="1017" t="s">
        <v>437</v>
      </c>
      <c r="E47" s="1018">
        <v>0.37</v>
      </c>
      <c r="F47" s="1018">
        <v>0.24</v>
      </c>
      <c r="G47" s="1018">
        <v>0.33</v>
      </c>
      <c r="H47" s="1019">
        <v>5.99</v>
      </c>
      <c r="I47" s="640">
        <v>1</v>
      </c>
      <c r="J47" s="391">
        <v>0.55000000000000004</v>
      </c>
      <c r="K47" s="640">
        <v>1.05</v>
      </c>
      <c r="L47" s="640">
        <v>1.3</v>
      </c>
      <c r="M47" s="640">
        <v>0</v>
      </c>
      <c r="N47" s="640">
        <v>0</v>
      </c>
      <c r="O47" s="303"/>
      <c r="P47" s="405"/>
      <c r="Q47" s="407"/>
      <c r="R47" s="407"/>
      <c r="S47" s="402"/>
      <c r="T47" s="303"/>
      <c r="U47" s="303"/>
      <c r="V47" s="303"/>
      <c r="W47" s="303"/>
      <c r="X47" s="303"/>
      <c r="Y47" s="303"/>
      <c r="Z47" s="303"/>
      <c r="AA47" s="303"/>
      <c r="AB47" s="303"/>
      <c r="AC47" s="303"/>
      <c r="AD47" s="303"/>
      <c r="AE47" s="303"/>
      <c r="AF47" s="303"/>
      <c r="AG47" s="303"/>
      <c r="AH47" s="303"/>
      <c r="AI47" s="303"/>
      <c r="AJ47" s="303"/>
      <c r="AK47" s="303"/>
      <c r="AL47" s="303"/>
      <c r="AM47" s="303"/>
      <c r="AN47" s="303"/>
      <c r="AO47" s="303"/>
      <c r="AP47" s="303"/>
      <c r="AQ47" s="303"/>
      <c r="AR47" s="303"/>
      <c r="AS47" s="303"/>
      <c r="AT47" s="303"/>
      <c r="AU47" s="303"/>
      <c r="AV47" s="303"/>
      <c r="AW47" s="303"/>
      <c r="AX47" s="303"/>
      <c r="AY47" s="303"/>
      <c r="AZ47" s="303"/>
      <c r="BA47" s="303"/>
      <c r="BB47" s="303"/>
      <c r="BC47" s="303"/>
      <c r="BD47" s="303"/>
      <c r="BE47" s="303"/>
      <c r="BF47" s="303"/>
      <c r="BG47" s="303"/>
      <c r="BH47" s="303"/>
      <c r="BI47" s="303"/>
      <c r="BJ47" s="303"/>
      <c r="BK47" s="303"/>
      <c r="BL47" s="303"/>
      <c r="BM47" s="303"/>
      <c r="BN47" s="303"/>
      <c r="BO47" s="303"/>
      <c r="BP47" s="303"/>
      <c r="BQ47" s="303"/>
      <c r="BR47" s="303"/>
    </row>
    <row r="48" spans="1:70" s="301" customFormat="1">
      <c r="A48" s="38"/>
      <c r="B48" s="765" t="s">
        <v>590</v>
      </c>
      <c r="C48" s="391" t="s">
        <v>411</v>
      </c>
      <c r="D48" s="1017" t="s">
        <v>69</v>
      </c>
      <c r="E48" s="1018">
        <v>0.36</v>
      </c>
      <c r="F48" s="1018">
        <v>0.24</v>
      </c>
      <c r="G48" s="1018">
        <v>0.33</v>
      </c>
      <c r="H48" s="1019">
        <v>2.4500000000000002</v>
      </c>
      <c r="I48" s="640">
        <v>124</v>
      </c>
      <c r="J48" s="391">
        <v>0.8</v>
      </c>
      <c r="K48" s="640">
        <v>130.80000000000001</v>
      </c>
      <c r="L48" s="640">
        <v>160.5</v>
      </c>
      <c r="M48" s="640" t="s">
        <v>349</v>
      </c>
      <c r="N48" s="640">
        <v>16</v>
      </c>
      <c r="O48" s="303"/>
      <c r="P48" s="405"/>
      <c r="Q48" s="407"/>
      <c r="R48" s="407"/>
      <c r="S48" s="402"/>
      <c r="T48" s="303"/>
      <c r="U48" s="303"/>
      <c r="V48" s="303"/>
      <c r="W48" s="303"/>
      <c r="X48" s="303"/>
      <c r="Y48" s="303"/>
      <c r="Z48" s="303"/>
      <c r="AA48" s="303"/>
      <c r="AB48" s="303"/>
      <c r="AC48" s="303"/>
      <c r="AD48" s="303"/>
      <c r="AE48" s="303"/>
      <c r="AF48" s="303"/>
      <c r="AG48" s="303"/>
      <c r="AH48" s="303"/>
      <c r="AI48" s="303"/>
      <c r="AJ48" s="303"/>
      <c r="AK48" s="303"/>
      <c r="AL48" s="303"/>
      <c r="AM48" s="303"/>
      <c r="AN48" s="303"/>
      <c r="AO48" s="303"/>
      <c r="AP48" s="303"/>
      <c r="AQ48" s="303"/>
      <c r="AR48" s="303"/>
      <c r="AS48" s="303"/>
      <c r="AT48" s="303"/>
      <c r="AU48" s="303"/>
      <c r="AV48" s="303"/>
      <c r="AW48" s="303"/>
      <c r="AX48" s="303"/>
      <c r="AY48" s="303"/>
      <c r="AZ48" s="303"/>
      <c r="BA48" s="303"/>
      <c r="BB48" s="303"/>
      <c r="BC48" s="303"/>
      <c r="BD48" s="303"/>
      <c r="BE48" s="303"/>
      <c r="BF48" s="303"/>
      <c r="BG48" s="303"/>
      <c r="BH48" s="303"/>
      <c r="BI48" s="303"/>
      <c r="BJ48" s="303"/>
      <c r="BK48" s="303"/>
      <c r="BL48" s="303"/>
      <c r="BM48" s="303"/>
      <c r="BN48" s="303"/>
      <c r="BO48" s="303"/>
      <c r="BP48" s="303"/>
      <c r="BQ48" s="303"/>
      <c r="BR48" s="303"/>
    </row>
    <row r="49" spans="1:70" s="301" customFormat="1">
      <c r="A49" s="38"/>
      <c r="B49" s="765" t="s">
        <v>591</v>
      </c>
      <c r="C49" s="391" t="s">
        <v>411</v>
      </c>
      <c r="D49" s="1017" t="s">
        <v>68</v>
      </c>
      <c r="E49" s="1018">
        <v>0.4</v>
      </c>
      <c r="F49" s="1018">
        <v>0.24</v>
      </c>
      <c r="G49" s="1018">
        <v>0.33</v>
      </c>
      <c r="H49" s="1019">
        <v>2.99</v>
      </c>
      <c r="I49" s="640">
        <v>124</v>
      </c>
      <c r="J49" s="391">
        <v>0.8</v>
      </c>
      <c r="K49" s="640">
        <v>130.80000000000001</v>
      </c>
      <c r="L49" s="640">
        <v>160.5</v>
      </c>
      <c r="M49" s="640">
        <v>23.3</v>
      </c>
      <c r="N49" s="640">
        <v>16</v>
      </c>
      <c r="O49" s="303"/>
      <c r="P49" s="405"/>
      <c r="Q49" s="407"/>
      <c r="R49" s="407"/>
      <c r="S49" s="402"/>
      <c r="T49" s="303"/>
      <c r="U49" s="303"/>
      <c r="V49" s="303"/>
      <c r="W49" s="303"/>
      <c r="X49" s="303"/>
      <c r="Y49" s="303"/>
      <c r="Z49" s="303"/>
      <c r="AA49" s="303"/>
      <c r="AB49" s="303"/>
      <c r="AC49" s="303"/>
      <c r="AD49" s="303"/>
      <c r="AE49" s="303"/>
      <c r="AF49" s="303"/>
      <c r="AG49" s="303"/>
      <c r="AH49" s="303"/>
      <c r="AI49" s="303"/>
      <c r="AJ49" s="303"/>
      <c r="AK49" s="303"/>
      <c r="AL49" s="303"/>
      <c r="AM49" s="303"/>
      <c r="AN49" s="303"/>
      <c r="AO49" s="303"/>
      <c r="AP49" s="303"/>
      <c r="AQ49" s="303"/>
      <c r="AR49" s="303"/>
      <c r="AS49" s="303"/>
      <c r="AT49" s="303"/>
      <c r="AU49" s="303"/>
      <c r="AV49" s="303"/>
      <c r="AW49" s="303"/>
      <c r="AX49" s="303"/>
      <c r="AY49" s="303"/>
      <c r="AZ49" s="303"/>
      <c r="BA49" s="303"/>
      <c r="BB49" s="303"/>
      <c r="BC49" s="303"/>
      <c r="BD49" s="303"/>
      <c r="BE49" s="303"/>
      <c r="BF49" s="303"/>
      <c r="BG49" s="303"/>
      <c r="BH49" s="303"/>
      <c r="BI49" s="303"/>
      <c r="BJ49" s="303"/>
      <c r="BK49" s="303"/>
      <c r="BL49" s="303"/>
      <c r="BM49" s="303"/>
      <c r="BN49" s="303"/>
      <c r="BO49" s="303"/>
      <c r="BP49" s="303"/>
      <c r="BQ49" s="303"/>
      <c r="BR49" s="303"/>
    </row>
    <row r="50" spans="1:70" s="301" customFormat="1">
      <c r="A50" s="38"/>
      <c r="B50" s="765" t="s">
        <v>592</v>
      </c>
      <c r="C50" s="391" t="s">
        <v>410</v>
      </c>
      <c r="D50" s="1017" t="s">
        <v>447</v>
      </c>
      <c r="E50" s="1018">
        <v>0.37</v>
      </c>
      <c r="F50" s="1018">
        <v>0.24</v>
      </c>
      <c r="G50" s="1018">
        <v>0.33</v>
      </c>
      <c r="H50" s="1019">
        <v>1.99</v>
      </c>
      <c r="I50" s="640">
        <v>1</v>
      </c>
      <c r="J50" s="391">
        <v>1</v>
      </c>
      <c r="K50" s="640">
        <v>1.05</v>
      </c>
      <c r="L50" s="640">
        <v>1.3</v>
      </c>
      <c r="M50" s="640">
        <v>0</v>
      </c>
      <c r="N50" s="640">
        <v>0</v>
      </c>
      <c r="O50" s="303"/>
      <c r="P50" s="405"/>
      <c r="Q50" s="407"/>
      <c r="R50" s="407"/>
      <c r="S50" s="402"/>
      <c r="T50" s="303"/>
      <c r="U50" s="303"/>
      <c r="V50" s="303"/>
      <c r="W50" s="303"/>
      <c r="X50" s="303"/>
      <c r="Y50" s="303"/>
      <c r="Z50" s="303"/>
      <c r="AA50" s="303"/>
      <c r="AB50" s="303"/>
      <c r="AC50" s="303"/>
      <c r="AD50" s="303"/>
      <c r="AE50" s="303"/>
      <c r="AF50" s="303"/>
      <c r="AG50" s="303"/>
      <c r="AH50" s="303"/>
      <c r="AI50" s="303"/>
      <c r="AJ50" s="303"/>
      <c r="AK50" s="303"/>
      <c r="AL50" s="303"/>
      <c r="AM50" s="303"/>
      <c r="AN50" s="303"/>
      <c r="AO50" s="303"/>
      <c r="AP50" s="303"/>
      <c r="AQ50" s="303"/>
      <c r="AR50" s="303"/>
      <c r="AS50" s="303"/>
      <c r="AT50" s="303"/>
      <c r="AU50" s="303"/>
      <c r="AV50" s="303"/>
      <c r="AW50" s="303"/>
      <c r="AX50" s="303"/>
      <c r="AY50" s="303"/>
      <c r="AZ50" s="303"/>
      <c r="BA50" s="303"/>
      <c r="BB50" s="303"/>
      <c r="BC50" s="303"/>
      <c r="BD50" s="303"/>
      <c r="BE50" s="303"/>
      <c r="BF50" s="303"/>
      <c r="BG50" s="303"/>
      <c r="BH50" s="303"/>
      <c r="BI50" s="303"/>
      <c r="BJ50" s="303"/>
      <c r="BK50" s="303"/>
      <c r="BL50" s="303"/>
      <c r="BM50" s="303"/>
      <c r="BN50" s="303"/>
      <c r="BO50" s="303"/>
      <c r="BP50" s="303"/>
      <c r="BQ50" s="303"/>
      <c r="BR50" s="303"/>
    </row>
    <row r="51" spans="1:70" s="301" customFormat="1">
      <c r="A51" s="38"/>
      <c r="B51" s="303"/>
      <c r="C51" s="360"/>
      <c r="D51" s="391"/>
      <c r="E51" s="391"/>
      <c r="F51" s="391"/>
      <c r="G51" s="391"/>
      <c r="H51" s="391"/>
      <c r="I51" s="1002"/>
      <c r="J51" s="515"/>
      <c r="K51" s="391"/>
      <c r="L51" s="391"/>
      <c r="M51" s="391"/>
      <c r="N51" s="391"/>
      <c r="O51" s="391"/>
      <c r="P51" s="405"/>
      <c r="Q51" s="406"/>
      <c r="R51" s="407"/>
      <c r="S51" s="402"/>
      <c r="T51" s="303"/>
      <c r="U51" s="303"/>
      <c r="V51" s="303"/>
      <c r="W51" s="303"/>
      <c r="X51" s="303"/>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303"/>
      <c r="BC51" s="303"/>
      <c r="BD51" s="303"/>
      <c r="BE51" s="303"/>
      <c r="BF51" s="303"/>
      <c r="BG51" s="303"/>
      <c r="BH51" s="303"/>
      <c r="BI51" s="303"/>
      <c r="BJ51" s="303"/>
      <c r="BK51" s="303"/>
      <c r="BL51" s="303"/>
      <c r="BM51" s="303"/>
      <c r="BN51" s="303"/>
      <c r="BO51" s="303"/>
      <c r="BP51" s="303"/>
      <c r="BQ51" s="303"/>
      <c r="BR51" s="303"/>
    </row>
    <row r="52" spans="1:70" s="303" customFormat="1" ht="11.25">
      <c r="A52" s="408"/>
      <c r="C52" s="391"/>
      <c r="E52" s="360"/>
      <c r="H52" s="306"/>
      <c r="I52" s="306"/>
      <c r="J52" s="409"/>
      <c r="K52" s="391"/>
      <c r="L52" s="391"/>
    </row>
    <row r="53" spans="1:70" s="415" customFormat="1" ht="15.75">
      <c r="A53" s="410">
        <v>3</v>
      </c>
      <c r="B53" s="376" t="s">
        <v>632</v>
      </c>
      <c r="C53" s="411"/>
      <c r="D53" s="412"/>
      <c r="E53" s="413"/>
      <c r="F53" s="413"/>
      <c r="G53" s="414"/>
      <c r="H53" s="414"/>
      <c r="I53" s="303"/>
      <c r="J53" s="303"/>
      <c r="K53" s="391"/>
      <c r="L53" s="303"/>
      <c r="M53" s="1426"/>
      <c r="N53" s="304"/>
      <c r="O53" s="304"/>
      <c r="P53" s="304"/>
      <c r="Q53" s="304"/>
      <c r="R53" s="303"/>
      <c r="S53" s="303"/>
      <c r="T53" s="382"/>
      <c r="U53" s="382"/>
      <c r="V53" s="382"/>
      <c r="W53" s="382"/>
      <c r="X53" s="368"/>
      <c r="Y53" s="368"/>
      <c r="Z53" s="368"/>
    </row>
    <row r="54" spans="1:70" s="303" customFormat="1" ht="11.25">
      <c r="A54" s="416"/>
      <c r="C54" s="391"/>
      <c r="D54" s="332"/>
      <c r="E54" s="360"/>
      <c r="H54" s="306"/>
      <c r="I54" s="306"/>
      <c r="J54" s="409"/>
      <c r="K54" s="391"/>
      <c r="L54" s="391"/>
      <c r="N54" s="417"/>
      <c r="P54" s="417"/>
    </row>
    <row r="55" spans="1:70" s="303" customFormat="1" ht="11.25">
      <c r="A55" s="416"/>
      <c r="B55" s="385"/>
      <c r="C55" s="388"/>
      <c r="D55" s="418"/>
      <c r="E55" s="419" t="s">
        <v>35</v>
      </c>
      <c r="F55" s="420"/>
      <c r="G55" s="421"/>
      <c r="H55" s="418"/>
      <c r="I55" s="419" t="s">
        <v>34</v>
      </c>
      <c r="J55" s="420"/>
      <c r="K55" s="421"/>
      <c r="L55" s="418"/>
      <c r="M55" s="419" t="s">
        <v>33</v>
      </c>
      <c r="N55" s="422"/>
      <c r="O55" s="421"/>
      <c r="P55" s="417"/>
    </row>
    <row r="56" spans="1:70" s="303" customFormat="1" ht="11.25">
      <c r="A56" s="416"/>
      <c r="B56" s="385"/>
      <c r="C56" s="423" t="s">
        <v>410</v>
      </c>
      <c r="D56" s="424">
        <f>SUM(D59:D68)</f>
        <v>1</v>
      </c>
      <c r="E56" s="425">
        <f>H16</f>
        <v>100514.72914560002</v>
      </c>
      <c r="F56" s="426"/>
      <c r="G56" s="427"/>
      <c r="H56" s="424">
        <f>SUM(H59:H68)</f>
        <v>1</v>
      </c>
      <c r="I56" s="425">
        <f>I16</f>
        <v>106999.55038080004</v>
      </c>
      <c r="J56" s="426"/>
      <c r="K56" s="427"/>
      <c r="L56" s="424">
        <f>SUM(L59:L68)</f>
        <v>1</v>
      </c>
      <c r="M56" s="425">
        <f>J16</f>
        <v>110583.26737920001</v>
      </c>
      <c r="N56" s="428"/>
      <c r="O56" s="427"/>
      <c r="P56" s="417"/>
    </row>
    <row r="57" spans="1:70" s="303" customFormat="1" ht="11.25">
      <c r="A57" s="416"/>
      <c r="B57" s="385"/>
      <c r="C57" s="426" t="s">
        <v>411</v>
      </c>
      <c r="D57" s="429"/>
      <c r="E57" s="427"/>
      <c r="F57" s="430">
        <f>SUM(F59:F68)</f>
        <v>1</v>
      </c>
      <c r="G57" s="431">
        <f>H19</f>
        <v>163997.71597440002</v>
      </c>
      <c r="H57" s="429"/>
      <c r="I57" s="427"/>
      <c r="J57" s="430">
        <f>SUM(J59:J68)</f>
        <v>1</v>
      </c>
      <c r="K57" s="431">
        <f>I19</f>
        <v>174578.21377920004</v>
      </c>
      <c r="L57" s="429"/>
      <c r="M57" s="427"/>
      <c r="N57" s="430">
        <f>SUM(N59:N68)</f>
        <v>1</v>
      </c>
      <c r="O57" s="431">
        <f>J19</f>
        <v>196592.47534080004</v>
      </c>
      <c r="P57" s="417"/>
    </row>
    <row r="58" spans="1:70" s="303" customFormat="1" ht="11.25">
      <c r="A58" s="416"/>
      <c r="B58" s="357" t="s">
        <v>66</v>
      </c>
      <c r="C58" s="392" t="s">
        <v>432</v>
      </c>
      <c r="D58" s="432"/>
      <c r="E58" s="396"/>
      <c r="F58" s="357"/>
      <c r="G58" s="433"/>
      <c r="H58" s="432"/>
      <c r="I58" s="396"/>
      <c r="J58" s="357"/>
      <c r="K58" s="433"/>
      <c r="L58" s="432"/>
      <c r="M58" s="396"/>
      <c r="N58" s="434"/>
      <c r="O58" s="433"/>
      <c r="P58" s="417"/>
    </row>
    <row r="59" spans="1:70" s="303" customFormat="1" ht="11.25">
      <c r="A59" s="416"/>
      <c r="B59" s="299" t="str">
        <f t="shared" ref="B59:C67" si="0">B42</f>
        <v>BR01-01</v>
      </c>
      <c r="C59" s="391" t="str">
        <f t="shared" si="0"/>
        <v>[retail]</v>
      </c>
      <c r="D59" s="239">
        <v>0.11</v>
      </c>
      <c r="E59" s="515">
        <f t="shared" ref="E59:E67" si="1">IF(C59="[retail]",VLOOKUP(C59,retail_wholesale,3,FALSE)*D59,"")</f>
        <v>11056.620206016003</v>
      </c>
      <c r="F59" s="391"/>
      <c r="G59" s="516" t="str">
        <f t="shared" ref="G59:G67" si="2">IF(C59="[wholesale]",F59*VLOOKUP(C59,retail_wholesale,5,FALSE),"")</f>
        <v/>
      </c>
      <c r="H59" s="239">
        <v>0.11</v>
      </c>
      <c r="I59" s="515">
        <f t="shared" ref="I59:I68" si="3">IF(C59="[retail]",VLOOKUP(C59,retail_wholesale,7,FALSE)*H59,"")</f>
        <v>11769.950541888003</v>
      </c>
      <c r="J59" s="391"/>
      <c r="K59" s="463" t="str">
        <f>IF(C59="[wholesale]",VLOOKUP(C59,retail_wholesale,9,FALSE)*J59,"")</f>
        <v/>
      </c>
      <c r="L59" s="239">
        <v>0.15</v>
      </c>
      <c r="M59" s="515">
        <f t="shared" ref="M59:M67" si="4">IF(C59="[retail]",VLOOKUP(C59,retail_wholesale,11,FALSE)*L59,"")</f>
        <v>16587.490106880003</v>
      </c>
      <c r="N59" s="417"/>
      <c r="O59" s="515" t="str">
        <f t="shared" ref="O59:O67" si="5">IF(C59="[wholesale]",VLOOKUP(C59,retail_wholesale,13,FALSE)*N59,"")</f>
        <v/>
      </c>
      <c r="P59" s="417"/>
    </row>
    <row r="60" spans="1:70" s="303" customFormat="1" ht="11.25">
      <c r="A60" s="416"/>
      <c r="B60" s="299" t="str">
        <f t="shared" si="0"/>
        <v>BR01-02</v>
      </c>
      <c r="C60" s="391" t="str">
        <f t="shared" si="0"/>
        <v>[retail]</v>
      </c>
      <c r="D60" s="239">
        <v>0.11</v>
      </c>
      <c r="E60" s="515">
        <f t="shared" si="1"/>
        <v>11056.620206016003</v>
      </c>
      <c r="F60" s="391"/>
      <c r="G60" s="516" t="str">
        <f t="shared" si="2"/>
        <v/>
      </c>
      <c r="H60" s="239">
        <v>0.11</v>
      </c>
      <c r="I60" s="515">
        <f t="shared" si="3"/>
        <v>11769.950541888003</v>
      </c>
      <c r="J60" s="391"/>
      <c r="K60" s="463" t="str">
        <f t="shared" ref="K60:K67" si="6">IF(C60="[wholesale]",VLOOKUP(C60,retail_wholesale,9,FALSE)*J60,"")</f>
        <v/>
      </c>
      <c r="L60" s="239">
        <v>0.16</v>
      </c>
      <c r="M60" s="515">
        <f t="shared" si="4"/>
        <v>17693.322780672002</v>
      </c>
      <c r="N60" s="417"/>
      <c r="O60" s="515" t="str">
        <f t="shared" si="5"/>
        <v/>
      </c>
      <c r="P60" s="417"/>
    </row>
    <row r="61" spans="1:70" s="303" customFormat="1" ht="11.25">
      <c r="A61" s="416"/>
      <c r="B61" s="299" t="str">
        <f t="shared" si="0"/>
        <v>BR01-03</v>
      </c>
      <c r="C61" s="391" t="str">
        <f t="shared" si="0"/>
        <v>[retail]</v>
      </c>
      <c r="D61" s="239">
        <v>0.09</v>
      </c>
      <c r="E61" s="515">
        <f t="shared" si="1"/>
        <v>9046.3256231040014</v>
      </c>
      <c r="F61" s="391"/>
      <c r="G61" s="516" t="str">
        <f t="shared" si="2"/>
        <v/>
      </c>
      <c r="H61" s="239">
        <v>0.09</v>
      </c>
      <c r="I61" s="515">
        <f t="shared" si="3"/>
        <v>9629.9595342720022</v>
      </c>
      <c r="J61" s="391"/>
      <c r="K61" s="463" t="str">
        <f t="shared" si="6"/>
        <v/>
      </c>
      <c r="L61" s="239">
        <v>0.09</v>
      </c>
      <c r="M61" s="515">
        <f t="shared" si="4"/>
        <v>9952.4940641280009</v>
      </c>
      <c r="N61" s="417"/>
      <c r="O61" s="515" t="str">
        <f t="shared" si="5"/>
        <v/>
      </c>
      <c r="P61" s="417"/>
    </row>
    <row r="62" spans="1:70" s="303" customFormat="1" ht="11.25">
      <c r="A62" s="416"/>
      <c r="B62" s="299" t="str">
        <f t="shared" si="0"/>
        <v>BR01-04</v>
      </c>
      <c r="C62" s="391" t="str">
        <f t="shared" si="0"/>
        <v>[retail]</v>
      </c>
      <c r="D62" s="239">
        <v>0.23</v>
      </c>
      <c r="E62" s="515">
        <f t="shared" si="1"/>
        <v>23118.387703488006</v>
      </c>
      <c r="F62" s="391"/>
      <c r="G62" s="516" t="str">
        <f t="shared" si="2"/>
        <v/>
      </c>
      <c r="H62" s="239">
        <v>0.23</v>
      </c>
      <c r="I62" s="515">
        <f t="shared" si="3"/>
        <v>24609.896587584008</v>
      </c>
      <c r="J62" s="391"/>
      <c r="K62" s="463" t="str">
        <f t="shared" si="6"/>
        <v/>
      </c>
      <c r="L62" s="239">
        <v>0.2</v>
      </c>
      <c r="M62" s="515">
        <f t="shared" si="4"/>
        <v>22116.653475840005</v>
      </c>
      <c r="N62" s="417"/>
      <c r="O62" s="515" t="str">
        <f t="shared" si="5"/>
        <v/>
      </c>
      <c r="P62" s="417"/>
    </row>
    <row r="63" spans="1:70" s="303" customFormat="1" ht="11.25">
      <c r="A63" s="416"/>
      <c r="B63" s="299" t="str">
        <f t="shared" si="0"/>
        <v>BR01-05</v>
      </c>
      <c r="C63" s="391" t="str">
        <f t="shared" si="0"/>
        <v>[retail]</v>
      </c>
      <c r="D63" s="239">
        <v>0.23</v>
      </c>
      <c r="E63" s="515">
        <f t="shared" si="1"/>
        <v>23118.387703488006</v>
      </c>
      <c r="F63" s="391"/>
      <c r="G63" s="516" t="str">
        <f t="shared" si="2"/>
        <v/>
      </c>
      <c r="H63" s="239">
        <v>0.23</v>
      </c>
      <c r="I63" s="515">
        <f t="shared" si="3"/>
        <v>24609.896587584008</v>
      </c>
      <c r="J63" s="391"/>
      <c r="K63" s="463" t="str">
        <f t="shared" si="6"/>
        <v/>
      </c>
      <c r="L63" s="239">
        <v>0.2</v>
      </c>
      <c r="M63" s="515">
        <f t="shared" si="4"/>
        <v>22116.653475840005</v>
      </c>
      <c r="N63" s="417"/>
      <c r="O63" s="515" t="str">
        <f t="shared" si="5"/>
        <v/>
      </c>
      <c r="P63" s="417"/>
    </row>
    <row r="64" spans="1:70" s="303" customFormat="1" ht="11.25">
      <c r="A64" s="416"/>
      <c r="B64" s="299" t="str">
        <f t="shared" si="0"/>
        <v>BR01-06</v>
      </c>
      <c r="C64" s="391" t="str">
        <f t="shared" si="0"/>
        <v>[retail]</v>
      </c>
      <c r="D64" s="239">
        <v>0.23</v>
      </c>
      <c r="E64" s="515">
        <f t="shared" si="1"/>
        <v>23118.387703488006</v>
      </c>
      <c r="F64" s="391"/>
      <c r="G64" s="516" t="str">
        <f t="shared" si="2"/>
        <v/>
      </c>
      <c r="H64" s="239">
        <v>0.23</v>
      </c>
      <c r="I64" s="515">
        <f t="shared" si="3"/>
        <v>24609.896587584008</v>
      </c>
      <c r="J64" s="391"/>
      <c r="K64" s="463" t="str">
        <f t="shared" si="6"/>
        <v/>
      </c>
      <c r="L64" s="239">
        <v>0.2</v>
      </c>
      <c r="M64" s="515">
        <f t="shared" si="4"/>
        <v>22116.653475840005</v>
      </c>
      <c r="N64" s="417"/>
      <c r="O64" s="515" t="str">
        <f t="shared" si="5"/>
        <v/>
      </c>
      <c r="P64" s="417"/>
    </row>
    <row r="65" spans="1:48" s="303" customFormat="1" ht="11.25">
      <c r="A65" s="416"/>
      <c r="B65" s="299" t="str">
        <f t="shared" si="0"/>
        <v>BR01-07</v>
      </c>
      <c r="C65" s="391" t="str">
        <f t="shared" si="0"/>
        <v>[wholesale]</v>
      </c>
      <c r="D65" s="514"/>
      <c r="E65" s="515" t="str">
        <f t="shared" si="1"/>
        <v/>
      </c>
      <c r="F65" s="239">
        <v>0.45</v>
      </c>
      <c r="G65" s="516">
        <f t="shared" si="2"/>
        <v>73798.972188480009</v>
      </c>
      <c r="H65" s="391"/>
      <c r="I65" s="515" t="str">
        <f t="shared" si="3"/>
        <v/>
      </c>
      <c r="J65" s="239">
        <v>0.48</v>
      </c>
      <c r="K65" s="463">
        <f t="shared" si="6"/>
        <v>83797.542614016013</v>
      </c>
      <c r="L65" s="391"/>
      <c r="M65" s="515" t="str">
        <f t="shared" si="4"/>
        <v/>
      </c>
      <c r="N65" s="239">
        <v>0.5</v>
      </c>
      <c r="O65" s="515">
        <f t="shared" si="5"/>
        <v>98296.23767040002</v>
      </c>
      <c r="P65" s="417"/>
    </row>
    <row r="66" spans="1:48" s="303" customFormat="1" ht="11.25">
      <c r="A66" s="416"/>
      <c r="B66" s="299" t="str">
        <f t="shared" si="0"/>
        <v>BR01-08</v>
      </c>
      <c r="C66" s="391" t="str">
        <f t="shared" si="0"/>
        <v>[wholesale]</v>
      </c>
      <c r="D66" s="514"/>
      <c r="E66" s="515" t="str">
        <f t="shared" si="1"/>
        <v/>
      </c>
      <c r="F66" s="239">
        <v>0.55000000000000004</v>
      </c>
      <c r="G66" s="516">
        <f t="shared" si="2"/>
        <v>90198.743785920014</v>
      </c>
      <c r="H66" s="391"/>
      <c r="I66" s="515" t="str">
        <f t="shared" si="3"/>
        <v/>
      </c>
      <c r="J66" s="239">
        <v>0.52</v>
      </c>
      <c r="K66" s="463">
        <f t="shared" si="6"/>
        <v>90780.671165184031</v>
      </c>
      <c r="L66" s="391"/>
      <c r="M66" s="515" t="str">
        <f t="shared" si="4"/>
        <v/>
      </c>
      <c r="N66" s="239">
        <v>0.5</v>
      </c>
      <c r="O66" s="515">
        <f t="shared" si="5"/>
        <v>98296.23767040002</v>
      </c>
      <c r="P66" s="417"/>
    </row>
    <row r="67" spans="1:48" s="303" customFormat="1" ht="11.25">
      <c r="A67" s="416"/>
      <c r="B67" s="299" t="str">
        <f t="shared" si="0"/>
        <v>BR01-09</v>
      </c>
      <c r="C67" s="391" t="str">
        <f t="shared" si="0"/>
        <v>[retail]</v>
      </c>
      <c r="D67" s="239">
        <v>0</v>
      </c>
      <c r="E67" s="515">
        <f t="shared" si="1"/>
        <v>0</v>
      </c>
      <c r="F67" s="391"/>
      <c r="G67" s="516" t="str">
        <f t="shared" si="2"/>
        <v/>
      </c>
      <c r="H67" s="239">
        <v>0</v>
      </c>
      <c r="I67" s="515">
        <f t="shared" si="3"/>
        <v>0</v>
      </c>
      <c r="J67" s="391"/>
      <c r="K67" s="463" t="str">
        <f t="shared" si="6"/>
        <v/>
      </c>
      <c r="L67" s="239">
        <v>0</v>
      </c>
      <c r="M67" s="515">
        <f t="shared" si="4"/>
        <v>0</v>
      </c>
      <c r="N67" s="417"/>
      <c r="O67" s="515" t="str">
        <f t="shared" si="5"/>
        <v/>
      </c>
      <c r="P67" s="417"/>
    </row>
    <row r="68" spans="1:48" s="483" customFormat="1" ht="11.25">
      <c r="B68" s="408"/>
      <c r="C68" s="303"/>
      <c r="D68" s="391"/>
      <c r="E68" s="515"/>
      <c r="F68" s="391"/>
      <c r="G68" s="515"/>
      <c r="H68" s="391"/>
      <c r="I68" s="515" t="str">
        <f t="shared" si="3"/>
        <v/>
      </c>
      <c r="J68" s="391"/>
      <c r="K68" s="515"/>
      <c r="L68" s="391"/>
      <c r="M68" s="518"/>
      <c r="N68" s="1426"/>
      <c r="O68" s="518"/>
      <c r="P68" s="304"/>
      <c r="Q68" s="304"/>
      <c r="R68" s="299"/>
      <c r="S68" s="403"/>
      <c r="T68" s="303"/>
      <c r="U68" s="303"/>
      <c r="V68" s="303"/>
      <c r="W68" s="303"/>
      <c r="X68" s="367"/>
      <c r="Y68" s="367"/>
      <c r="Z68" s="367"/>
    </row>
    <row r="69" spans="1:48" s="440" customFormat="1" ht="15.75">
      <c r="A69" s="435">
        <v>4</v>
      </c>
      <c r="B69" s="436" t="s">
        <v>633</v>
      </c>
      <c r="C69" s="436"/>
      <c r="D69" s="435"/>
      <c r="E69" s="435"/>
      <c r="F69" s="435"/>
      <c r="G69" s="435"/>
      <c r="H69" s="437"/>
      <c r="I69" s="438"/>
      <c r="J69" s="439"/>
      <c r="K69" s="517"/>
      <c r="M69" s="519"/>
      <c r="N69" s="293"/>
      <c r="O69" s="517"/>
      <c r="P69" s="293"/>
      <c r="Q69" s="293"/>
      <c r="R69" s="293"/>
      <c r="S69" s="293"/>
      <c r="T69" s="293"/>
      <c r="U69" s="293"/>
      <c r="V69" s="293"/>
      <c r="W69" s="293"/>
      <c r="X69" s="293"/>
      <c r="Y69" s="293"/>
    </row>
    <row r="70" spans="1:48" s="444" customFormat="1">
      <c r="A70" s="441"/>
      <c r="B70" s="442"/>
      <c r="C70" s="442"/>
      <c r="D70" s="443"/>
      <c r="E70" s="442"/>
      <c r="F70" s="442"/>
      <c r="G70" s="442"/>
      <c r="H70" s="391"/>
      <c r="I70" s="391"/>
      <c r="J70" s="391"/>
      <c r="K70" s="391"/>
      <c r="L70" s="391"/>
      <c r="M70" s="391"/>
      <c r="N70" s="293"/>
      <c r="O70" s="293"/>
      <c r="P70" s="293"/>
      <c r="Q70" s="293"/>
      <c r="R70" s="293"/>
      <c r="S70" s="293"/>
      <c r="T70" s="293"/>
      <c r="U70" s="293"/>
      <c r="V70" s="293"/>
      <c r="W70" s="293"/>
      <c r="X70" s="293"/>
      <c r="Y70" s="293"/>
      <c r="Z70" s="293"/>
      <c r="AA70" s="293"/>
      <c r="AB70" s="293"/>
      <c r="AC70" s="293"/>
      <c r="AD70" s="293"/>
      <c r="AE70" s="293"/>
      <c r="AF70" s="293"/>
      <c r="AG70" s="293"/>
      <c r="AH70" s="293"/>
      <c r="AI70" s="293"/>
      <c r="AJ70" s="293"/>
      <c r="AK70" s="293"/>
      <c r="AL70" s="293"/>
      <c r="AM70" s="293"/>
      <c r="AN70" s="293"/>
      <c r="AO70" s="293"/>
      <c r="AP70" s="293"/>
      <c r="AQ70" s="293"/>
      <c r="AR70" s="293"/>
      <c r="AS70" s="293"/>
      <c r="AT70" s="293"/>
      <c r="AU70" s="293"/>
      <c r="AV70" s="293"/>
    </row>
    <row r="71" spans="1:48" s="304" customFormat="1">
      <c r="A71" s="511"/>
      <c r="B71" s="474" t="s">
        <v>438</v>
      </c>
      <c r="C71" s="303"/>
      <c r="D71" s="393" t="str">
        <f>B42</f>
        <v>BR01-01</v>
      </c>
      <c r="E71" s="395" t="str">
        <f>IF(B43="","",B43)</f>
        <v>BR01-02</v>
      </c>
      <c r="F71" s="395" t="str">
        <f>IF(B44="","",B44)</f>
        <v>BR01-03</v>
      </c>
      <c r="G71" s="395" t="str">
        <f>IF(B45="","",B45)</f>
        <v>BR01-04</v>
      </c>
      <c r="H71" s="357" t="str">
        <f>IF(B46="","",B46)</f>
        <v>BR01-05</v>
      </c>
      <c r="I71" s="357" t="str">
        <f>IF(B47="","",B47)</f>
        <v>BR01-06</v>
      </c>
      <c r="J71" s="357" t="str">
        <f>IF(B48="","",B48)</f>
        <v>BR01-07</v>
      </c>
      <c r="K71" s="357" t="str">
        <f>IF(B49="","",B49)</f>
        <v>BR01-08</v>
      </c>
      <c r="L71" s="357" t="str">
        <f>IF(B50="","",B50)</f>
        <v>BR01-09</v>
      </c>
      <c r="M71" s="303"/>
      <c r="N71" s="357"/>
      <c r="O71" s="303"/>
      <c r="P71" s="303"/>
      <c r="Q71" s="303"/>
      <c r="R71" s="303"/>
      <c r="S71" s="303"/>
      <c r="T71" s="303"/>
      <c r="U71" s="303"/>
      <c r="V71" s="303"/>
      <c r="W71" s="303"/>
      <c r="X71" s="303"/>
      <c r="Y71" s="303"/>
      <c r="Z71" s="303"/>
      <c r="AA71" s="303"/>
      <c r="AB71" s="303"/>
      <c r="AC71" s="303"/>
      <c r="AD71" s="303"/>
      <c r="AE71" s="303"/>
      <c r="AF71" s="303"/>
      <c r="AG71" s="303"/>
      <c r="AH71" s="303"/>
      <c r="AI71" s="303"/>
      <c r="AJ71" s="303"/>
      <c r="AK71" s="303"/>
      <c r="AL71" s="303"/>
      <c r="AM71" s="303"/>
      <c r="AN71" s="303"/>
      <c r="AO71" s="303"/>
      <c r="AP71" s="303"/>
      <c r="AQ71" s="303"/>
      <c r="AR71" s="303"/>
      <c r="AS71" s="303"/>
      <c r="AT71" s="303"/>
      <c r="AU71" s="303"/>
      <c r="AV71" s="303"/>
    </row>
    <row r="72" spans="1:48" s="304" customFormat="1" ht="11.25">
      <c r="A72" s="511"/>
      <c r="B72" s="303"/>
      <c r="C72" s="303"/>
      <c r="D72" s="395" t="str">
        <f>C42</f>
        <v>[retail]</v>
      </c>
      <c r="E72" s="395" t="str">
        <f>C43</f>
        <v>[retail]</v>
      </c>
      <c r="F72" s="395" t="str">
        <f>C44</f>
        <v>[retail]</v>
      </c>
      <c r="G72" s="395" t="str">
        <f>C45</f>
        <v>[retail]</v>
      </c>
      <c r="H72" s="395" t="str">
        <f>C46</f>
        <v>[retail]</v>
      </c>
      <c r="I72" s="395" t="str">
        <f>C47</f>
        <v>[retail]</v>
      </c>
      <c r="J72" s="395" t="str">
        <f>C48</f>
        <v>[wholesale]</v>
      </c>
      <c r="K72" s="395" t="str">
        <f>C49</f>
        <v>[wholesale]</v>
      </c>
      <c r="L72" s="395" t="str">
        <f>C50</f>
        <v>[retail]</v>
      </c>
      <c r="M72" s="303"/>
      <c r="N72" s="357"/>
      <c r="O72" s="303"/>
      <c r="P72" s="303"/>
      <c r="Q72" s="303"/>
      <c r="R72" s="303"/>
      <c r="S72" s="303"/>
      <c r="T72" s="303"/>
      <c r="U72" s="303"/>
      <c r="V72" s="303"/>
      <c r="W72" s="303"/>
      <c r="X72" s="303"/>
      <c r="Y72" s="303"/>
      <c r="Z72" s="303"/>
      <c r="AA72" s="303"/>
      <c r="AB72" s="303"/>
      <c r="AC72" s="303"/>
      <c r="AD72" s="303"/>
      <c r="AE72" s="303"/>
      <c r="AF72" s="303"/>
      <c r="AG72" s="303"/>
      <c r="AH72" s="303"/>
      <c r="AI72" s="303"/>
      <c r="AJ72" s="303"/>
      <c r="AK72" s="303"/>
      <c r="AL72" s="303"/>
      <c r="AM72" s="303"/>
      <c r="AN72" s="303"/>
      <c r="AO72" s="303"/>
      <c r="AP72" s="303"/>
      <c r="AQ72" s="303"/>
      <c r="AR72" s="303"/>
      <c r="AS72" s="303"/>
      <c r="AT72" s="303"/>
      <c r="AU72" s="303"/>
      <c r="AV72" s="303"/>
    </row>
    <row r="73" spans="1:48" s="444" customFormat="1">
      <c r="A73" s="441"/>
      <c r="B73" s="445" t="s">
        <v>35</v>
      </c>
      <c r="C73" s="445"/>
      <c r="D73" s="446" t="s">
        <v>412</v>
      </c>
      <c r="E73" s="445"/>
      <c r="F73" s="445"/>
      <c r="G73" s="445"/>
      <c r="H73" s="445"/>
      <c r="I73" s="445"/>
      <c r="J73" s="445"/>
      <c r="K73" s="445"/>
      <c r="L73" s="293"/>
      <c r="M73" s="293"/>
      <c r="N73" s="293"/>
      <c r="O73" s="293"/>
      <c r="P73" s="293"/>
      <c r="Q73" s="293"/>
      <c r="R73" s="293"/>
      <c r="S73" s="293"/>
      <c r="T73" s="293"/>
      <c r="U73" s="293"/>
      <c r="V73" s="293"/>
      <c r="W73" s="293"/>
      <c r="X73" s="293"/>
      <c r="Y73" s="29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row>
    <row r="74" spans="1:48" s="444" customFormat="1">
      <c r="A74" s="447"/>
      <c r="B74" s="448" t="s">
        <v>47</v>
      </c>
      <c r="C74" s="442"/>
      <c r="D74" s="239">
        <v>0.04</v>
      </c>
      <c r="E74" s="239">
        <v>0.06</v>
      </c>
      <c r="F74" s="239">
        <v>0.02</v>
      </c>
      <c r="G74" s="239">
        <v>0.05</v>
      </c>
      <c r="H74" s="239">
        <v>0.05</v>
      </c>
      <c r="I74" s="239">
        <v>0.05</v>
      </c>
      <c r="J74" s="239">
        <v>0.03</v>
      </c>
      <c r="K74" s="239">
        <v>0.03</v>
      </c>
      <c r="L74" s="513"/>
      <c r="M74" s="513"/>
      <c r="N74" s="513"/>
      <c r="O74" s="513"/>
      <c r="P74" s="293"/>
      <c r="Q74" s="293"/>
      <c r="R74" s="293"/>
      <c r="S74" s="293"/>
      <c r="T74" s="293"/>
      <c r="U74" s="293"/>
      <c r="V74" s="293"/>
      <c r="W74" s="293"/>
      <c r="X74" s="293"/>
      <c r="Y74" s="29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row>
    <row r="75" spans="1:48" s="444" customFormat="1">
      <c r="A75" s="450"/>
      <c r="B75" s="448" t="s">
        <v>46</v>
      </c>
      <c r="C75" s="442"/>
      <c r="D75" s="239">
        <v>0.04</v>
      </c>
      <c r="E75" s="239">
        <v>0.05</v>
      </c>
      <c r="F75" s="239">
        <v>0.03</v>
      </c>
      <c r="G75" s="239">
        <v>0.05</v>
      </c>
      <c r="H75" s="239">
        <v>0.05</v>
      </c>
      <c r="I75" s="239">
        <v>0.05</v>
      </c>
      <c r="J75" s="239">
        <v>0.03</v>
      </c>
      <c r="K75" s="239">
        <v>0.03</v>
      </c>
      <c r="L75" s="513"/>
      <c r="M75" s="513"/>
      <c r="N75" s="513"/>
      <c r="O75" s="513"/>
      <c r="P75" s="293"/>
      <c r="Q75" s="293"/>
      <c r="R75" s="293"/>
      <c r="S75" s="293"/>
      <c r="T75" s="293"/>
      <c r="U75" s="293"/>
      <c r="V75" s="293"/>
      <c r="W75" s="293"/>
      <c r="X75" s="293"/>
      <c r="Y75" s="29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row>
    <row r="76" spans="1:48" s="444" customFormat="1">
      <c r="A76" s="442"/>
      <c r="B76" s="451" t="s">
        <v>45</v>
      </c>
      <c r="C76" s="442"/>
      <c r="D76" s="239">
        <v>0.04</v>
      </c>
      <c r="E76" s="239">
        <v>0.06</v>
      </c>
      <c r="F76" s="239">
        <v>0.03</v>
      </c>
      <c r="G76" s="239">
        <v>0.06</v>
      </c>
      <c r="H76" s="239">
        <v>0.06</v>
      </c>
      <c r="I76" s="239">
        <v>0.06</v>
      </c>
      <c r="J76" s="239">
        <v>0.03</v>
      </c>
      <c r="K76" s="239">
        <v>0.03</v>
      </c>
      <c r="L76" s="513"/>
      <c r="M76" s="513"/>
      <c r="N76" s="513"/>
      <c r="O76" s="51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row>
    <row r="77" spans="1:48" s="442" customFormat="1">
      <c r="B77" s="451" t="s">
        <v>44</v>
      </c>
      <c r="D77" s="239">
        <v>0.04</v>
      </c>
      <c r="E77" s="239">
        <v>0.06</v>
      </c>
      <c r="F77" s="239">
        <v>0.04</v>
      </c>
      <c r="G77" s="239">
        <v>7.0000000000000007E-2</v>
      </c>
      <c r="H77" s="239">
        <v>7.0000000000000007E-2</v>
      </c>
      <c r="I77" s="239">
        <v>7.0000000000000007E-2</v>
      </c>
      <c r="J77" s="239">
        <v>0.11</v>
      </c>
      <c r="K77" s="239">
        <v>0.11</v>
      </c>
      <c r="L77" s="513"/>
      <c r="M77" s="513"/>
      <c r="N77" s="513"/>
      <c r="O77" s="513"/>
      <c r="P77" s="293"/>
      <c r="Q77" s="293"/>
      <c r="R77" s="293"/>
      <c r="S77" s="293"/>
      <c r="T77" s="293"/>
      <c r="U77" s="293"/>
      <c r="V77" s="293"/>
      <c r="W77" s="293"/>
      <c r="X77" s="293"/>
      <c r="Y77" s="29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row>
    <row r="78" spans="1:48" s="442" customFormat="1">
      <c r="B78" s="451" t="s">
        <v>43</v>
      </c>
      <c r="D78" s="239">
        <v>0.12</v>
      </c>
      <c r="E78" s="239">
        <v>0.11</v>
      </c>
      <c r="F78" s="239">
        <v>0.11</v>
      </c>
      <c r="G78" s="239">
        <v>0.08</v>
      </c>
      <c r="H78" s="239">
        <v>0.08</v>
      </c>
      <c r="I78" s="239">
        <v>0.08</v>
      </c>
      <c r="J78" s="239">
        <v>0.11</v>
      </c>
      <c r="K78" s="239">
        <v>0.11</v>
      </c>
      <c r="L78" s="513"/>
      <c r="M78" s="513"/>
      <c r="N78" s="513"/>
      <c r="O78" s="513"/>
      <c r="P78" s="293"/>
      <c r="Q78" s="293"/>
      <c r="R78" s="293"/>
      <c r="S78" s="293"/>
      <c r="T78" s="293"/>
      <c r="U78" s="293"/>
      <c r="V78" s="293"/>
      <c r="W78" s="293"/>
      <c r="X78" s="293"/>
      <c r="Y78" s="29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row>
    <row r="79" spans="1:48" s="442" customFormat="1">
      <c r="A79" s="293"/>
      <c r="B79" s="451" t="s">
        <v>42</v>
      </c>
      <c r="D79" s="239">
        <v>0.12</v>
      </c>
      <c r="E79" s="239">
        <v>0.11</v>
      </c>
      <c r="F79" s="239">
        <v>0.12</v>
      </c>
      <c r="G79" s="239">
        <v>0.1</v>
      </c>
      <c r="H79" s="239">
        <v>0.1</v>
      </c>
      <c r="I79" s="239">
        <v>0.1</v>
      </c>
      <c r="J79" s="239">
        <v>0.14000000000000001</v>
      </c>
      <c r="K79" s="239">
        <v>0.14000000000000001</v>
      </c>
      <c r="L79" s="513"/>
      <c r="M79" s="513"/>
      <c r="N79" s="513"/>
      <c r="O79" s="513"/>
      <c r="P79" s="293"/>
      <c r="Q79" s="293"/>
      <c r="R79" s="293"/>
      <c r="S79" s="293"/>
      <c r="T79" s="293"/>
      <c r="U79" s="293"/>
      <c r="V79" s="293"/>
      <c r="W79" s="293"/>
      <c r="X79" s="293"/>
      <c r="Y79" s="29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row>
    <row r="80" spans="1:48" s="442" customFormat="1">
      <c r="A80" s="293"/>
      <c r="B80" s="451" t="s">
        <v>41</v>
      </c>
      <c r="D80" s="239">
        <v>0.12</v>
      </c>
      <c r="E80" s="239">
        <v>0.11</v>
      </c>
      <c r="F80" s="239">
        <v>0.12</v>
      </c>
      <c r="G80" s="239">
        <v>0.1</v>
      </c>
      <c r="H80" s="239">
        <v>0.1</v>
      </c>
      <c r="I80" s="239">
        <v>0.1</v>
      </c>
      <c r="J80" s="239">
        <v>0.14000000000000001</v>
      </c>
      <c r="K80" s="239">
        <v>0.14000000000000001</v>
      </c>
      <c r="L80" s="513"/>
      <c r="M80" s="513"/>
      <c r="N80" s="513"/>
      <c r="O80" s="513"/>
      <c r="P80" s="293"/>
      <c r="Q80" s="293"/>
      <c r="R80" s="293"/>
      <c r="S80" s="293"/>
      <c r="T80" s="293"/>
      <c r="U80" s="293"/>
      <c r="V80" s="293"/>
      <c r="W80" s="293"/>
      <c r="X80" s="293"/>
      <c r="Y80" s="29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row>
    <row r="81" spans="1:48" s="442" customFormat="1">
      <c r="A81" s="293"/>
      <c r="B81" s="451" t="s">
        <v>40</v>
      </c>
      <c r="D81" s="239">
        <v>0.12</v>
      </c>
      <c r="E81" s="239">
        <v>0.11</v>
      </c>
      <c r="F81" s="239">
        <v>0.12</v>
      </c>
      <c r="G81" s="239">
        <v>0.12</v>
      </c>
      <c r="H81" s="239">
        <v>0.12</v>
      </c>
      <c r="I81" s="239">
        <v>0.12</v>
      </c>
      <c r="J81" s="239">
        <v>0.12</v>
      </c>
      <c r="K81" s="239">
        <v>0.12</v>
      </c>
      <c r="L81" s="513"/>
      <c r="M81" s="513"/>
      <c r="N81" s="513"/>
      <c r="O81" s="513"/>
      <c r="P81" s="293"/>
      <c r="Q81" s="293"/>
      <c r="R81" s="293"/>
      <c r="S81" s="293"/>
      <c r="T81" s="293"/>
      <c r="U81" s="293"/>
      <c r="V81" s="293"/>
      <c r="W81" s="293"/>
      <c r="X81" s="293"/>
      <c r="Y81" s="29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row>
    <row r="82" spans="1:48" s="442" customFormat="1">
      <c r="A82" s="293"/>
      <c r="B82" s="451" t="s">
        <v>39</v>
      </c>
      <c r="D82" s="239">
        <v>0.12</v>
      </c>
      <c r="E82" s="239">
        <v>0.11</v>
      </c>
      <c r="F82" s="239">
        <v>0.12</v>
      </c>
      <c r="G82" s="239">
        <v>0.12</v>
      </c>
      <c r="H82" s="239">
        <v>0.12</v>
      </c>
      <c r="I82" s="239">
        <v>0.12</v>
      </c>
      <c r="J82" s="239">
        <v>0.12</v>
      </c>
      <c r="K82" s="239">
        <v>0.12</v>
      </c>
      <c r="L82" s="513"/>
      <c r="M82" s="513"/>
      <c r="N82" s="513"/>
      <c r="O82" s="513"/>
      <c r="P82" s="293"/>
      <c r="Q82" s="293"/>
      <c r="R82" s="293"/>
      <c r="S82" s="293"/>
      <c r="T82" s="293"/>
      <c r="U82" s="293"/>
      <c r="V82" s="293"/>
      <c r="W82" s="293"/>
      <c r="X82" s="293"/>
      <c r="Y82" s="29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row>
    <row r="83" spans="1:48" s="442" customFormat="1">
      <c r="A83" s="293"/>
      <c r="B83" s="451" t="s">
        <v>38</v>
      </c>
      <c r="D83" s="239">
        <v>0.1</v>
      </c>
      <c r="E83" s="239">
        <v>0.11</v>
      </c>
      <c r="F83" s="239">
        <v>0.11</v>
      </c>
      <c r="G83" s="239">
        <v>0.11</v>
      </c>
      <c r="H83" s="239">
        <v>0.11</v>
      </c>
      <c r="I83" s="239">
        <v>0.11</v>
      </c>
      <c r="J83" s="239">
        <v>0.11</v>
      </c>
      <c r="K83" s="239">
        <v>0.11</v>
      </c>
      <c r="L83" s="513"/>
      <c r="M83" s="513"/>
      <c r="N83" s="513"/>
      <c r="O83" s="513"/>
      <c r="P83" s="293"/>
      <c r="Q83" s="293"/>
      <c r="R83" s="293"/>
      <c r="S83" s="293"/>
      <c r="T83" s="293"/>
      <c r="U83" s="293"/>
      <c r="V83" s="293"/>
      <c r="W83" s="293"/>
      <c r="X83" s="293"/>
      <c r="Y83" s="29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row>
    <row r="84" spans="1:48" s="442" customFormat="1">
      <c r="A84" s="293"/>
      <c r="B84" s="451" t="s">
        <v>37</v>
      </c>
      <c r="D84" s="239">
        <v>7.0000000000000007E-2</v>
      </c>
      <c r="E84" s="239">
        <v>0.06</v>
      </c>
      <c r="F84" s="239">
        <v>0.15</v>
      </c>
      <c r="G84" s="239">
        <v>7.0000000000000007E-2</v>
      </c>
      <c r="H84" s="239">
        <v>7.0000000000000007E-2</v>
      </c>
      <c r="I84" s="239">
        <v>7.0000000000000007E-2</v>
      </c>
      <c r="J84" s="239">
        <v>0.03</v>
      </c>
      <c r="K84" s="239">
        <v>0.03</v>
      </c>
      <c r="L84" s="513"/>
      <c r="M84" s="513"/>
      <c r="N84" s="513"/>
      <c r="O84" s="513"/>
      <c r="P84" s="293"/>
      <c r="Q84" s="293"/>
      <c r="R84" s="293"/>
      <c r="S84" s="293"/>
      <c r="T84" s="293"/>
      <c r="U84" s="293"/>
      <c r="V84" s="293"/>
      <c r="W84" s="293"/>
      <c r="X84" s="293"/>
      <c r="Y84" s="29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row>
    <row r="85" spans="1:48" s="442" customFormat="1">
      <c r="A85" s="293"/>
      <c r="B85" s="451" t="s">
        <v>36</v>
      </c>
      <c r="D85" s="239">
        <v>7.0000000000000007E-2</v>
      </c>
      <c r="E85" s="239">
        <v>0.05</v>
      </c>
      <c r="F85" s="239">
        <v>0.03</v>
      </c>
      <c r="G85" s="239">
        <v>7.0000000000000007E-2</v>
      </c>
      <c r="H85" s="239">
        <v>7.0000000000000007E-2</v>
      </c>
      <c r="I85" s="239">
        <v>7.0000000000000007E-2</v>
      </c>
      <c r="J85" s="239">
        <v>0.03</v>
      </c>
      <c r="K85" s="239">
        <v>0.03</v>
      </c>
      <c r="L85" s="513"/>
      <c r="M85" s="513"/>
      <c r="N85" s="513"/>
      <c r="O85" s="513"/>
      <c r="P85" s="293"/>
      <c r="Q85" s="293"/>
      <c r="R85" s="293"/>
      <c r="S85" s="293"/>
      <c r="T85" s="293"/>
      <c r="U85" s="293"/>
      <c r="V85" s="293"/>
      <c r="W85" s="293"/>
      <c r="X85" s="293"/>
      <c r="Y85" s="29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row>
    <row r="86" spans="1:48" s="442" customFormat="1">
      <c r="A86" s="293"/>
      <c r="B86" s="451" t="s">
        <v>413</v>
      </c>
      <c r="D86" s="452">
        <f t="shared" ref="D86:L86" si="7">SUM(D74:D85)</f>
        <v>1</v>
      </c>
      <c r="E86" s="452">
        <f t="shared" si="7"/>
        <v>1</v>
      </c>
      <c r="F86" s="452">
        <f t="shared" si="7"/>
        <v>1</v>
      </c>
      <c r="G86" s="452">
        <f t="shared" si="7"/>
        <v>1</v>
      </c>
      <c r="H86" s="452">
        <f t="shared" si="7"/>
        <v>1</v>
      </c>
      <c r="I86" s="452">
        <f t="shared" si="7"/>
        <v>1</v>
      </c>
      <c r="J86" s="452">
        <f t="shared" si="7"/>
        <v>1</v>
      </c>
      <c r="K86" s="452">
        <f t="shared" si="7"/>
        <v>1</v>
      </c>
      <c r="L86" s="452">
        <f t="shared" si="7"/>
        <v>0</v>
      </c>
      <c r="M86" s="452"/>
      <c r="N86" s="452"/>
      <c r="O86" s="452"/>
      <c r="P86" s="293"/>
      <c r="Q86" s="293"/>
      <c r="R86" s="293"/>
      <c r="S86" s="293"/>
      <c r="T86" s="293"/>
      <c r="U86" s="293"/>
      <c r="V86" s="293"/>
      <c r="W86" s="293"/>
      <c r="AG86" s="293"/>
      <c r="AH86" s="293"/>
      <c r="AI86" s="293"/>
      <c r="AJ86" s="293"/>
      <c r="AK86" s="293"/>
      <c r="AL86" s="293"/>
      <c r="AM86" s="293"/>
      <c r="AN86" s="293"/>
      <c r="AO86" s="293"/>
      <c r="AP86" s="293"/>
      <c r="AQ86" s="293"/>
      <c r="AR86" s="293"/>
      <c r="AS86" s="293"/>
      <c r="AT86" s="293"/>
      <c r="AU86" s="293"/>
      <c r="AV86" s="293"/>
    </row>
    <row r="87" spans="1:48" s="442" customFormat="1">
      <c r="A87" s="293"/>
      <c r="B87" s="451"/>
      <c r="D87" s="453" t="s">
        <v>414</v>
      </c>
      <c r="E87" s="454"/>
      <c r="F87" s="454"/>
      <c r="G87" s="454"/>
      <c r="H87" s="454"/>
      <c r="I87" s="454"/>
      <c r="J87" s="454"/>
      <c r="K87" s="454"/>
      <c r="L87" s="454"/>
      <c r="M87" s="454"/>
      <c r="N87" s="454"/>
      <c r="O87" s="454"/>
      <c r="P87" s="293"/>
      <c r="Q87" s="293"/>
      <c r="R87" s="293"/>
      <c r="S87" s="293"/>
      <c r="T87" s="293"/>
      <c r="U87" s="293"/>
      <c r="V87" s="293"/>
      <c r="W87" s="293"/>
      <c r="AG87" s="293"/>
      <c r="AH87" s="293"/>
      <c r="AI87" s="293"/>
      <c r="AJ87" s="293"/>
      <c r="AK87" s="293"/>
      <c r="AL87" s="293"/>
      <c r="AM87" s="293"/>
      <c r="AN87" s="293"/>
      <c r="AO87" s="293"/>
      <c r="AP87" s="293"/>
      <c r="AQ87" s="293"/>
      <c r="AR87" s="293"/>
      <c r="AS87" s="293"/>
      <c r="AT87" s="293"/>
      <c r="AU87" s="293"/>
      <c r="AV87" s="293"/>
    </row>
    <row r="88" spans="1:48" s="442" customFormat="1">
      <c r="A88" s="441"/>
      <c r="B88" s="448" t="s">
        <v>47</v>
      </c>
      <c r="D88" s="455">
        <f t="shared" ref="D88:L88" si="8">D100*D74</f>
        <v>442.26480824064015</v>
      </c>
      <c r="E88" s="455">
        <f t="shared" si="8"/>
        <v>663.39721236096011</v>
      </c>
      <c r="F88" s="455">
        <f t="shared" si="8"/>
        <v>180.92651246208004</v>
      </c>
      <c r="G88" s="455">
        <f t="shared" si="8"/>
        <v>1155.9193851744003</v>
      </c>
      <c r="H88" s="455">
        <f t="shared" si="8"/>
        <v>1155.9193851744003</v>
      </c>
      <c r="I88" s="455">
        <f t="shared" si="8"/>
        <v>1155.9193851744003</v>
      </c>
      <c r="J88" s="455">
        <f t="shared" si="8"/>
        <v>2213.9691656544001</v>
      </c>
      <c r="K88" s="455">
        <f t="shared" si="8"/>
        <v>2705.9623135776005</v>
      </c>
      <c r="L88" s="455">
        <f t="shared" si="8"/>
        <v>0</v>
      </c>
      <c r="M88" s="455"/>
      <c r="N88" s="455"/>
      <c r="O88" s="455"/>
      <c r="P88" s="293"/>
      <c r="Q88" s="293"/>
      <c r="R88" s="293"/>
      <c r="S88" s="293"/>
      <c r="T88" s="293"/>
      <c r="U88" s="293"/>
      <c r="V88" s="293"/>
      <c r="W88" s="293"/>
      <c r="AG88" s="293"/>
      <c r="AH88" s="293"/>
      <c r="AI88" s="293"/>
      <c r="AJ88" s="293"/>
      <c r="AK88" s="293"/>
      <c r="AL88" s="293"/>
      <c r="AM88" s="293"/>
      <c r="AN88" s="293"/>
      <c r="AO88" s="293"/>
      <c r="AP88" s="293"/>
      <c r="AQ88" s="293"/>
      <c r="AR88" s="293"/>
      <c r="AS88" s="293"/>
      <c r="AT88" s="293"/>
      <c r="AU88" s="293"/>
      <c r="AV88" s="293"/>
    </row>
    <row r="89" spans="1:48" s="442" customFormat="1">
      <c r="A89" s="441"/>
      <c r="B89" s="448" t="s">
        <v>46</v>
      </c>
      <c r="D89" s="455">
        <f t="shared" ref="D89:L89" si="9">D100*D75</f>
        <v>442.26480824064015</v>
      </c>
      <c r="E89" s="455">
        <f t="shared" si="9"/>
        <v>552.83101030080013</v>
      </c>
      <c r="F89" s="455">
        <f t="shared" si="9"/>
        <v>271.38976869312</v>
      </c>
      <c r="G89" s="455">
        <f t="shared" si="9"/>
        <v>1155.9193851744003</v>
      </c>
      <c r="H89" s="455">
        <f t="shared" si="9"/>
        <v>1155.9193851744003</v>
      </c>
      <c r="I89" s="455">
        <f t="shared" si="9"/>
        <v>1155.9193851744003</v>
      </c>
      <c r="J89" s="455">
        <f t="shared" si="9"/>
        <v>2213.9691656544001</v>
      </c>
      <c r="K89" s="455">
        <f t="shared" si="9"/>
        <v>2705.9623135776005</v>
      </c>
      <c r="L89" s="455">
        <f t="shared" si="9"/>
        <v>0</v>
      </c>
      <c r="M89" s="455"/>
      <c r="N89" s="455"/>
      <c r="O89" s="455"/>
      <c r="P89" s="293"/>
      <c r="Q89" s="293"/>
      <c r="R89" s="293"/>
      <c r="S89" s="293"/>
      <c r="T89" s="293"/>
      <c r="U89" s="293"/>
      <c r="V89" s="293"/>
      <c r="W89" s="293"/>
      <c r="AG89" s="293"/>
      <c r="AH89" s="293"/>
      <c r="AI89" s="293"/>
      <c r="AJ89" s="293"/>
      <c r="AK89" s="293"/>
      <c r="AL89" s="293"/>
      <c r="AM89" s="293"/>
      <c r="AN89" s="293"/>
      <c r="AO89" s="293"/>
      <c r="AP89" s="293"/>
      <c r="AQ89" s="293"/>
      <c r="AR89" s="293"/>
      <c r="AS89" s="293"/>
      <c r="AT89" s="293"/>
      <c r="AU89" s="293"/>
      <c r="AV89" s="293"/>
    </row>
    <row r="90" spans="1:48" s="442" customFormat="1">
      <c r="A90" s="441"/>
      <c r="B90" s="451" t="s">
        <v>45</v>
      </c>
      <c r="D90" s="455">
        <f t="shared" ref="D90:L90" si="10">D100*D76</f>
        <v>442.26480824064015</v>
      </c>
      <c r="E90" s="455">
        <f t="shared" si="10"/>
        <v>663.39721236096011</v>
      </c>
      <c r="F90" s="455">
        <f t="shared" si="10"/>
        <v>271.38976869312</v>
      </c>
      <c r="G90" s="455">
        <f t="shared" si="10"/>
        <v>1387.1032622092803</v>
      </c>
      <c r="H90" s="455">
        <f t="shared" si="10"/>
        <v>1387.1032622092803</v>
      </c>
      <c r="I90" s="455">
        <f t="shared" si="10"/>
        <v>1387.1032622092803</v>
      </c>
      <c r="J90" s="455">
        <f t="shared" si="10"/>
        <v>2213.9691656544001</v>
      </c>
      <c r="K90" s="455">
        <f t="shared" si="10"/>
        <v>2705.9623135776005</v>
      </c>
      <c r="L90" s="455">
        <f t="shared" si="10"/>
        <v>0</v>
      </c>
      <c r="M90" s="455"/>
      <c r="N90" s="455"/>
      <c r="O90" s="455"/>
      <c r="P90" s="293"/>
      <c r="Q90" s="293"/>
      <c r="R90" s="293"/>
      <c r="S90" s="293"/>
      <c r="T90" s="293"/>
      <c r="U90" s="293"/>
      <c r="V90" s="293"/>
      <c r="W90" s="293"/>
      <c r="AG90" s="293"/>
      <c r="AH90" s="293"/>
      <c r="AI90" s="293"/>
      <c r="AJ90" s="293"/>
      <c r="AK90" s="293"/>
      <c r="AL90" s="293"/>
      <c r="AM90" s="293"/>
      <c r="AN90" s="293"/>
      <c r="AO90" s="293"/>
      <c r="AP90" s="293"/>
      <c r="AQ90" s="293"/>
      <c r="AR90" s="293"/>
      <c r="AS90" s="293"/>
      <c r="AT90" s="293"/>
      <c r="AU90" s="293"/>
      <c r="AV90" s="293"/>
    </row>
    <row r="91" spans="1:48" s="442" customFormat="1">
      <c r="A91" s="456"/>
      <c r="B91" s="451" t="s">
        <v>44</v>
      </c>
      <c r="D91" s="455">
        <f t="shared" ref="D91:L91" si="11">D100*D77</f>
        <v>442.26480824064015</v>
      </c>
      <c r="E91" s="455">
        <f t="shared" si="11"/>
        <v>663.39721236096011</v>
      </c>
      <c r="F91" s="455">
        <f t="shared" si="11"/>
        <v>361.85302492416008</v>
      </c>
      <c r="G91" s="455">
        <f t="shared" si="11"/>
        <v>1618.2871392441605</v>
      </c>
      <c r="H91" s="455">
        <f t="shared" si="11"/>
        <v>1618.2871392441605</v>
      </c>
      <c r="I91" s="455">
        <f t="shared" si="11"/>
        <v>1618.2871392441605</v>
      </c>
      <c r="J91" s="455">
        <f t="shared" si="11"/>
        <v>8117.8869407328011</v>
      </c>
      <c r="K91" s="455">
        <f t="shared" si="11"/>
        <v>9921.8618164512009</v>
      </c>
      <c r="L91" s="455">
        <f t="shared" si="11"/>
        <v>0</v>
      </c>
      <c r="M91" s="455"/>
      <c r="N91" s="455"/>
      <c r="O91" s="455"/>
      <c r="P91" s="293"/>
      <c r="Q91" s="293"/>
      <c r="R91" s="293"/>
      <c r="S91" s="293"/>
      <c r="T91" s="293"/>
      <c r="U91" s="293"/>
    </row>
    <row r="92" spans="1:48" s="442" customFormat="1">
      <c r="A92" s="441"/>
      <c r="B92" s="451" t="s">
        <v>43</v>
      </c>
      <c r="D92" s="455">
        <f t="shared" ref="D92:L92" si="12">D100*D78</f>
        <v>1326.7944247219202</v>
      </c>
      <c r="E92" s="455">
        <f t="shared" si="12"/>
        <v>1216.2282226617604</v>
      </c>
      <c r="F92" s="455">
        <f t="shared" si="12"/>
        <v>995.09581854144017</v>
      </c>
      <c r="G92" s="455">
        <f t="shared" si="12"/>
        <v>1849.4710162790404</v>
      </c>
      <c r="H92" s="455">
        <f t="shared" si="12"/>
        <v>1849.4710162790404</v>
      </c>
      <c r="I92" s="455">
        <f t="shared" si="12"/>
        <v>1849.4710162790404</v>
      </c>
      <c r="J92" s="455">
        <f t="shared" si="12"/>
        <v>8117.8869407328011</v>
      </c>
      <c r="K92" s="455">
        <f t="shared" si="12"/>
        <v>9921.8618164512009</v>
      </c>
      <c r="L92" s="455">
        <f t="shared" si="12"/>
        <v>0</v>
      </c>
      <c r="M92" s="455"/>
      <c r="N92" s="455"/>
      <c r="O92" s="455"/>
      <c r="P92" s="293"/>
      <c r="Q92" s="293"/>
      <c r="R92" s="293"/>
      <c r="S92" s="293"/>
      <c r="T92" s="293"/>
      <c r="U92" s="293"/>
    </row>
    <row r="93" spans="1:48" s="442" customFormat="1">
      <c r="A93" s="441"/>
      <c r="B93" s="451" t="s">
        <v>42</v>
      </c>
      <c r="D93" s="455">
        <f t="shared" ref="D93:L93" si="13">D100*D79</f>
        <v>1326.7944247219202</v>
      </c>
      <c r="E93" s="455">
        <f t="shared" si="13"/>
        <v>1216.2282226617604</v>
      </c>
      <c r="F93" s="455">
        <f t="shared" si="13"/>
        <v>1085.55907477248</v>
      </c>
      <c r="G93" s="455">
        <f t="shared" si="13"/>
        <v>2311.8387703488006</v>
      </c>
      <c r="H93" s="455">
        <f t="shared" si="13"/>
        <v>2311.8387703488006</v>
      </c>
      <c r="I93" s="455">
        <f t="shared" si="13"/>
        <v>2311.8387703488006</v>
      </c>
      <c r="J93" s="455">
        <f t="shared" si="13"/>
        <v>10331.856106387202</v>
      </c>
      <c r="K93" s="455">
        <f t="shared" si="13"/>
        <v>12627.824130028803</v>
      </c>
      <c r="L93" s="455">
        <f t="shared" si="13"/>
        <v>0</v>
      </c>
      <c r="M93" s="455"/>
      <c r="N93" s="455"/>
      <c r="O93" s="455"/>
      <c r="P93" s="293"/>
      <c r="Q93" s="293"/>
      <c r="R93" s="293"/>
      <c r="S93" s="293"/>
      <c r="T93" s="293"/>
      <c r="U93" s="293"/>
    </row>
    <row r="94" spans="1:48" s="442" customFormat="1">
      <c r="A94" s="441"/>
      <c r="B94" s="451" t="s">
        <v>41</v>
      </c>
      <c r="D94" s="455">
        <f t="shared" ref="D94:L94" si="14">D100*D80</f>
        <v>1326.7944247219202</v>
      </c>
      <c r="E94" s="455">
        <f t="shared" si="14"/>
        <v>1216.2282226617604</v>
      </c>
      <c r="F94" s="455">
        <f t="shared" si="14"/>
        <v>1085.55907477248</v>
      </c>
      <c r="G94" s="455">
        <f t="shared" si="14"/>
        <v>2311.8387703488006</v>
      </c>
      <c r="H94" s="455">
        <f t="shared" si="14"/>
        <v>2311.8387703488006</v>
      </c>
      <c r="I94" s="455">
        <f t="shared" si="14"/>
        <v>2311.8387703488006</v>
      </c>
      <c r="J94" s="455">
        <f t="shared" si="14"/>
        <v>10331.856106387202</v>
      </c>
      <c r="K94" s="455">
        <f t="shared" si="14"/>
        <v>12627.824130028803</v>
      </c>
      <c r="L94" s="455">
        <f t="shared" si="14"/>
        <v>0</v>
      </c>
      <c r="M94" s="455"/>
      <c r="N94" s="455"/>
      <c r="O94" s="455"/>
      <c r="P94" s="293"/>
      <c r="Q94" s="293"/>
      <c r="R94" s="293"/>
      <c r="S94" s="293"/>
      <c r="T94" s="293"/>
      <c r="U94" s="293"/>
    </row>
    <row r="95" spans="1:48" s="442" customFormat="1">
      <c r="A95" s="441"/>
      <c r="B95" s="451" t="s">
        <v>40</v>
      </c>
      <c r="D95" s="455">
        <f t="shared" ref="D95:L95" si="15">D100*D81</f>
        <v>1326.7944247219202</v>
      </c>
      <c r="E95" s="455">
        <f t="shared" si="15"/>
        <v>1216.2282226617604</v>
      </c>
      <c r="F95" s="455">
        <f t="shared" si="15"/>
        <v>1085.55907477248</v>
      </c>
      <c r="G95" s="455">
        <f t="shared" si="15"/>
        <v>2774.2065244185605</v>
      </c>
      <c r="H95" s="455">
        <f t="shared" si="15"/>
        <v>2774.2065244185605</v>
      </c>
      <c r="I95" s="455">
        <f t="shared" si="15"/>
        <v>2774.2065244185605</v>
      </c>
      <c r="J95" s="455">
        <f t="shared" si="15"/>
        <v>8855.8766626176002</v>
      </c>
      <c r="K95" s="455">
        <f t="shared" si="15"/>
        <v>10823.849254310402</v>
      </c>
      <c r="L95" s="455">
        <f t="shared" si="15"/>
        <v>0</v>
      </c>
      <c r="M95" s="455"/>
      <c r="N95" s="455"/>
      <c r="O95" s="455"/>
      <c r="P95" s="293"/>
      <c r="Q95" s="293"/>
      <c r="R95" s="293"/>
      <c r="S95" s="293"/>
      <c r="T95" s="293"/>
      <c r="U95" s="293"/>
    </row>
    <row r="96" spans="1:48" s="442" customFormat="1">
      <c r="A96" s="441"/>
      <c r="B96" s="451" t="s">
        <v>39</v>
      </c>
      <c r="D96" s="455">
        <f t="shared" ref="D96:L96" si="16">D100*D82</f>
        <v>1326.7944247219202</v>
      </c>
      <c r="E96" s="455">
        <f t="shared" si="16"/>
        <v>1216.2282226617604</v>
      </c>
      <c r="F96" s="455">
        <f t="shared" si="16"/>
        <v>1085.55907477248</v>
      </c>
      <c r="G96" s="455">
        <f t="shared" si="16"/>
        <v>2774.2065244185605</v>
      </c>
      <c r="H96" s="455">
        <f t="shared" si="16"/>
        <v>2774.2065244185605</v>
      </c>
      <c r="I96" s="455">
        <f t="shared" si="16"/>
        <v>2774.2065244185605</v>
      </c>
      <c r="J96" s="455">
        <f t="shared" si="16"/>
        <v>8855.8766626176002</v>
      </c>
      <c r="K96" s="455">
        <f t="shared" si="16"/>
        <v>10823.849254310402</v>
      </c>
      <c r="L96" s="455">
        <f t="shared" si="16"/>
        <v>0</v>
      </c>
      <c r="M96" s="455"/>
      <c r="N96" s="455"/>
      <c r="O96" s="455"/>
      <c r="P96" s="293"/>
      <c r="Q96" s="293"/>
      <c r="R96" s="293"/>
      <c r="S96" s="293"/>
      <c r="T96" s="293"/>
      <c r="U96" s="293"/>
    </row>
    <row r="97" spans="1:21" s="442" customFormat="1">
      <c r="A97" s="441"/>
      <c r="B97" s="451" t="s">
        <v>38</v>
      </c>
      <c r="D97" s="455">
        <f t="shared" ref="D97:L97" si="17">D100*D83</f>
        <v>1105.6620206016003</v>
      </c>
      <c r="E97" s="455">
        <f t="shared" si="17"/>
        <v>1216.2282226617604</v>
      </c>
      <c r="F97" s="455">
        <f t="shared" si="17"/>
        <v>995.09581854144017</v>
      </c>
      <c r="G97" s="455">
        <f t="shared" si="17"/>
        <v>2543.0226473836806</v>
      </c>
      <c r="H97" s="455">
        <f t="shared" si="17"/>
        <v>2543.0226473836806</v>
      </c>
      <c r="I97" s="455">
        <f t="shared" si="17"/>
        <v>2543.0226473836806</v>
      </c>
      <c r="J97" s="455">
        <f t="shared" si="17"/>
        <v>8117.8869407328011</v>
      </c>
      <c r="K97" s="455">
        <f t="shared" si="17"/>
        <v>9921.8618164512009</v>
      </c>
      <c r="L97" s="455">
        <f t="shared" si="17"/>
        <v>0</v>
      </c>
      <c r="M97" s="455"/>
      <c r="N97" s="455"/>
      <c r="O97" s="455"/>
      <c r="P97" s="293"/>
      <c r="Q97" s="293"/>
      <c r="R97" s="293"/>
      <c r="S97" s="293"/>
      <c r="T97" s="293"/>
      <c r="U97" s="293"/>
    </row>
    <row r="98" spans="1:21" s="442" customFormat="1">
      <c r="A98" s="441"/>
      <c r="B98" s="451" t="s">
        <v>37</v>
      </c>
      <c r="D98" s="455">
        <f t="shared" ref="D98:L98" si="18">D100*D84</f>
        <v>773.96341442112032</v>
      </c>
      <c r="E98" s="455">
        <f t="shared" si="18"/>
        <v>663.39721236096011</v>
      </c>
      <c r="F98" s="455">
        <f t="shared" si="18"/>
        <v>1356.9488434656002</v>
      </c>
      <c r="G98" s="455">
        <f t="shared" si="18"/>
        <v>1618.2871392441605</v>
      </c>
      <c r="H98" s="455">
        <f t="shared" si="18"/>
        <v>1618.2871392441605</v>
      </c>
      <c r="I98" s="455">
        <f t="shared" si="18"/>
        <v>1618.2871392441605</v>
      </c>
      <c r="J98" s="455">
        <f t="shared" si="18"/>
        <v>2213.9691656544001</v>
      </c>
      <c r="K98" s="455">
        <f t="shared" si="18"/>
        <v>2705.9623135776005</v>
      </c>
      <c r="L98" s="455">
        <f t="shared" si="18"/>
        <v>0</v>
      </c>
      <c r="M98" s="455"/>
      <c r="N98" s="455"/>
      <c r="O98" s="455"/>
      <c r="P98" s="293"/>
      <c r="Q98" s="293"/>
      <c r="R98" s="293"/>
      <c r="S98" s="293"/>
      <c r="T98" s="293"/>
      <c r="U98" s="293"/>
    </row>
    <row r="99" spans="1:21" s="442" customFormat="1">
      <c r="A99" s="441"/>
      <c r="B99" s="451" t="s">
        <v>36</v>
      </c>
      <c r="D99" s="455">
        <f t="shared" ref="D99:L99" si="19">D100*D85</f>
        <v>773.96341442112032</v>
      </c>
      <c r="E99" s="455">
        <f t="shared" si="19"/>
        <v>552.83101030080013</v>
      </c>
      <c r="F99" s="455">
        <f t="shared" si="19"/>
        <v>271.38976869312</v>
      </c>
      <c r="G99" s="455">
        <f t="shared" si="19"/>
        <v>1618.2871392441605</v>
      </c>
      <c r="H99" s="455">
        <f t="shared" si="19"/>
        <v>1618.2871392441605</v>
      </c>
      <c r="I99" s="455">
        <f t="shared" si="19"/>
        <v>1618.2871392441605</v>
      </c>
      <c r="J99" s="455">
        <f t="shared" si="19"/>
        <v>2213.9691656544001</v>
      </c>
      <c r="K99" s="455">
        <f t="shared" si="19"/>
        <v>2705.9623135776005</v>
      </c>
      <c r="L99" s="455">
        <f t="shared" si="19"/>
        <v>0</v>
      </c>
      <c r="M99" s="455"/>
      <c r="N99" s="455"/>
      <c r="O99" s="455"/>
      <c r="P99" s="293"/>
      <c r="Q99" s="293"/>
      <c r="R99" s="293"/>
      <c r="S99" s="293"/>
      <c r="T99" s="293"/>
      <c r="U99" s="293"/>
    </row>
    <row r="100" spans="1:21" s="442" customFormat="1">
      <c r="A100" s="441"/>
      <c r="B100" s="451" t="s">
        <v>413</v>
      </c>
      <c r="D100" s="455">
        <f t="shared" ref="D100:L100" si="20">VLOOKUP(D71,TargetedMSMkt,IF(D72="[retail]",4,6),FALSE)</f>
        <v>11056.620206016003</v>
      </c>
      <c r="E100" s="455">
        <f t="shared" si="20"/>
        <v>11056.620206016003</v>
      </c>
      <c r="F100" s="455">
        <f t="shared" si="20"/>
        <v>9046.3256231040014</v>
      </c>
      <c r="G100" s="455">
        <f t="shared" si="20"/>
        <v>23118.387703488006</v>
      </c>
      <c r="H100" s="455">
        <f t="shared" si="20"/>
        <v>23118.387703488006</v>
      </c>
      <c r="I100" s="455">
        <f t="shared" si="20"/>
        <v>23118.387703488006</v>
      </c>
      <c r="J100" s="455">
        <f t="shared" si="20"/>
        <v>73798.972188480009</v>
      </c>
      <c r="K100" s="455">
        <f t="shared" si="20"/>
        <v>90198.743785920014</v>
      </c>
      <c r="L100" s="455">
        <f t="shared" si="20"/>
        <v>0</v>
      </c>
      <c r="M100" s="455"/>
      <c r="N100" s="455"/>
      <c r="O100" s="455"/>
      <c r="P100" s="293"/>
      <c r="Q100" s="293"/>
      <c r="R100" s="293"/>
      <c r="S100" s="293"/>
      <c r="T100" s="293"/>
      <c r="U100" s="293"/>
    </row>
    <row r="101" spans="1:21" s="293" customFormat="1">
      <c r="A101" s="441"/>
      <c r="B101" s="448" t="s">
        <v>415</v>
      </c>
      <c r="D101" s="457" t="str">
        <f t="shared" ref="D101:L101" si="21">IF(D72="[wholesale]",D100/capacity,"")</f>
        <v/>
      </c>
      <c r="E101" s="457" t="str">
        <f t="shared" si="21"/>
        <v/>
      </c>
      <c r="F101" s="457" t="str">
        <f t="shared" si="21"/>
        <v/>
      </c>
      <c r="G101" s="457" t="str">
        <f t="shared" si="21"/>
        <v/>
      </c>
      <c r="H101" s="457" t="str">
        <f t="shared" si="21"/>
        <v/>
      </c>
      <c r="I101" s="457" t="str">
        <f t="shared" si="21"/>
        <v/>
      </c>
      <c r="J101" s="457">
        <f t="shared" si="21"/>
        <v>59.515300152000009</v>
      </c>
      <c r="K101" s="457">
        <f t="shared" si="21"/>
        <v>72.740922408000017</v>
      </c>
      <c r="L101" s="457" t="str">
        <f t="shared" si="21"/>
        <v/>
      </c>
      <c r="M101" s="457"/>
      <c r="N101" s="457"/>
      <c r="O101" s="457"/>
    </row>
    <row r="102" spans="1:21" s="461" customFormat="1">
      <c r="A102" s="458"/>
      <c r="B102" s="459"/>
      <c r="C102" s="460" t="s">
        <v>101</v>
      </c>
      <c r="D102" s="453" t="s">
        <v>416</v>
      </c>
      <c r="E102" s="453"/>
      <c r="F102" s="453"/>
      <c r="G102" s="453"/>
      <c r="H102" s="453"/>
      <c r="I102" s="453"/>
      <c r="J102" s="453"/>
      <c r="K102" s="453"/>
      <c r="L102" s="453"/>
      <c r="M102" s="453"/>
      <c r="N102" s="453"/>
      <c r="O102" s="453"/>
      <c r="R102" s="454"/>
      <c r="S102" s="454"/>
    </row>
    <row r="103" spans="1:21" s="293" customFormat="1">
      <c r="A103" s="447"/>
      <c r="B103" s="448" t="s">
        <v>47</v>
      </c>
      <c r="C103" s="462">
        <f>SUM(D103:Z103)</f>
        <v>7</v>
      </c>
      <c r="D103" s="463">
        <f t="shared" ref="D103:L103" si="22">ProductionFY1m(1,D71,VLOOKUP(D71,ProductsRangeMkt,3,FALSE),D88)</f>
        <v>0.33300139414459279</v>
      </c>
      <c r="E103" s="463">
        <f t="shared" si="22"/>
        <v>0.39378238341968913</v>
      </c>
      <c r="F103" s="463">
        <f t="shared" si="22"/>
        <v>0</v>
      </c>
      <c r="G103" s="463">
        <f t="shared" si="22"/>
        <v>1</v>
      </c>
      <c r="H103" s="463">
        <f t="shared" si="22"/>
        <v>1</v>
      </c>
      <c r="I103" s="463">
        <f t="shared" si="22"/>
        <v>1</v>
      </c>
      <c r="J103" s="463">
        <f t="shared" si="22"/>
        <v>1.6669986058554072</v>
      </c>
      <c r="K103" s="463">
        <f t="shared" si="22"/>
        <v>1.6062176165803108</v>
      </c>
      <c r="L103" s="463">
        <f t="shared" si="22"/>
        <v>0</v>
      </c>
      <c r="M103" s="463"/>
      <c r="N103" s="463"/>
      <c r="O103" s="463"/>
      <c r="R103" s="465"/>
      <c r="S103" s="465"/>
    </row>
    <row r="104" spans="1:21" s="293" customFormat="1">
      <c r="A104" s="450"/>
      <c r="B104" s="448" t="s">
        <v>46</v>
      </c>
      <c r="C104" s="462">
        <f t="shared" ref="C104:C114" si="23">SUM(D104:Z104)</f>
        <v>7</v>
      </c>
      <c r="D104" s="463">
        <f t="shared" ref="D104:L104" si="24">ProductionFY1m(2,D71,VLOOKUP(D71,ProductsRangeMkt,3,FALSE),D89)</f>
        <v>0.33300139414459279</v>
      </c>
      <c r="E104" s="463">
        <f t="shared" si="24"/>
        <v>0.3392857142857143</v>
      </c>
      <c r="F104" s="463">
        <f t="shared" si="24"/>
        <v>0</v>
      </c>
      <c r="G104" s="463">
        <f t="shared" si="24"/>
        <v>1</v>
      </c>
      <c r="H104" s="463">
        <f t="shared" si="24"/>
        <v>1</v>
      </c>
      <c r="I104" s="463">
        <f t="shared" si="24"/>
        <v>1</v>
      </c>
      <c r="J104" s="463">
        <f t="shared" si="24"/>
        <v>1.6669986058554072</v>
      </c>
      <c r="K104" s="463">
        <f t="shared" si="24"/>
        <v>1.6607142857142856</v>
      </c>
      <c r="L104" s="463">
        <f t="shared" si="24"/>
        <v>0</v>
      </c>
      <c r="M104" s="463"/>
      <c r="N104" s="463"/>
      <c r="O104" s="463"/>
      <c r="R104" s="465"/>
      <c r="S104" s="465"/>
    </row>
    <row r="105" spans="1:21" s="293" customFormat="1">
      <c r="A105" s="442"/>
      <c r="B105" s="451" t="s">
        <v>45</v>
      </c>
      <c r="C105" s="462">
        <f t="shared" si="23"/>
        <v>7</v>
      </c>
      <c r="D105" s="463">
        <f t="shared" ref="D105:L105" si="25">ProductionFY1m(3,D71,VLOOKUP(D71,ProductsRangeMkt,3,FALSE),D90)</f>
        <v>0.33300139414459279</v>
      </c>
      <c r="E105" s="463">
        <f t="shared" si="25"/>
        <v>0.39378238341968913</v>
      </c>
      <c r="F105" s="463">
        <f t="shared" si="25"/>
        <v>0</v>
      </c>
      <c r="G105" s="463">
        <f t="shared" si="25"/>
        <v>1</v>
      </c>
      <c r="H105" s="463">
        <f t="shared" si="25"/>
        <v>1</v>
      </c>
      <c r="I105" s="463">
        <f t="shared" si="25"/>
        <v>1</v>
      </c>
      <c r="J105" s="463">
        <f t="shared" si="25"/>
        <v>1.6669986058554072</v>
      </c>
      <c r="K105" s="463">
        <f t="shared" si="25"/>
        <v>1.6062176165803108</v>
      </c>
      <c r="L105" s="463">
        <f t="shared" si="25"/>
        <v>0</v>
      </c>
      <c r="M105" s="463"/>
      <c r="N105" s="463"/>
      <c r="O105" s="463"/>
      <c r="R105" s="465"/>
      <c r="S105" s="465"/>
    </row>
    <row r="106" spans="1:21" s="293" customFormat="1">
      <c r="A106" s="442"/>
      <c r="B106" s="451" t="s">
        <v>44</v>
      </c>
      <c r="C106" s="462">
        <f t="shared" si="23"/>
        <v>18</v>
      </c>
      <c r="D106" s="463">
        <f t="shared" ref="D106:L106" si="26">ProductionFY1m(4,D71,VLOOKUP(D71,ProductsRangeMkt,3,FALSE),D91)</f>
        <v>0.36165873555404487</v>
      </c>
      <c r="E106" s="463">
        <f t="shared" si="26"/>
        <v>0.50137438152831226</v>
      </c>
      <c r="F106" s="463">
        <f t="shared" si="26"/>
        <v>0</v>
      </c>
      <c r="G106" s="463">
        <f t="shared" si="26"/>
        <v>1</v>
      </c>
      <c r="H106" s="463">
        <f t="shared" si="26"/>
        <v>1</v>
      </c>
      <c r="I106" s="463">
        <f t="shared" si="26"/>
        <v>1</v>
      </c>
      <c r="J106" s="463">
        <f t="shared" si="26"/>
        <v>6.6383412644459545</v>
      </c>
      <c r="K106" s="463">
        <f t="shared" si="26"/>
        <v>7.4986256184716877</v>
      </c>
      <c r="L106" s="463">
        <f t="shared" si="26"/>
        <v>0</v>
      </c>
      <c r="M106" s="463"/>
      <c r="N106" s="463"/>
      <c r="O106" s="463"/>
      <c r="R106" s="465"/>
      <c r="S106" s="465"/>
    </row>
    <row r="107" spans="1:21" s="293" customFormat="1">
      <c r="A107" s="442"/>
      <c r="B107" s="451" t="s">
        <v>43</v>
      </c>
      <c r="C107" s="462">
        <f t="shared" si="23"/>
        <v>20</v>
      </c>
      <c r="D107" s="463">
        <f t="shared" ref="D107:L107" si="27">ProductionFY1m(5,D71,VLOOKUP(D71,ProductsRangeMkt,3,FALSE),D92)</f>
        <v>0.9833641404805914</v>
      </c>
      <c r="E107" s="463">
        <f t="shared" si="27"/>
        <v>0.98275862068965536</v>
      </c>
      <c r="F107" s="463">
        <f t="shared" si="27"/>
        <v>1</v>
      </c>
      <c r="G107" s="463">
        <f t="shared" si="27"/>
        <v>1</v>
      </c>
      <c r="H107" s="463">
        <f t="shared" si="27"/>
        <v>1</v>
      </c>
      <c r="I107" s="463">
        <f t="shared" si="27"/>
        <v>1</v>
      </c>
      <c r="J107" s="463">
        <f t="shared" si="27"/>
        <v>6.0166358595194076</v>
      </c>
      <c r="K107" s="463">
        <f t="shared" si="27"/>
        <v>8.0172413793103452</v>
      </c>
      <c r="L107" s="463">
        <f t="shared" si="27"/>
        <v>0</v>
      </c>
      <c r="M107" s="463"/>
      <c r="N107" s="463"/>
      <c r="O107" s="463"/>
      <c r="R107" s="465"/>
      <c r="S107" s="465"/>
    </row>
    <row r="108" spans="1:21" s="293" customFormat="1">
      <c r="B108" s="451" t="s">
        <v>42</v>
      </c>
      <c r="C108" s="462">
        <f t="shared" si="23"/>
        <v>27</v>
      </c>
      <c r="D108" s="463">
        <f t="shared" ref="D108:L108" si="28">ProductionFY1m(6,D71,VLOOKUP(D71,ProductsRangeMkt,3,FALSE),D93)</f>
        <v>1.0242308739450041</v>
      </c>
      <c r="E108" s="463">
        <f t="shared" si="28"/>
        <v>0.96637242538881885</v>
      </c>
      <c r="F108" s="463">
        <f t="shared" si="28"/>
        <v>1</v>
      </c>
      <c r="G108" s="463">
        <f t="shared" si="28"/>
        <v>2</v>
      </c>
      <c r="H108" s="463">
        <f t="shared" si="28"/>
        <v>2</v>
      </c>
      <c r="I108" s="463">
        <f t="shared" si="28"/>
        <v>2</v>
      </c>
      <c r="J108" s="463">
        <f t="shared" si="28"/>
        <v>7.9757691260549963</v>
      </c>
      <c r="K108" s="463">
        <f t="shared" si="28"/>
        <v>10.033627574611181</v>
      </c>
      <c r="L108" s="463">
        <f t="shared" si="28"/>
        <v>0</v>
      </c>
      <c r="M108" s="463"/>
      <c r="N108" s="463"/>
      <c r="O108" s="463"/>
      <c r="R108" s="465"/>
      <c r="S108" s="465"/>
    </row>
    <row r="109" spans="1:21" s="293" customFormat="1">
      <c r="B109" s="451" t="s">
        <v>41</v>
      </c>
      <c r="C109" s="462">
        <f t="shared" si="23"/>
        <v>27</v>
      </c>
      <c r="D109" s="463">
        <f t="shared" ref="D109:L109" si="29">ProductionFY1m(7,D71,VLOOKUP(D71,ProductsRangeMkt,3,FALSE),D94)</f>
        <v>1.0242308739450041</v>
      </c>
      <c r="E109" s="463">
        <f t="shared" si="29"/>
        <v>0.96637242538881885</v>
      </c>
      <c r="F109" s="463">
        <f t="shared" si="29"/>
        <v>1</v>
      </c>
      <c r="G109" s="463">
        <f t="shared" si="29"/>
        <v>2</v>
      </c>
      <c r="H109" s="463">
        <f t="shared" si="29"/>
        <v>2</v>
      </c>
      <c r="I109" s="463">
        <f t="shared" si="29"/>
        <v>2</v>
      </c>
      <c r="J109" s="463">
        <f t="shared" si="29"/>
        <v>7.9757691260549963</v>
      </c>
      <c r="K109" s="463">
        <f t="shared" si="29"/>
        <v>10.033627574611181</v>
      </c>
      <c r="L109" s="463">
        <f t="shared" si="29"/>
        <v>0</v>
      </c>
      <c r="M109" s="463"/>
      <c r="N109" s="463"/>
      <c r="O109" s="463"/>
      <c r="R109" s="465"/>
      <c r="S109" s="465"/>
    </row>
    <row r="110" spans="1:21" s="293" customFormat="1">
      <c r="B110" s="451" t="s">
        <v>40</v>
      </c>
      <c r="C110" s="462">
        <f t="shared" si="23"/>
        <v>24</v>
      </c>
      <c r="D110" s="463">
        <f t="shared" ref="D110:L110" si="30">ProductionFY1m(8,D71,VLOOKUP(D71,ProductsRangeMkt,3,FALSE),D95)</f>
        <v>1.0423940149625937</v>
      </c>
      <c r="E110" s="463">
        <f t="shared" si="30"/>
        <v>0.9091348477525375</v>
      </c>
      <c r="F110" s="463">
        <f t="shared" si="30"/>
        <v>1</v>
      </c>
      <c r="G110" s="463">
        <f t="shared" si="30"/>
        <v>2</v>
      </c>
      <c r="H110" s="463">
        <f t="shared" si="30"/>
        <v>2</v>
      </c>
      <c r="I110" s="463">
        <f t="shared" si="30"/>
        <v>2</v>
      </c>
      <c r="J110" s="463">
        <f t="shared" si="30"/>
        <v>6.9576059850374063</v>
      </c>
      <c r="K110" s="463">
        <f t="shared" si="30"/>
        <v>8.0908651522474617</v>
      </c>
      <c r="L110" s="463">
        <f t="shared" si="30"/>
        <v>0</v>
      </c>
      <c r="M110" s="463"/>
      <c r="N110" s="463"/>
      <c r="O110" s="463"/>
      <c r="R110" s="465"/>
      <c r="S110" s="465"/>
    </row>
    <row r="111" spans="1:21" s="293" customFormat="1">
      <c r="B111" s="451" t="s">
        <v>39</v>
      </c>
      <c r="C111" s="462">
        <f t="shared" si="23"/>
        <v>24</v>
      </c>
      <c r="D111" s="463">
        <f t="shared" ref="D111:L111" si="31">ProductionFY1m(9,D71,VLOOKUP(D71,ProductsRangeMkt,3,FALSE),D96)</f>
        <v>1.0423940149625937</v>
      </c>
      <c r="E111" s="463">
        <f t="shared" si="31"/>
        <v>0.9091348477525375</v>
      </c>
      <c r="F111" s="463">
        <f t="shared" si="31"/>
        <v>1</v>
      </c>
      <c r="G111" s="463">
        <f t="shared" si="31"/>
        <v>2</v>
      </c>
      <c r="H111" s="463">
        <f t="shared" si="31"/>
        <v>2</v>
      </c>
      <c r="I111" s="463">
        <f t="shared" si="31"/>
        <v>2</v>
      </c>
      <c r="J111" s="463">
        <f t="shared" si="31"/>
        <v>6.9576059850374063</v>
      </c>
      <c r="K111" s="463">
        <f t="shared" si="31"/>
        <v>8.0908651522474617</v>
      </c>
      <c r="L111" s="463">
        <f t="shared" si="31"/>
        <v>0</v>
      </c>
      <c r="M111" s="463"/>
      <c r="N111" s="463"/>
      <c r="O111" s="463"/>
      <c r="R111" s="465"/>
      <c r="S111" s="465"/>
    </row>
    <row r="112" spans="1:21" s="293" customFormat="1">
      <c r="B112" s="451" t="s">
        <v>38</v>
      </c>
      <c r="C112" s="462">
        <f t="shared" si="23"/>
        <v>23</v>
      </c>
      <c r="D112" s="463">
        <f t="shared" ref="D112:L112" si="32">ProductionFY1m(10,D71,VLOOKUP(D71,ProductsRangeMkt,3,FALSE),D97)</f>
        <v>0.83911671924290221</v>
      </c>
      <c r="E112" s="463">
        <f t="shared" si="32"/>
        <v>0.98275862068965536</v>
      </c>
      <c r="F112" s="463">
        <f t="shared" si="32"/>
        <v>1</v>
      </c>
      <c r="G112" s="463">
        <f t="shared" si="32"/>
        <v>2</v>
      </c>
      <c r="H112" s="463">
        <f t="shared" si="32"/>
        <v>2</v>
      </c>
      <c r="I112" s="463">
        <f t="shared" si="32"/>
        <v>2</v>
      </c>
      <c r="J112" s="463">
        <f t="shared" si="32"/>
        <v>6.1608832807570977</v>
      </c>
      <c r="K112" s="463">
        <f t="shared" si="32"/>
        <v>8.0172413793103452</v>
      </c>
      <c r="L112" s="463">
        <f t="shared" si="32"/>
        <v>0</v>
      </c>
      <c r="M112" s="463"/>
      <c r="N112" s="463"/>
      <c r="O112" s="463"/>
      <c r="R112" s="465"/>
      <c r="S112" s="465"/>
    </row>
    <row r="113" spans="1:48" s="293" customFormat="1">
      <c r="B113" s="451" t="s">
        <v>37</v>
      </c>
      <c r="C113" s="462">
        <f t="shared" si="23"/>
        <v>8</v>
      </c>
      <c r="D113" s="463">
        <f t="shared" ref="D113:L113" si="33">ProductionFY1m(11,D71,VLOOKUP(D71,ProductsRangeMkt,3,FALSE),D98)</f>
        <v>0.51805949008498597</v>
      </c>
      <c r="E113" s="463">
        <f t="shared" si="33"/>
        <v>0.39378238341968913</v>
      </c>
      <c r="F113" s="463">
        <f t="shared" si="33"/>
        <v>1</v>
      </c>
      <c r="G113" s="463">
        <f t="shared" si="33"/>
        <v>1</v>
      </c>
      <c r="H113" s="463">
        <f t="shared" si="33"/>
        <v>1</v>
      </c>
      <c r="I113" s="463">
        <f t="shared" si="33"/>
        <v>1</v>
      </c>
      <c r="J113" s="463">
        <f t="shared" si="33"/>
        <v>1.481940509915014</v>
      </c>
      <c r="K113" s="463">
        <f t="shared" si="33"/>
        <v>1.6062176165803108</v>
      </c>
      <c r="L113" s="463">
        <f t="shared" si="33"/>
        <v>0</v>
      </c>
      <c r="M113" s="463"/>
      <c r="N113" s="463"/>
      <c r="O113" s="463"/>
      <c r="R113" s="465"/>
      <c r="S113" s="465"/>
    </row>
    <row r="114" spans="1:48" s="293" customFormat="1">
      <c r="B114" s="451" t="s">
        <v>36</v>
      </c>
      <c r="C114" s="462">
        <f t="shared" si="23"/>
        <v>7</v>
      </c>
      <c r="D114" s="463">
        <f t="shared" ref="D114:L114" si="34">ProductionFY1m(12,D71,VLOOKUP(D71,ProductsRangeMkt,3,FALSE),D99)</f>
        <v>0.51805949008498597</v>
      </c>
      <c r="E114" s="463">
        <f t="shared" si="34"/>
        <v>0.3392857142857143</v>
      </c>
      <c r="F114" s="463">
        <f t="shared" si="34"/>
        <v>0</v>
      </c>
      <c r="G114" s="463">
        <f t="shared" si="34"/>
        <v>1</v>
      </c>
      <c r="H114" s="463">
        <f t="shared" si="34"/>
        <v>1</v>
      </c>
      <c r="I114" s="463">
        <f t="shared" si="34"/>
        <v>1</v>
      </c>
      <c r="J114" s="463">
        <f t="shared" si="34"/>
        <v>1.481940509915014</v>
      </c>
      <c r="K114" s="463">
        <f t="shared" si="34"/>
        <v>1.6607142857142856</v>
      </c>
      <c r="L114" s="463">
        <f t="shared" si="34"/>
        <v>0</v>
      </c>
      <c r="M114" s="463"/>
      <c r="N114" s="463"/>
      <c r="O114" s="463"/>
      <c r="R114" s="465"/>
      <c r="S114" s="465"/>
    </row>
    <row r="115" spans="1:48" s="293" customFormat="1">
      <c r="A115" s="466" t="s">
        <v>417</v>
      </c>
      <c r="B115" s="442"/>
      <c r="C115" s="448" t="s">
        <v>85</v>
      </c>
      <c r="D115" s="467">
        <f t="shared" ref="D115:L115" si="35">SUM(D88:D99)</f>
        <v>11056.620206016001</v>
      </c>
      <c r="E115" s="468">
        <f t="shared" si="35"/>
        <v>11056.620206016005</v>
      </c>
      <c r="F115" s="468">
        <f t="shared" si="35"/>
        <v>9046.3256231039995</v>
      </c>
      <c r="G115" s="468">
        <f t="shared" si="35"/>
        <v>23118.387703488006</v>
      </c>
      <c r="H115" s="468">
        <f t="shared" si="35"/>
        <v>23118.387703488006</v>
      </c>
      <c r="I115" s="468">
        <f t="shared" si="35"/>
        <v>23118.387703488006</v>
      </c>
      <c r="J115" s="468">
        <f t="shared" si="35"/>
        <v>73798.972188480009</v>
      </c>
      <c r="K115" s="468">
        <f t="shared" si="35"/>
        <v>90198.743785920029</v>
      </c>
      <c r="L115" s="468">
        <f t="shared" si="35"/>
        <v>0</v>
      </c>
      <c r="M115" s="468"/>
      <c r="N115" s="468"/>
      <c r="O115" s="469"/>
      <c r="R115" s="465"/>
      <c r="S115" s="465"/>
    </row>
    <row r="116" spans="1:48" s="293" customFormat="1">
      <c r="A116" s="466" t="s">
        <v>418</v>
      </c>
      <c r="B116" s="442"/>
      <c r="C116" s="448" t="s">
        <v>85</v>
      </c>
      <c r="D116" s="467">
        <f t="shared" ref="D116:L116" si="36">SUM(D103:D114)*capacity</f>
        <v>10357.115544263639</v>
      </c>
      <c r="E116" s="467">
        <f t="shared" si="36"/>
        <v>10016.50268754583</v>
      </c>
      <c r="F116" s="467">
        <f t="shared" si="36"/>
        <v>8680</v>
      </c>
      <c r="G116" s="467">
        <f t="shared" si="36"/>
        <v>21080</v>
      </c>
      <c r="H116" s="467">
        <f t="shared" si="36"/>
        <v>21080</v>
      </c>
      <c r="I116" s="467">
        <f t="shared" si="36"/>
        <v>21080</v>
      </c>
      <c r="J116" s="467">
        <f t="shared" si="36"/>
        <v>70242.884455736348</v>
      </c>
      <c r="K116" s="467">
        <f t="shared" si="36"/>
        <v>84223.497312454172</v>
      </c>
      <c r="L116" s="467">
        <f t="shared" si="36"/>
        <v>0</v>
      </c>
      <c r="M116" s="467"/>
      <c r="N116" s="467"/>
      <c r="O116" s="467"/>
      <c r="R116" s="465"/>
      <c r="S116" s="465"/>
    </row>
    <row r="117" spans="1:48" s="293" customFormat="1">
      <c r="A117" s="466" t="s">
        <v>419</v>
      </c>
      <c r="B117" s="442"/>
      <c r="C117" s="448" t="s">
        <v>85</v>
      </c>
      <c r="D117" s="467">
        <f t="shared" ref="D117:L117" si="37">D115-D116</f>
        <v>699.50466175236215</v>
      </c>
      <c r="E117" s="468">
        <f t="shared" si="37"/>
        <v>1040.1175184701751</v>
      </c>
      <c r="F117" s="468">
        <f t="shared" si="37"/>
        <v>366.32562310399953</v>
      </c>
      <c r="G117" s="468">
        <f t="shared" si="37"/>
        <v>2038.3877034880061</v>
      </c>
      <c r="H117" s="468">
        <f t="shared" si="37"/>
        <v>2038.3877034880061</v>
      </c>
      <c r="I117" s="468">
        <f t="shared" si="37"/>
        <v>2038.3877034880061</v>
      </c>
      <c r="J117" s="468">
        <f t="shared" si="37"/>
        <v>3556.087732743661</v>
      </c>
      <c r="K117" s="468">
        <f t="shared" si="37"/>
        <v>5975.246473465857</v>
      </c>
      <c r="L117" s="468">
        <f t="shared" si="37"/>
        <v>0</v>
      </c>
      <c r="M117" s="468"/>
      <c r="N117" s="468"/>
      <c r="O117" s="468"/>
      <c r="R117" s="465"/>
      <c r="S117" s="465"/>
    </row>
    <row r="118" spans="1:48" s="444" customFormat="1">
      <c r="A118" s="441"/>
      <c r="B118" s="445" t="s">
        <v>34</v>
      </c>
      <c r="C118" s="445"/>
      <c r="D118" s="470" t="s">
        <v>412</v>
      </c>
      <c r="E118" s="470"/>
      <c r="F118" s="470"/>
      <c r="G118" s="470"/>
      <c r="H118" s="470"/>
      <c r="I118" s="470"/>
      <c r="J118" s="470"/>
      <c r="K118" s="470"/>
      <c r="L118" s="470"/>
      <c r="M118" s="470"/>
      <c r="N118" s="470"/>
      <c r="O118" s="470"/>
      <c r="P118" s="293"/>
      <c r="Q118" s="293"/>
      <c r="R118" s="293"/>
      <c r="S118" s="293"/>
      <c r="T118" s="293"/>
      <c r="U118" s="293"/>
      <c r="V118" s="293"/>
      <c r="W118" s="293"/>
      <c r="AG118" s="293"/>
      <c r="AH118" s="293"/>
      <c r="AI118" s="293"/>
      <c r="AJ118" s="293"/>
      <c r="AK118" s="293"/>
      <c r="AL118" s="293"/>
      <c r="AM118" s="293"/>
      <c r="AN118" s="293"/>
      <c r="AO118" s="293"/>
      <c r="AP118" s="293"/>
      <c r="AQ118" s="293"/>
      <c r="AR118" s="293"/>
      <c r="AS118" s="293"/>
      <c r="AT118" s="293"/>
      <c r="AU118" s="293"/>
      <c r="AV118" s="293"/>
    </row>
    <row r="119" spans="1:48" s="444" customFormat="1">
      <c r="A119" s="447"/>
      <c r="B119" s="448" t="s">
        <v>47</v>
      </c>
      <c r="C119" s="442"/>
      <c r="D119" s="239">
        <v>0.04</v>
      </c>
      <c r="E119" s="239">
        <v>0.06</v>
      </c>
      <c r="F119" s="239">
        <v>0.02</v>
      </c>
      <c r="G119" s="239">
        <v>0.05</v>
      </c>
      <c r="H119" s="239">
        <v>0.05</v>
      </c>
      <c r="I119" s="239">
        <v>0.05</v>
      </c>
      <c r="J119" s="239">
        <v>0.03</v>
      </c>
      <c r="K119" s="239">
        <v>0.03</v>
      </c>
      <c r="L119" s="513"/>
      <c r="M119" s="513"/>
      <c r="N119" s="513"/>
      <c r="O119" s="513"/>
      <c r="P119" s="293"/>
      <c r="Q119" s="293"/>
      <c r="R119" s="293"/>
      <c r="S119" s="293"/>
      <c r="T119" s="293"/>
      <c r="U119" s="293"/>
      <c r="V119" s="293"/>
      <c r="W119" s="293"/>
      <c r="AG119" s="293"/>
      <c r="AH119" s="293"/>
      <c r="AI119" s="293"/>
      <c r="AJ119" s="293"/>
      <c r="AK119" s="293"/>
      <c r="AL119" s="293"/>
      <c r="AM119" s="293"/>
      <c r="AN119" s="293"/>
      <c r="AO119" s="293"/>
      <c r="AP119" s="293"/>
      <c r="AQ119" s="293"/>
      <c r="AR119" s="293"/>
      <c r="AS119" s="293"/>
      <c r="AT119" s="293"/>
      <c r="AU119" s="293"/>
      <c r="AV119" s="293"/>
    </row>
    <row r="120" spans="1:48" s="444" customFormat="1">
      <c r="A120" s="450"/>
      <c r="B120" s="448" t="s">
        <v>46</v>
      </c>
      <c r="C120" s="442"/>
      <c r="D120" s="239">
        <v>0.04</v>
      </c>
      <c r="E120" s="239">
        <v>0.05</v>
      </c>
      <c r="F120" s="239">
        <v>0.03</v>
      </c>
      <c r="G120" s="239">
        <v>0.05</v>
      </c>
      <c r="H120" s="239">
        <v>0.05</v>
      </c>
      <c r="I120" s="239">
        <v>0.05</v>
      </c>
      <c r="J120" s="239">
        <v>0.03</v>
      </c>
      <c r="K120" s="239">
        <v>0.03</v>
      </c>
      <c r="L120" s="513"/>
      <c r="M120" s="513"/>
      <c r="N120" s="513"/>
      <c r="O120" s="513"/>
      <c r="P120" s="293"/>
      <c r="Q120" s="293"/>
      <c r="R120" s="293"/>
      <c r="S120" s="293"/>
      <c r="T120" s="293"/>
      <c r="U120" s="293"/>
      <c r="V120" s="293"/>
      <c r="W120" s="293"/>
      <c r="AG120" s="293"/>
      <c r="AH120" s="293"/>
      <c r="AI120" s="293"/>
      <c r="AJ120" s="293"/>
      <c r="AK120" s="293"/>
      <c r="AL120" s="293"/>
      <c r="AM120" s="293"/>
      <c r="AN120" s="293"/>
      <c r="AO120" s="293"/>
      <c r="AP120" s="293"/>
      <c r="AQ120" s="293"/>
      <c r="AR120" s="293"/>
      <c r="AS120" s="293"/>
      <c r="AT120" s="293"/>
      <c r="AU120" s="293"/>
      <c r="AV120" s="293"/>
    </row>
    <row r="121" spans="1:48" s="444" customFormat="1">
      <c r="A121" s="442"/>
      <c r="B121" s="451" t="s">
        <v>45</v>
      </c>
      <c r="C121" s="442"/>
      <c r="D121" s="239">
        <v>0.04</v>
      </c>
      <c r="E121" s="239">
        <v>0.06</v>
      </c>
      <c r="F121" s="239">
        <v>0.03</v>
      </c>
      <c r="G121" s="239">
        <v>0.06</v>
      </c>
      <c r="H121" s="239">
        <v>0.06</v>
      </c>
      <c r="I121" s="239">
        <v>0.06</v>
      </c>
      <c r="J121" s="239">
        <v>0.03</v>
      </c>
      <c r="K121" s="239">
        <v>0.03</v>
      </c>
      <c r="L121" s="513"/>
      <c r="M121" s="513"/>
      <c r="N121" s="513"/>
      <c r="O121" s="513"/>
      <c r="P121" s="293"/>
      <c r="Q121" s="293"/>
      <c r="R121" s="293"/>
      <c r="S121" s="293"/>
      <c r="T121" s="293"/>
      <c r="U121" s="293"/>
      <c r="V121" s="293"/>
      <c r="W121" s="293"/>
      <c r="AG121" s="293"/>
      <c r="AH121" s="293"/>
      <c r="AI121" s="293"/>
      <c r="AJ121" s="293"/>
      <c r="AK121" s="293"/>
      <c r="AL121" s="293"/>
      <c r="AM121" s="293"/>
      <c r="AN121" s="293"/>
      <c r="AO121" s="293"/>
      <c r="AP121" s="293"/>
      <c r="AQ121" s="293"/>
      <c r="AR121" s="293"/>
      <c r="AS121" s="293"/>
      <c r="AT121" s="293"/>
      <c r="AU121" s="293"/>
      <c r="AV121" s="293"/>
    </row>
    <row r="122" spans="1:48" s="442" customFormat="1">
      <c r="B122" s="451" t="s">
        <v>44</v>
      </c>
      <c r="D122" s="239">
        <v>0.04</v>
      </c>
      <c r="E122" s="239">
        <v>0.06</v>
      </c>
      <c r="F122" s="239">
        <v>0.04</v>
      </c>
      <c r="G122" s="239">
        <v>7.0000000000000007E-2</v>
      </c>
      <c r="H122" s="239">
        <v>7.0000000000000007E-2</v>
      </c>
      <c r="I122" s="239">
        <v>7.0000000000000007E-2</v>
      </c>
      <c r="J122" s="239">
        <v>0.11</v>
      </c>
      <c r="K122" s="239">
        <v>0.11</v>
      </c>
      <c r="L122" s="513"/>
      <c r="M122" s="513"/>
      <c r="N122" s="513"/>
      <c r="O122" s="513"/>
      <c r="P122" s="293"/>
      <c r="Q122" s="293"/>
      <c r="R122" s="293"/>
      <c r="S122" s="293"/>
      <c r="T122" s="293"/>
      <c r="U122" s="293"/>
      <c r="V122" s="293"/>
      <c r="W122" s="293"/>
      <c r="AG122" s="293"/>
      <c r="AH122" s="293"/>
      <c r="AI122" s="293"/>
      <c r="AJ122" s="293"/>
      <c r="AK122" s="293"/>
      <c r="AL122" s="293"/>
      <c r="AM122" s="293"/>
      <c r="AN122" s="293"/>
      <c r="AO122" s="293"/>
      <c r="AP122" s="293"/>
      <c r="AQ122" s="293"/>
      <c r="AR122" s="293"/>
      <c r="AS122" s="293"/>
      <c r="AT122" s="293"/>
      <c r="AU122" s="293"/>
      <c r="AV122" s="293"/>
    </row>
    <row r="123" spans="1:48" s="442" customFormat="1">
      <c r="B123" s="451" t="s">
        <v>43</v>
      </c>
      <c r="D123" s="239">
        <v>0.12</v>
      </c>
      <c r="E123" s="239">
        <v>0.11</v>
      </c>
      <c r="F123" s="239">
        <v>0.11</v>
      </c>
      <c r="G123" s="239">
        <v>0.08</v>
      </c>
      <c r="H123" s="239">
        <v>0.08</v>
      </c>
      <c r="I123" s="239">
        <v>0.08</v>
      </c>
      <c r="J123" s="239">
        <v>0.11</v>
      </c>
      <c r="K123" s="239">
        <v>0.11</v>
      </c>
      <c r="L123" s="513"/>
      <c r="M123" s="513"/>
      <c r="N123" s="513"/>
      <c r="O123" s="513"/>
      <c r="P123" s="293"/>
      <c r="Q123" s="293"/>
      <c r="R123" s="293"/>
      <c r="S123" s="293"/>
      <c r="T123" s="293"/>
      <c r="U123" s="293"/>
      <c r="V123" s="293"/>
      <c r="W123" s="293"/>
      <c r="AG123" s="293"/>
      <c r="AH123" s="293"/>
      <c r="AI123" s="293"/>
      <c r="AJ123" s="293"/>
      <c r="AK123" s="293"/>
      <c r="AL123" s="293"/>
      <c r="AM123" s="293"/>
      <c r="AN123" s="293"/>
      <c r="AO123" s="293"/>
      <c r="AP123" s="293"/>
      <c r="AQ123" s="293"/>
      <c r="AR123" s="293"/>
      <c r="AS123" s="293"/>
      <c r="AT123" s="293"/>
      <c r="AU123" s="293"/>
      <c r="AV123" s="293"/>
    </row>
    <row r="124" spans="1:48" s="442" customFormat="1">
      <c r="A124" s="293"/>
      <c r="B124" s="451" t="s">
        <v>42</v>
      </c>
      <c r="D124" s="239">
        <v>0.12</v>
      </c>
      <c r="E124" s="239">
        <v>0.11</v>
      </c>
      <c r="F124" s="239">
        <v>0.12</v>
      </c>
      <c r="G124" s="239">
        <v>0.1</v>
      </c>
      <c r="H124" s="239">
        <v>0.1</v>
      </c>
      <c r="I124" s="239">
        <v>0.1</v>
      </c>
      <c r="J124" s="239">
        <v>0.14000000000000001</v>
      </c>
      <c r="K124" s="239">
        <v>0.14000000000000001</v>
      </c>
      <c r="L124" s="513"/>
      <c r="M124" s="513"/>
      <c r="N124" s="513"/>
      <c r="O124" s="513"/>
      <c r="P124" s="293"/>
      <c r="Q124" s="293"/>
      <c r="R124" s="293"/>
      <c r="S124" s="293"/>
      <c r="T124" s="293"/>
      <c r="U124" s="293"/>
      <c r="V124" s="293"/>
      <c r="W124" s="293"/>
      <c r="X124" s="293"/>
      <c r="Y124" s="29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row>
    <row r="125" spans="1:48" s="442" customFormat="1">
      <c r="A125" s="293"/>
      <c r="B125" s="451" t="s">
        <v>41</v>
      </c>
      <c r="D125" s="239">
        <v>0.12</v>
      </c>
      <c r="E125" s="239">
        <v>0.11</v>
      </c>
      <c r="F125" s="239">
        <v>0.12</v>
      </c>
      <c r="G125" s="239">
        <v>0.1</v>
      </c>
      <c r="H125" s="239">
        <v>0.1</v>
      </c>
      <c r="I125" s="239">
        <v>0.1</v>
      </c>
      <c r="J125" s="239">
        <v>0.14000000000000001</v>
      </c>
      <c r="K125" s="239">
        <v>0.14000000000000001</v>
      </c>
      <c r="L125" s="513"/>
      <c r="M125" s="513"/>
      <c r="N125" s="513"/>
      <c r="O125" s="513"/>
      <c r="P125" s="293"/>
      <c r="Q125" s="293"/>
      <c r="R125" s="293"/>
      <c r="S125" s="293"/>
      <c r="T125" s="293"/>
      <c r="U125" s="293"/>
      <c r="V125" s="293"/>
      <c r="W125" s="293"/>
      <c r="X125" s="293"/>
      <c r="Y125" s="29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row>
    <row r="126" spans="1:48" s="442" customFormat="1">
      <c r="A126" s="293"/>
      <c r="B126" s="451" t="s">
        <v>40</v>
      </c>
      <c r="D126" s="239">
        <v>0.12</v>
      </c>
      <c r="E126" s="239">
        <v>0.11</v>
      </c>
      <c r="F126" s="239">
        <v>0.12</v>
      </c>
      <c r="G126" s="239">
        <v>0.12</v>
      </c>
      <c r="H126" s="239">
        <v>0.12</v>
      </c>
      <c r="I126" s="239">
        <v>0.12</v>
      </c>
      <c r="J126" s="239">
        <v>0.12</v>
      </c>
      <c r="K126" s="239">
        <v>0.12</v>
      </c>
      <c r="L126" s="513"/>
      <c r="M126" s="513"/>
      <c r="N126" s="513"/>
      <c r="O126" s="513"/>
      <c r="P126" s="293"/>
      <c r="Q126" s="293"/>
      <c r="R126" s="293"/>
      <c r="S126" s="293"/>
      <c r="T126" s="293"/>
      <c r="U126" s="293"/>
      <c r="V126" s="293"/>
      <c r="W126" s="293"/>
      <c r="X126" s="293"/>
      <c r="Y126" s="29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row>
    <row r="127" spans="1:48" s="442" customFormat="1">
      <c r="A127" s="293"/>
      <c r="B127" s="451" t="s">
        <v>39</v>
      </c>
      <c r="D127" s="239">
        <v>0.12</v>
      </c>
      <c r="E127" s="239">
        <v>0.11</v>
      </c>
      <c r="F127" s="239">
        <v>0.12</v>
      </c>
      <c r="G127" s="239">
        <v>0.12</v>
      </c>
      <c r="H127" s="239">
        <v>0.12</v>
      </c>
      <c r="I127" s="239">
        <v>0.12</v>
      </c>
      <c r="J127" s="239">
        <v>0.12</v>
      </c>
      <c r="K127" s="239">
        <v>0.12</v>
      </c>
      <c r="L127" s="513"/>
      <c r="M127" s="513"/>
      <c r="N127" s="513"/>
      <c r="O127" s="513"/>
      <c r="P127" s="293"/>
      <c r="Q127" s="293"/>
      <c r="R127" s="293"/>
      <c r="S127" s="293"/>
      <c r="T127" s="293"/>
      <c r="U127" s="293"/>
      <c r="V127" s="293"/>
      <c r="W127" s="293"/>
      <c r="X127" s="293"/>
      <c r="Y127" s="29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row>
    <row r="128" spans="1:48" s="442" customFormat="1">
      <c r="A128" s="293"/>
      <c r="B128" s="451" t="s">
        <v>38</v>
      </c>
      <c r="D128" s="239">
        <v>0.1</v>
      </c>
      <c r="E128" s="239">
        <v>0.11</v>
      </c>
      <c r="F128" s="239">
        <v>0.11</v>
      </c>
      <c r="G128" s="239">
        <v>0.11</v>
      </c>
      <c r="H128" s="239">
        <v>0.11</v>
      </c>
      <c r="I128" s="239">
        <v>0.11</v>
      </c>
      <c r="J128" s="239">
        <v>0.11</v>
      </c>
      <c r="K128" s="239">
        <v>0.11</v>
      </c>
      <c r="L128" s="513"/>
      <c r="M128" s="513"/>
      <c r="N128" s="513"/>
      <c r="O128" s="513"/>
      <c r="P128" s="293"/>
      <c r="Q128" s="293"/>
      <c r="R128" s="293"/>
      <c r="S128" s="293"/>
      <c r="T128" s="293"/>
      <c r="U128" s="293"/>
      <c r="V128" s="293"/>
      <c r="W128" s="293"/>
      <c r="X128" s="293"/>
      <c r="Y128" s="29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row>
    <row r="129" spans="1:48" s="442" customFormat="1">
      <c r="A129" s="293"/>
      <c r="B129" s="451" t="s">
        <v>37</v>
      </c>
      <c r="D129" s="239">
        <v>7.0000000000000007E-2</v>
      </c>
      <c r="E129" s="239">
        <v>0.06</v>
      </c>
      <c r="F129" s="239">
        <v>0.15</v>
      </c>
      <c r="G129" s="239">
        <v>7.0000000000000007E-2</v>
      </c>
      <c r="H129" s="239">
        <v>7.0000000000000007E-2</v>
      </c>
      <c r="I129" s="239">
        <v>7.0000000000000007E-2</v>
      </c>
      <c r="J129" s="239">
        <v>0.03</v>
      </c>
      <c r="K129" s="239">
        <v>0.03</v>
      </c>
      <c r="L129" s="513"/>
      <c r="M129" s="513"/>
      <c r="N129" s="513"/>
      <c r="O129" s="513"/>
      <c r="P129" s="293"/>
      <c r="Q129" s="293"/>
      <c r="R129" s="293"/>
      <c r="S129" s="293"/>
      <c r="T129" s="293"/>
      <c r="U129" s="293"/>
      <c r="V129" s="293"/>
      <c r="W129" s="293"/>
      <c r="X129" s="293"/>
      <c r="Y129" s="29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row>
    <row r="130" spans="1:48" s="442" customFormat="1">
      <c r="A130" s="293"/>
      <c r="B130" s="451" t="s">
        <v>36</v>
      </c>
      <c r="D130" s="239">
        <v>7.0000000000000007E-2</v>
      </c>
      <c r="E130" s="239">
        <v>0.05</v>
      </c>
      <c r="F130" s="239">
        <v>0.03</v>
      </c>
      <c r="G130" s="239">
        <v>7.0000000000000007E-2</v>
      </c>
      <c r="H130" s="239">
        <v>7.0000000000000007E-2</v>
      </c>
      <c r="I130" s="239">
        <v>7.0000000000000007E-2</v>
      </c>
      <c r="J130" s="239">
        <v>0.03</v>
      </c>
      <c r="K130" s="239">
        <v>0.03</v>
      </c>
      <c r="L130" s="513"/>
      <c r="M130" s="513"/>
      <c r="N130" s="513"/>
      <c r="O130" s="513"/>
      <c r="P130" s="293"/>
      <c r="Q130" s="293"/>
      <c r="R130" s="293"/>
      <c r="S130" s="293"/>
      <c r="T130" s="293"/>
      <c r="U130" s="293"/>
      <c r="V130" s="293"/>
      <c r="W130" s="293"/>
      <c r="X130" s="293"/>
      <c r="Y130" s="29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row>
    <row r="131" spans="1:48" s="442" customFormat="1">
      <c r="A131" s="293"/>
      <c r="B131" s="451" t="s">
        <v>413</v>
      </c>
      <c r="D131" s="452">
        <f t="shared" ref="D131:L131" si="38">SUM(D119:D130)</f>
        <v>1</v>
      </c>
      <c r="E131" s="452">
        <f t="shared" si="38"/>
        <v>1</v>
      </c>
      <c r="F131" s="452">
        <f t="shared" si="38"/>
        <v>1</v>
      </c>
      <c r="G131" s="452">
        <f t="shared" si="38"/>
        <v>1</v>
      </c>
      <c r="H131" s="452">
        <f t="shared" si="38"/>
        <v>1</v>
      </c>
      <c r="I131" s="452">
        <f t="shared" si="38"/>
        <v>1</v>
      </c>
      <c r="J131" s="452">
        <f t="shared" si="38"/>
        <v>1</v>
      </c>
      <c r="K131" s="452">
        <f t="shared" si="38"/>
        <v>1</v>
      </c>
      <c r="L131" s="452">
        <f t="shared" si="38"/>
        <v>0</v>
      </c>
      <c r="M131" s="452"/>
      <c r="N131" s="452"/>
      <c r="O131" s="452"/>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row>
    <row r="132" spans="1:48" s="442" customFormat="1">
      <c r="A132" s="293"/>
      <c r="B132" s="451"/>
      <c r="D132" s="453" t="s">
        <v>414</v>
      </c>
      <c r="E132" s="453"/>
      <c r="F132" s="453"/>
      <c r="G132" s="453"/>
      <c r="H132" s="453"/>
      <c r="I132" s="453"/>
      <c r="J132" s="453"/>
      <c r="K132" s="453"/>
      <c r="L132" s="453"/>
      <c r="M132" s="453"/>
      <c r="N132" s="453"/>
      <c r="O132" s="45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row>
    <row r="133" spans="1:48" s="293" customFormat="1">
      <c r="A133" s="441"/>
      <c r="B133" s="448" t="s">
        <v>47</v>
      </c>
      <c r="D133" s="455">
        <f t="shared" ref="D133:L133" si="39">D119*D145</f>
        <v>470.79802167552015</v>
      </c>
      <c r="E133" s="455">
        <f t="shared" si="39"/>
        <v>706.19703251328019</v>
      </c>
      <c r="F133" s="455">
        <f t="shared" si="39"/>
        <v>192.59919068544005</v>
      </c>
      <c r="G133" s="455">
        <f t="shared" si="39"/>
        <v>1230.4948293792004</v>
      </c>
      <c r="H133" s="455">
        <f t="shared" si="39"/>
        <v>1230.4948293792004</v>
      </c>
      <c r="I133" s="455">
        <f t="shared" si="39"/>
        <v>1230.4948293792004</v>
      </c>
      <c r="J133" s="455">
        <f t="shared" si="39"/>
        <v>2513.9262784204802</v>
      </c>
      <c r="K133" s="455">
        <f t="shared" si="39"/>
        <v>2723.420134955521</v>
      </c>
      <c r="L133" s="455">
        <f t="shared" si="39"/>
        <v>0</v>
      </c>
      <c r="M133" s="455"/>
      <c r="N133" s="455"/>
      <c r="O133" s="455"/>
    </row>
    <row r="134" spans="1:48" s="293" customFormat="1">
      <c r="A134" s="441"/>
      <c r="B134" s="448" t="s">
        <v>46</v>
      </c>
      <c r="D134" s="455">
        <f t="shared" ref="D134:L134" si="40">D120*D145</f>
        <v>470.79802167552015</v>
      </c>
      <c r="E134" s="455">
        <f t="shared" si="40"/>
        <v>588.4975270944002</v>
      </c>
      <c r="F134" s="455">
        <f t="shared" si="40"/>
        <v>288.89878602816003</v>
      </c>
      <c r="G134" s="455">
        <f t="shared" si="40"/>
        <v>1230.4948293792004</v>
      </c>
      <c r="H134" s="455">
        <f t="shared" si="40"/>
        <v>1230.4948293792004</v>
      </c>
      <c r="I134" s="455">
        <f t="shared" si="40"/>
        <v>1230.4948293792004</v>
      </c>
      <c r="J134" s="455">
        <f t="shared" si="40"/>
        <v>2513.9262784204802</v>
      </c>
      <c r="K134" s="455">
        <f t="shared" si="40"/>
        <v>2723.420134955521</v>
      </c>
      <c r="L134" s="455">
        <f t="shared" si="40"/>
        <v>0</v>
      </c>
      <c r="M134" s="455"/>
      <c r="N134" s="455"/>
      <c r="O134" s="455"/>
    </row>
    <row r="135" spans="1:48" s="293" customFormat="1">
      <c r="A135" s="441"/>
      <c r="B135" s="451" t="s">
        <v>45</v>
      </c>
      <c r="D135" s="455">
        <f t="shared" ref="D135:L135" si="41">D121*D145</f>
        <v>470.79802167552015</v>
      </c>
      <c r="E135" s="455">
        <f t="shared" si="41"/>
        <v>706.19703251328019</v>
      </c>
      <c r="F135" s="455">
        <f t="shared" si="41"/>
        <v>288.89878602816003</v>
      </c>
      <c r="G135" s="455">
        <f t="shared" si="41"/>
        <v>1476.5937952550405</v>
      </c>
      <c r="H135" s="455">
        <f t="shared" si="41"/>
        <v>1476.5937952550405</v>
      </c>
      <c r="I135" s="455">
        <f t="shared" si="41"/>
        <v>1476.5937952550405</v>
      </c>
      <c r="J135" s="455">
        <f t="shared" si="41"/>
        <v>2513.9262784204802</v>
      </c>
      <c r="K135" s="455">
        <f t="shared" si="41"/>
        <v>2723.420134955521</v>
      </c>
      <c r="L135" s="455">
        <f t="shared" si="41"/>
        <v>0</v>
      </c>
      <c r="M135" s="455"/>
      <c r="N135" s="455"/>
      <c r="O135" s="455"/>
    </row>
    <row r="136" spans="1:48" s="293" customFormat="1">
      <c r="A136" s="441"/>
      <c r="B136" s="451" t="s">
        <v>44</v>
      </c>
      <c r="D136" s="455">
        <f t="shared" ref="D136:L136" si="42">D122*D145</f>
        <v>470.79802167552015</v>
      </c>
      <c r="E136" s="455">
        <f t="shared" si="42"/>
        <v>706.19703251328019</v>
      </c>
      <c r="F136" s="455">
        <f t="shared" si="42"/>
        <v>385.1983813708801</v>
      </c>
      <c r="G136" s="455">
        <f t="shared" si="42"/>
        <v>1722.6927611308806</v>
      </c>
      <c r="H136" s="455">
        <f t="shared" si="42"/>
        <v>1722.6927611308806</v>
      </c>
      <c r="I136" s="455">
        <f t="shared" si="42"/>
        <v>1722.6927611308806</v>
      </c>
      <c r="J136" s="455">
        <f t="shared" si="42"/>
        <v>9217.7296875417615</v>
      </c>
      <c r="K136" s="455">
        <f t="shared" si="42"/>
        <v>9985.8738281702426</v>
      </c>
      <c r="L136" s="455">
        <f t="shared" si="42"/>
        <v>0</v>
      </c>
      <c r="M136" s="455"/>
      <c r="N136" s="455"/>
      <c r="O136" s="455"/>
    </row>
    <row r="137" spans="1:48" s="293" customFormat="1">
      <c r="A137" s="332"/>
      <c r="B137" s="451" t="s">
        <v>43</v>
      </c>
      <c r="D137" s="455">
        <f t="shared" ref="D137:L137" si="43">D123*D145</f>
        <v>1412.3940650265604</v>
      </c>
      <c r="E137" s="455">
        <f t="shared" si="43"/>
        <v>1294.6945596076805</v>
      </c>
      <c r="F137" s="455">
        <f t="shared" si="43"/>
        <v>1059.2955487699203</v>
      </c>
      <c r="G137" s="455">
        <f t="shared" si="43"/>
        <v>1968.7917270067207</v>
      </c>
      <c r="H137" s="455">
        <f t="shared" si="43"/>
        <v>1968.7917270067207</v>
      </c>
      <c r="I137" s="455">
        <f t="shared" si="43"/>
        <v>1968.7917270067207</v>
      </c>
      <c r="J137" s="455">
        <f t="shared" si="43"/>
        <v>9217.7296875417615</v>
      </c>
      <c r="K137" s="455">
        <f t="shared" si="43"/>
        <v>9985.8738281702426</v>
      </c>
      <c r="L137" s="455">
        <f t="shared" si="43"/>
        <v>0</v>
      </c>
      <c r="M137" s="455"/>
      <c r="N137" s="455"/>
      <c r="O137" s="455"/>
    </row>
    <row r="138" spans="1:48" s="293" customFormat="1">
      <c r="A138" s="443"/>
      <c r="B138" s="451" t="s">
        <v>42</v>
      </c>
      <c r="D138" s="455">
        <f t="shared" ref="D138:L138" si="44">D124*D145</f>
        <v>1412.3940650265604</v>
      </c>
      <c r="E138" s="455">
        <f t="shared" si="44"/>
        <v>1294.6945596076805</v>
      </c>
      <c r="F138" s="455">
        <f t="shared" si="44"/>
        <v>1155.5951441126401</v>
      </c>
      <c r="G138" s="455">
        <f t="shared" si="44"/>
        <v>2460.9896587584008</v>
      </c>
      <c r="H138" s="455">
        <f t="shared" si="44"/>
        <v>2460.9896587584008</v>
      </c>
      <c r="I138" s="455">
        <f t="shared" si="44"/>
        <v>2460.9896587584008</v>
      </c>
      <c r="J138" s="455">
        <f t="shared" si="44"/>
        <v>11731.655965962243</v>
      </c>
      <c r="K138" s="455">
        <f t="shared" si="44"/>
        <v>12709.293963125765</v>
      </c>
      <c r="L138" s="455">
        <f t="shared" si="44"/>
        <v>0</v>
      </c>
      <c r="M138" s="455"/>
      <c r="N138" s="455"/>
      <c r="O138" s="455"/>
    </row>
    <row r="139" spans="1:48" s="293" customFormat="1">
      <c r="A139" s="443"/>
      <c r="B139" s="451" t="s">
        <v>41</v>
      </c>
      <c r="D139" s="455">
        <f t="shared" ref="D139:L139" si="45">D125*D145</f>
        <v>1412.3940650265604</v>
      </c>
      <c r="E139" s="455">
        <f t="shared" si="45"/>
        <v>1294.6945596076805</v>
      </c>
      <c r="F139" s="455">
        <f t="shared" si="45"/>
        <v>1155.5951441126401</v>
      </c>
      <c r="G139" s="455">
        <f t="shared" si="45"/>
        <v>2460.9896587584008</v>
      </c>
      <c r="H139" s="455">
        <f t="shared" si="45"/>
        <v>2460.9896587584008</v>
      </c>
      <c r="I139" s="455">
        <f t="shared" si="45"/>
        <v>2460.9896587584008</v>
      </c>
      <c r="J139" s="455">
        <f t="shared" si="45"/>
        <v>11731.655965962243</v>
      </c>
      <c r="K139" s="455">
        <f t="shared" si="45"/>
        <v>12709.293963125765</v>
      </c>
      <c r="L139" s="455">
        <f t="shared" si="45"/>
        <v>0</v>
      </c>
      <c r="M139" s="455"/>
      <c r="N139" s="455"/>
      <c r="O139" s="455"/>
    </row>
    <row r="140" spans="1:48" s="293" customFormat="1">
      <c r="A140" s="443"/>
      <c r="B140" s="451" t="s">
        <v>40</v>
      </c>
      <c r="D140" s="455">
        <f t="shared" ref="D140:L140" si="46">D126*D145</f>
        <v>1412.3940650265604</v>
      </c>
      <c r="E140" s="455">
        <f t="shared" si="46"/>
        <v>1294.6945596076805</v>
      </c>
      <c r="F140" s="455">
        <f t="shared" si="46"/>
        <v>1155.5951441126401</v>
      </c>
      <c r="G140" s="455">
        <f t="shared" si="46"/>
        <v>2953.187590510081</v>
      </c>
      <c r="H140" s="455">
        <f t="shared" si="46"/>
        <v>2953.187590510081</v>
      </c>
      <c r="I140" s="455">
        <f t="shared" si="46"/>
        <v>2953.187590510081</v>
      </c>
      <c r="J140" s="455">
        <f t="shared" si="46"/>
        <v>10055.705113681921</v>
      </c>
      <c r="K140" s="455">
        <f t="shared" si="46"/>
        <v>10893.680539822084</v>
      </c>
      <c r="L140" s="455">
        <f t="shared" si="46"/>
        <v>0</v>
      </c>
      <c r="M140" s="455"/>
      <c r="N140" s="455"/>
      <c r="O140" s="455"/>
    </row>
    <row r="141" spans="1:48" s="293" customFormat="1">
      <c r="A141" s="471"/>
      <c r="B141" s="451" t="s">
        <v>39</v>
      </c>
      <c r="D141" s="455">
        <f t="shared" ref="D141:L141" si="47">D127*D145</f>
        <v>1412.3940650265604</v>
      </c>
      <c r="E141" s="455">
        <f t="shared" si="47"/>
        <v>1294.6945596076805</v>
      </c>
      <c r="F141" s="455">
        <f t="shared" si="47"/>
        <v>1155.5951441126401</v>
      </c>
      <c r="G141" s="455">
        <f t="shared" si="47"/>
        <v>2953.187590510081</v>
      </c>
      <c r="H141" s="455">
        <f t="shared" si="47"/>
        <v>2953.187590510081</v>
      </c>
      <c r="I141" s="455">
        <f t="shared" si="47"/>
        <v>2953.187590510081</v>
      </c>
      <c r="J141" s="455">
        <f t="shared" si="47"/>
        <v>10055.705113681921</v>
      </c>
      <c r="K141" s="455">
        <f t="shared" si="47"/>
        <v>10893.680539822084</v>
      </c>
      <c r="L141" s="455">
        <f t="shared" si="47"/>
        <v>0</v>
      </c>
      <c r="M141" s="455"/>
      <c r="N141" s="455"/>
      <c r="O141" s="455"/>
    </row>
    <row r="142" spans="1:48" s="293" customFormat="1">
      <c r="A142" s="471"/>
      <c r="B142" s="451" t="s">
        <v>38</v>
      </c>
      <c r="D142" s="455">
        <f t="shared" ref="D142:L142" si="48">D128*D145</f>
        <v>1176.9950541888004</v>
      </c>
      <c r="E142" s="455">
        <f t="shared" si="48"/>
        <v>1294.6945596076805</v>
      </c>
      <c r="F142" s="455">
        <f t="shared" si="48"/>
        <v>1059.2955487699203</v>
      </c>
      <c r="G142" s="455">
        <f t="shared" si="48"/>
        <v>2707.0886246342407</v>
      </c>
      <c r="H142" s="455">
        <f t="shared" si="48"/>
        <v>2707.0886246342407</v>
      </c>
      <c r="I142" s="455">
        <f t="shared" si="48"/>
        <v>2707.0886246342407</v>
      </c>
      <c r="J142" s="455">
        <f t="shared" si="48"/>
        <v>9217.7296875417615</v>
      </c>
      <c r="K142" s="455">
        <f t="shared" si="48"/>
        <v>9985.8738281702426</v>
      </c>
      <c r="L142" s="455">
        <f t="shared" si="48"/>
        <v>0</v>
      </c>
      <c r="M142" s="455"/>
      <c r="N142" s="455"/>
      <c r="O142" s="455"/>
    </row>
    <row r="143" spans="1:48" s="293" customFormat="1">
      <c r="A143" s="471"/>
      <c r="B143" s="451" t="s">
        <v>37</v>
      </c>
      <c r="D143" s="455">
        <f t="shared" ref="D143:L143" si="49">D129*D145</f>
        <v>823.8965379321603</v>
      </c>
      <c r="E143" s="455">
        <f t="shared" si="49"/>
        <v>706.19703251328019</v>
      </c>
      <c r="F143" s="455">
        <f t="shared" si="49"/>
        <v>1444.4939301408003</v>
      </c>
      <c r="G143" s="455">
        <f t="shared" si="49"/>
        <v>1722.6927611308806</v>
      </c>
      <c r="H143" s="455">
        <f t="shared" si="49"/>
        <v>1722.6927611308806</v>
      </c>
      <c r="I143" s="455">
        <f t="shared" si="49"/>
        <v>1722.6927611308806</v>
      </c>
      <c r="J143" s="455">
        <f t="shared" si="49"/>
        <v>2513.9262784204802</v>
      </c>
      <c r="K143" s="455">
        <f t="shared" si="49"/>
        <v>2723.420134955521</v>
      </c>
      <c r="L143" s="455">
        <f t="shared" si="49"/>
        <v>0</v>
      </c>
      <c r="M143" s="455"/>
      <c r="N143" s="455"/>
      <c r="O143" s="455"/>
    </row>
    <row r="144" spans="1:48" s="442" customFormat="1">
      <c r="A144" s="471"/>
      <c r="B144" s="451" t="s">
        <v>36</v>
      </c>
      <c r="D144" s="455">
        <f t="shared" ref="D144:L144" si="50">D130*D145</f>
        <v>823.8965379321603</v>
      </c>
      <c r="E144" s="455">
        <f t="shared" si="50"/>
        <v>588.4975270944002</v>
      </c>
      <c r="F144" s="455">
        <f t="shared" si="50"/>
        <v>288.89878602816003</v>
      </c>
      <c r="G144" s="455">
        <f t="shared" si="50"/>
        <v>1722.6927611308806</v>
      </c>
      <c r="H144" s="455">
        <f t="shared" si="50"/>
        <v>1722.6927611308806</v>
      </c>
      <c r="I144" s="455">
        <f t="shared" si="50"/>
        <v>1722.6927611308806</v>
      </c>
      <c r="J144" s="455">
        <f t="shared" si="50"/>
        <v>2513.9262784204802</v>
      </c>
      <c r="K144" s="455">
        <f t="shared" si="50"/>
        <v>2723.420134955521</v>
      </c>
      <c r="L144" s="455">
        <f t="shared" si="50"/>
        <v>0</v>
      </c>
      <c r="M144" s="455"/>
      <c r="N144" s="455"/>
      <c r="O144" s="455"/>
      <c r="P144" s="293"/>
      <c r="Q144" s="293"/>
      <c r="R144" s="293"/>
      <c r="S144" s="293"/>
      <c r="T144" s="293"/>
      <c r="U144" s="293"/>
    </row>
    <row r="145" spans="1:21" s="442" customFormat="1">
      <c r="A145" s="471"/>
      <c r="B145" s="451" t="s">
        <v>413</v>
      </c>
      <c r="D145" s="455">
        <f t="shared" ref="D145:L145" si="51">VLOOKUP(D71,TargetedMSMkt,IF(D72="[retail]",8,10),FALSE)</f>
        <v>11769.950541888003</v>
      </c>
      <c r="E145" s="455">
        <f t="shared" si="51"/>
        <v>11769.950541888003</v>
      </c>
      <c r="F145" s="455">
        <f t="shared" si="51"/>
        <v>9629.9595342720022</v>
      </c>
      <c r="G145" s="455">
        <f t="shared" si="51"/>
        <v>24609.896587584008</v>
      </c>
      <c r="H145" s="455">
        <f t="shared" si="51"/>
        <v>24609.896587584008</v>
      </c>
      <c r="I145" s="455">
        <f t="shared" si="51"/>
        <v>24609.896587584008</v>
      </c>
      <c r="J145" s="455">
        <f t="shared" si="51"/>
        <v>83797.542614016013</v>
      </c>
      <c r="K145" s="455">
        <f t="shared" si="51"/>
        <v>90780.671165184031</v>
      </c>
      <c r="L145" s="455">
        <f t="shared" si="51"/>
        <v>0</v>
      </c>
      <c r="M145" s="455"/>
      <c r="N145" s="455"/>
      <c r="O145" s="455"/>
      <c r="P145" s="293"/>
      <c r="Q145" s="293"/>
      <c r="R145" s="293"/>
      <c r="S145" s="293"/>
      <c r="T145" s="293"/>
      <c r="U145" s="293"/>
    </row>
    <row r="146" spans="1:21" s="442" customFormat="1">
      <c r="A146" s="441"/>
      <c r="B146" s="448" t="s">
        <v>415</v>
      </c>
      <c r="D146" s="457" t="str">
        <f t="shared" ref="D146:L146" si="52">IF(D72="[wholesale]",D145/capacity,"")</f>
        <v/>
      </c>
      <c r="E146" s="457" t="str">
        <f t="shared" si="52"/>
        <v/>
      </c>
      <c r="F146" s="457" t="str">
        <f t="shared" si="52"/>
        <v/>
      </c>
      <c r="G146" s="457" t="str">
        <f t="shared" si="52"/>
        <v/>
      </c>
      <c r="H146" s="457" t="str">
        <f t="shared" si="52"/>
        <v/>
      </c>
      <c r="I146" s="457" t="str">
        <f t="shared" si="52"/>
        <v/>
      </c>
      <c r="J146" s="457">
        <f t="shared" si="52"/>
        <v>67.57866339840001</v>
      </c>
      <c r="K146" s="457">
        <f t="shared" si="52"/>
        <v>73.210218681600026</v>
      </c>
      <c r="L146" s="457" t="str">
        <f t="shared" si="52"/>
        <v/>
      </c>
      <c r="M146" s="457"/>
      <c r="N146" s="457"/>
      <c r="O146" s="457"/>
      <c r="P146" s="293"/>
      <c r="Q146" s="293"/>
      <c r="R146" s="293"/>
      <c r="S146" s="293"/>
      <c r="T146" s="293"/>
      <c r="U146" s="293"/>
    </row>
    <row r="147" spans="1:21" s="293" customFormat="1">
      <c r="A147" s="441"/>
      <c r="B147" s="448"/>
      <c r="C147" s="472" t="s">
        <v>101</v>
      </c>
      <c r="D147" s="453" t="s">
        <v>416</v>
      </c>
      <c r="E147" s="453"/>
      <c r="F147" s="453"/>
      <c r="G147" s="453"/>
      <c r="H147" s="453"/>
      <c r="I147" s="453"/>
      <c r="J147" s="453"/>
      <c r="K147" s="453"/>
      <c r="L147" s="453"/>
      <c r="M147" s="453"/>
      <c r="N147" s="453"/>
      <c r="O147" s="453"/>
      <c r="P147" s="465"/>
      <c r="R147" s="465"/>
      <c r="S147" s="465"/>
    </row>
    <row r="148" spans="1:21" s="293" customFormat="1">
      <c r="A148" s="447"/>
      <c r="B148" s="448" t="s">
        <v>47</v>
      </c>
      <c r="C148" s="462">
        <f t="shared" ref="C148:C159" si="53">SUM(D148:Z148)</f>
        <v>7</v>
      </c>
      <c r="D148" s="473">
        <f t="shared" ref="D148:L148" si="54">ProductionFY2m(1,D71,VLOOKUP(D71,ProductsRangeMkt,3,FALSE),D133)</f>
        <v>0.31547169811320763</v>
      </c>
      <c r="E148" s="473">
        <f t="shared" si="54"/>
        <v>0.41182266009852214</v>
      </c>
      <c r="F148" s="473">
        <f t="shared" si="54"/>
        <v>0</v>
      </c>
      <c r="G148" s="473">
        <f t="shared" si="54"/>
        <v>1</v>
      </c>
      <c r="H148" s="473">
        <f t="shared" si="54"/>
        <v>1</v>
      </c>
      <c r="I148" s="473">
        <f t="shared" si="54"/>
        <v>1</v>
      </c>
      <c r="J148" s="473">
        <f t="shared" si="54"/>
        <v>1.6845283018867925</v>
      </c>
      <c r="K148" s="473">
        <f t="shared" si="54"/>
        <v>1.5881773399014778</v>
      </c>
      <c r="L148" s="473">
        <f t="shared" si="54"/>
        <v>0</v>
      </c>
      <c r="M148" s="473"/>
      <c r="N148" s="473"/>
      <c r="O148" s="473"/>
      <c r="P148" s="465"/>
      <c r="R148" s="465"/>
      <c r="S148" s="465"/>
    </row>
    <row r="149" spans="1:21" s="293" customFormat="1">
      <c r="A149" s="450"/>
      <c r="B149" s="448" t="s">
        <v>46</v>
      </c>
      <c r="C149" s="462">
        <f t="shared" si="53"/>
        <v>7</v>
      </c>
      <c r="D149" s="473">
        <f t="shared" ref="D149:L149" si="55">ProductionFY2m(2,D71,VLOOKUP(D71,ProductsRangeMkt,3,FALSE),D134)</f>
        <v>0.31547169811320763</v>
      </c>
      <c r="E149" s="473">
        <f t="shared" si="55"/>
        <v>0.35538173779969395</v>
      </c>
      <c r="F149" s="473">
        <f t="shared" si="55"/>
        <v>0</v>
      </c>
      <c r="G149" s="473">
        <f t="shared" si="55"/>
        <v>1</v>
      </c>
      <c r="H149" s="473">
        <f t="shared" si="55"/>
        <v>1</v>
      </c>
      <c r="I149" s="473">
        <f t="shared" si="55"/>
        <v>1</v>
      </c>
      <c r="J149" s="473">
        <f t="shared" si="55"/>
        <v>1.6845283018867925</v>
      </c>
      <c r="K149" s="473">
        <f t="shared" si="55"/>
        <v>1.644618262200306</v>
      </c>
      <c r="L149" s="473">
        <f t="shared" si="55"/>
        <v>0</v>
      </c>
      <c r="M149" s="473"/>
      <c r="N149" s="473"/>
      <c r="O149" s="473"/>
      <c r="P149" s="465"/>
      <c r="R149" s="465"/>
      <c r="S149" s="465"/>
    </row>
    <row r="150" spans="1:21" s="293" customFormat="1">
      <c r="A150" s="442"/>
      <c r="B150" s="451" t="s">
        <v>45</v>
      </c>
      <c r="C150" s="462">
        <f t="shared" si="53"/>
        <v>7</v>
      </c>
      <c r="D150" s="473">
        <f t="shared" ref="D150:L150" si="56">ProductionFY2m(3,D71,VLOOKUP(D71,ProductsRangeMkt,3,FALSE),D135)</f>
        <v>0.31547169811320763</v>
      </c>
      <c r="E150" s="473">
        <f t="shared" si="56"/>
        <v>0.41182266009852214</v>
      </c>
      <c r="F150" s="473">
        <f t="shared" si="56"/>
        <v>0</v>
      </c>
      <c r="G150" s="473">
        <f t="shared" si="56"/>
        <v>1</v>
      </c>
      <c r="H150" s="473">
        <f t="shared" si="56"/>
        <v>1</v>
      </c>
      <c r="I150" s="473">
        <f t="shared" si="56"/>
        <v>1</v>
      </c>
      <c r="J150" s="473">
        <f t="shared" si="56"/>
        <v>1.6845283018867925</v>
      </c>
      <c r="K150" s="473">
        <f t="shared" si="56"/>
        <v>1.5881773399014778</v>
      </c>
      <c r="L150" s="473">
        <f t="shared" si="56"/>
        <v>0</v>
      </c>
      <c r="M150" s="473"/>
      <c r="N150" s="473"/>
      <c r="O150" s="473"/>
      <c r="P150" s="465"/>
      <c r="R150" s="465"/>
      <c r="S150" s="465"/>
    </row>
    <row r="151" spans="1:21" s="293" customFormat="1">
      <c r="A151" s="442"/>
      <c r="B151" s="451" t="s">
        <v>44</v>
      </c>
      <c r="C151" s="462">
        <f t="shared" si="53"/>
        <v>19</v>
      </c>
      <c r="D151" s="473">
        <f t="shared" ref="D151:L151" si="57">ProductionFY2m(4,D71,VLOOKUP(D71,ProductsRangeMkt,3,FALSE),D136)</f>
        <v>0.38874680306905374</v>
      </c>
      <c r="E151" s="473">
        <f t="shared" si="57"/>
        <v>0.52838933951332556</v>
      </c>
      <c r="F151" s="473">
        <f t="shared" si="57"/>
        <v>0</v>
      </c>
      <c r="G151" s="473">
        <f t="shared" si="57"/>
        <v>1</v>
      </c>
      <c r="H151" s="473">
        <f t="shared" si="57"/>
        <v>1</v>
      </c>
      <c r="I151" s="473">
        <f t="shared" si="57"/>
        <v>1</v>
      </c>
      <c r="J151" s="473">
        <f t="shared" si="57"/>
        <v>7.6112531969309458</v>
      </c>
      <c r="K151" s="473">
        <f t="shared" si="57"/>
        <v>7.4716106604866743</v>
      </c>
      <c r="L151" s="473">
        <f t="shared" si="57"/>
        <v>0</v>
      </c>
      <c r="M151" s="473"/>
      <c r="N151" s="473"/>
      <c r="O151" s="473"/>
      <c r="P151" s="465"/>
      <c r="R151" s="465"/>
      <c r="S151" s="465"/>
    </row>
    <row r="152" spans="1:21" s="293" customFormat="1">
      <c r="A152" s="442"/>
      <c r="B152" s="451" t="s">
        <v>43</v>
      </c>
      <c r="C152" s="462">
        <f t="shared" si="53"/>
        <v>24</v>
      </c>
      <c r="D152" s="473">
        <f t="shared" ref="D152:L152" si="58">ProductionFY2m(5,D71,VLOOKUP(D71,ProductsRangeMkt,3,FALSE),D137)</f>
        <v>1.0629370629370631</v>
      </c>
      <c r="E152" s="473">
        <f t="shared" si="58"/>
        <v>1.0329489291598024</v>
      </c>
      <c r="F152" s="473">
        <f t="shared" si="58"/>
        <v>1</v>
      </c>
      <c r="G152" s="473">
        <f t="shared" si="58"/>
        <v>2</v>
      </c>
      <c r="H152" s="473">
        <f t="shared" si="58"/>
        <v>2</v>
      </c>
      <c r="I152" s="473">
        <f t="shared" si="58"/>
        <v>2</v>
      </c>
      <c r="J152" s="473">
        <f t="shared" si="58"/>
        <v>6.9370629370629375</v>
      </c>
      <c r="K152" s="473">
        <f t="shared" si="58"/>
        <v>7.9670510708401974</v>
      </c>
      <c r="L152" s="473">
        <f t="shared" si="58"/>
        <v>0</v>
      </c>
      <c r="M152" s="473"/>
      <c r="N152" s="473"/>
      <c r="O152" s="473"/>
      <c r="P152" s="465"/>
      <c r="R152" s="465"/>
      <c r="S152" s="465"/>
    </row>
    <row r="153" spans="1:21" s="293" customFormat="1">
      <c r="B153" s="451" t="s">
        <v>42</v>
      </c>
      <c r="C153" s="462">
        <f t="shared" si="53"/>
        <v>28</v>
      </c>
      <c r="D153" s="473">
        <f t="shared" ref="D153:L153" si="59">ProductionFY2m(6,D71,VLOOKUP(D71,ProductsRangeMkt,3,FALSE),D138)</f>
        <v>1.0745501285347043</v>
      </c>
      <c r="E153" s="473">
        <f t="shared" si="59"/>
        <v>1.0169702818997064</v>
      </c>
      <c r="F153" s="473">
        <f t="shared" si="59"/>
        <v>1</v>
      </c>
      <c r="G153" s="473">
        <f t="shared" si="59"/>
        <v>2</v>
      </c>
      <c r="H153" s="473">
        <f t="shared" si="59"/>
        <v>2</v>
      </c>
      <c r="I153" s="473">
        <f t="shared" si="59"/>
        <v>2</v>
      </c>
      <c r="J153" s="473">
        <f t="shared" si="59"/>
        <v>8.925449871465295</v>
      </c>
      <c r="K153" s="473">
        <f t="shared" si="59"/>
        <v>9.9830297181002923</v>
      </c>
      <c r="L153" s="473">
        <f t="shared" si="59"/>
        <v>0</v>
      </c>
      <c r="M153" s="473"/>
      <c r="N153" s="473"/>
      <c r="O153" s="473"/>
      <c r="P153" s="465"/>
      <c r="R153" s="465"/>
      <c r="S153" s="465"/>
    </row>
    <row r="154" spans="1:21" s="293" customFormat="1">
      <c r="B154" s="451" t="s">
        <v>41</v>
      </c>
      <c r="C154" s="462">
        <f t="shared" si="53"/>
        <v>28</v>
      </c>
      <c r="D154" s="473">
        <f t="shared" ref="D154:L154" si="60">ProductionFY2m(7,D71,VLOOKUP(D71,ProductsRangeMkt,3,FALSE),D139)</f>
        <v>1.0745501285347043</v>
      </c>
      <c r="E154" s="473">
        <f t="shared" si="60"/>
        <v>1.0169702818997064</v>
      </c>
      <c r="F154" s="473">
        <f t="shared" si="60"/>
        <v>1</v>
      </c>
      <c r="G154" s="473">
        <f t="shared" si="60"/>
        <v>2</v>
      </c>
      <c r="H154" s="473">
        <f t="shared" si="60"/>
        <v>2</v>
      </c>
      <c r="I154" s="473">
        <f t="shared" si="60"/>
        <v>2</v>
      </c>
      <c r="J154" s="473">
        <f t="shared" si="60"/>
        <v>8.925449871465295</v>
      </c>
      <c r="K154" s="473">
        <f t="shared" si="60"/>
        <v>9.9830297181002923</v>
      </c>
      <c r="L154" s="473">
        <f t="shared" si="60"/>
        <v>0</v>
      </c>
      <c r="M154" s="473"/>
      <c r="N154" s="473"/>
      <c r="O154" s="473"/>
      <c r="P154" s="465"/>
      <c r="R154" s="465"/>
      <c r="S154" s="465"/>
    </row>
    <row r="155" spans="1:21" s="293" customFormat="1">
      <c r="B155" s="451" t="s">
        <v>40</v>
      </c>
      <c r="C155" s="462">
        <f t="shared" si="53"/>
        <v>26</v>
      </c>
      <c r="D155" s="473">
        <f t="shared" ref="D155:L155" si="61">ProductionFY2m(8,D71,VLOOKUP(D71,ProductsRangeMkt,3,FALSE),D140)</f>
        <v>1.1084266352386567</v>
      </c>
      <c r="E155" s="473">
        <f t="shared" si="61"/>
        <v>1.0622372129556901</v>
      </c>
      <c r="F155" s="473">
        <f t="shared" si="61"/>
        <v>1</v>
      </c>
      <c r="G155" s="473">
        <f t="shared" si="61"/>
        <v>2</v>
      </c>
      <c r="H155" s="473">
        <f t="shared" si="61"/>
        <v>2</v>
      </c>
      <c r="I155" s="473">
        <f t="shared" si="61"/>
        <v>2</v>
      </c>
      <c r="J155" s="473">
        <f t="shared" si="61"/>
        <v>7.8915733647613431</v>
      </c>
      <c r="K155" s="473">
        <f t="shared" si="61"/>
        <v>8.9377627870443099</v>
      </c>
      <c r="L155" s="473">
        <f t="shared" si="61"/>
        <v>0</v>
      </c>
      <c r="M155" s="473"/>
      <c r="N155" s="473"/>
      <c r="O155" s="473"/>
      <c r="P155" s="465"/>
      <c r="R155" s="465"/>
      <c r="S155" s="465"/>
    </row>
    <row r="156" spans="1:21" s="293" customFormat="1">
      <c r="B156" s="451" t="s">
        <v>39</v>
      </c>
      <c r="C156" s="462">
        <f t="shared" si="53"/>
        <v>26</v>
      </c>
      <c r="D156" s="473">
        <f t="shared" ref="D156:L156" si="62">ProductionFY2m(9,D71,VLOOKUP(D71,ProductsRangeMkt,3,FALSE),D141)</f>
        <v>1.1084266352386567</v>
      </c>
      <c r="E156" s="473">
        <f t="shared" si="62"/>
        <v>1.0622372129556901</v>
      </c>
      <c r="F156" s="473">
        <f t="shared" si="62"/>
        <v>1</v>
      </c>
      <c r="G156" s="473">
        <f t="shared" si="62"/>
        <v>2</v>
      </c>
      <c r="H156" s="473">
        <f t="shared" si="62"/>
        <v>2</v>
      </c>
      <c r="I156" s="473">
        <f t="shared" si="62"/>
        <v>2</v>
      </c>
      <c r="J156" s="473">
        <f t="shared" si="62"/>
        <v>7.8915733647613431</v>
      </c>
      <c r="K156" s="473">
        <f t="shared" si="62"/>
        <v>8.9377627870443099</v>
      </c>
      <c r="L156" s="473">
        <f t="shared" si="62"/>
        <v>0</v>
      </c>
      <c r="M156" s="473"/>
      <c r="N156" s="473"/>
      <c r="O156" s="473"/>
      <c r="P156" s="465"/>
      <c r="R156" s="465"/>
      <c r="S156" s="465"/>
    </row>
    <row r="157" spans="1:21" s="293" customFormat="1">
      <c r="B157" s="451" t="s">
        <v>38</v>
      </c>
      <c r="C157" s="462">
        <f t="shared" si="53"/>
        <v>24</v>
      </c>
      <c r="D157" s="473">
        <f t="shared" ref="D157:L157" si="63">ProductionFY2m(10,D71,VLOOKUP(D71,ProductsRangeMkt,3,FALSE),D142)</f>
        <v>0.90584028605482725</v>
      </c>
      <c r="E157" s="473">
        <f t="shared" si="63"/>
        <v>1.0329489291598024</v>
      </c>
      <c r="F157" s="473">
        <f t="shared" si="63"/>
        <v>1</v>
      </c>
      <c r="G157" s="473">
        <f t="shared" si="63"/>
        <v>2</v>
      </c>
      <c r="H157" s="473">
        <f t="shared" si="63"/>
        <v>2</v>
      </c>
      <c r="I157" s="473">
        <f t="shared" si="63"/>
        <v>2</v>
      </c>
      <c r="J157" s="473">
        <f t="shared" si="63"/>
        <v>7.0941597139451726</v>
      </c>
      <c r="K157" s="473">
        <f t="shared" si="63"/>
        <v>7.9670510708401974</v>
      </c>
      <c r="L157" s="473">
        <f t="shared" si="63"/>
        <v>0</v>
      </c>
      <c r="M157" s="473"/>
      <c r="N157" s="473"/>
      <c r="O157" s="473"/>
      <c r="P157" s="465"/>
      <c r="R157" s="465"/>
      <c r="S157" s="465"/>
    </row>
    <row r="158" spans="1:21" s="293" customFormat="1">
      <c r="B158" s="451" t="s">
        <v>37</v>
      </c>
      <c r="C158" s="462">
        <f t="shared" si="53"/>
        <v>7.9999999999999991</v>
      </c>
      <c r="D158" s="473">
        <f t="shared" ref="D158:L158" si="64">ProductionFY2m(11,D71,VLOOKUP(D71,ProductsRangeMkt,3,FALSE),D143)</f>
        <v>0.49367302176480521</v>
      </c>
      <c r="E158" s="473">
        <f t="shared" si="64"/>
        <v>0.41182266009852214</v>
      </c>
      <c r="F158" s="473">
        <f t="shared" si="64"/>
        <v>1</v>
      </c>
      <c r="G158" s="473">
        <f t="shared" si="64"/>
        <v>1</v>
      </c>
      <c r="H158" s="473">
        <f t="shared" si="64"/>
        <v>1</v>
      </c>
      <c r="I158" s="473">
        <f t="shared" si="64"/>
        <v>1</v>
      </c>
      <c r="J158" s="473">
        <f t="shared" si="64"/>
        <v>1.5063269782351947</v>
      </c>
      <c r="K158" s="473">
        <f t="shared" si="64"/>
        <v>1.5881773399014778</v>
      </c>
      <c r="L158" s="473">
        <f t="shared" si="64"/>
        <v>0</v>
      </c>
      <c r="M158" s="473"/>
      <c r="N158" s="473"/>
      <c r="O158" s="473"/>
      <c r="P158" s="465"/>
      <c r="R158" s="465"/>
      <c r="S158" s="465"/>
    </row>
    <row r="159" spans="1:21" s="293" customFormat="1">
      <c r="B159" s="451" t="s">
        <v>36</v>
      </c>
      <c r="C159" s="462">
        <f t="shared" si="53"/>
        <v>7</v>
      </c>
      <c r="D159" s="473">
        <f t="shared" ref="D159:L159" si="65">ProductionFY2m(12,D71,VLOOKUP(D71,ProductsRangeMkt,3,FALSE),D144)</f>
        <v>0.49367302176480521</v>
      </c>
      <c r="E159" s="473">
        <f t="shared" si="65"/>
        <v>0.35538173779969395</v>
      </c>
      <c r="F159" s="473">
        <f t="shared" si="65"/>
        <v>0</v>
      </c>
      <c r="G159" s="473">
        <f t="shared" si="65"/>
        <v>1</v>
      </c>
      <c r="H159" s="473">
        <f t="shared" si="65"/>
        <v>1</v>
      </c>
      <c r="I159" s="473">
        <f t="shared" si="65"/>
        <v>1</v>
      </c>
      <c r="J159" s="473">
        <f t="shared" si="65"/>
        <v>1.5063269782351947</v>
      </c>
      <c r="K159" s="473">
        <f t="shared" si="65"/>
        <v>1.644618262200306</v>
      </c>
      <c r="L159" s="473">
        <f t="shared" si="65"/>
        <v>0</v>
      </c>
      <c r="M159" s="473"/>
      <c r="N159" s="473"/>
      <c r="O159" s="473"/>
      <c r="P159" s="465"/>
      <c r="R159" s="465"/>
      <c r="S159" s="465"/>
    </row>
    <row r="160" spans="1:21" s="442" customFormat="1">
      <c r="A160" s="466" t="s">
        <v>417</v>
      </c>
      <c r="C160" s="448" t="s">
        <v>85</v>
      </c>
      <c r="D160" s="467">
        <f t="shared" ref="D160:L160" si="66">SUM(D133:D144)</f>
        <v>11769.950541888003</v>
      </c>
      <c r="E160" s="468">
        <f t="shared" si="66"/>
        <v>11769.950541888003</v>
      </c>
      <c r="F160" s="468">
        <f t="shared" si="66"/>
        <v>9629.9595342720004</v>
      </c>
      <c r="G160" s="468">
        <f t="shared" si="66"/>
        <v>24609.896587584011</v>
      </c>
      <c r="H160" s="468">
        <f t="shared" si="66"/>
        <v>24609.896587584011</v>
      </c>
      <c r="I160" s="468">
        <f t="shared" si="66"/>
        <v>24609.896587584011</v>
      </c>
      <c r="J160" s="468">
        <f t="shared" si="66"/>
        <v>83797.542614016013</v>
      </c>
      <c r="K160" s="468">
        <f t="shared" si="66"/>
        <v>90780.671165184031</v>
      </c>
      <c r="L160" s="468">
        <f t="shared" si="66"/>
        <v>0</v>
      </c>
      <c r="M160" s="468"/>
      <c r="N160" s="468"/>
      <c r="O160" s="469"/>
      <c r="P160" s="465"/>
      <c r="Q160" s="293"/>
      <c r="R160" s="465"/>
      <c r="S160" s="465"/>
    </row>
    <row r="161" spans="1:48" s="442" customFormat="1">
      <c r="A161" s="466" t="s">
        <v>418</v>
      </c>
      <c r="C161" s="448" t="s">
        <v>85</v>
      </c>
      <c r="D161" s="467">
        <f t="shared" ref="D161:L161" si="67">SUM(D148:D159)*capacity</f>
        <v>10734.976133671355</v>
      </c>
      <c r="E161" s="467">
        <f t="shared" si="67"/>
        <v>10786.677717863962</v>
      </c>
      <c r="F161" s="467">
        <f t="shared" si="67"/>
        <v>8680</v>
      </c>
      <c r="G161" s="467">
        <f t="shared" si="67"/>
        <v>22320</v>
      </c>
      <c r="H161" s="467">
        <f t="shared" si="67"/>
        <v>22320</v>
      </c>
      <c r="I161" s="467">
        <f t="shared" si="67"/>
        <v>22320</v>
      </c>
      <c r="J161" s="467">
        <f t="shared" si="67"/>
        <v>78545.023866328644</v>
      </c>
      <c r="K161" s="467">
        <f t="shared" si="67"/>
        <v>85933.32228213604</v>
      </c>
      <c r="L161" s="467">
        <f t="shared" si="67"/>
        <v>0</v>
      </c>
      <c r="M161" s="467"/>
      <c r="N161" s="467"/>
      <c r="O161" s="467"/>
      <c r="P161" s="465"/>
      <c r="Q161" s="293"/>
      <c r="R161" s="465"/>
      <c r="S161" s="465"/>
    </row>
    <row r="162" spans="1:48" s="442" customFormat="1">
      <c r="A162" s="466" t="s">
        <v>419</v>
      </c>
      <c r="C162" s="448" t="s">
        <v>85</v>
      </c>
      <c r="D162" s="467">
        <f t="shared" ref="D162:L162" si="68">D160-D161</f>
        <v>1034.974408216649</v>
      </c>
      <c r="E162" s="468">
        <f t="shared" si="68"/>
        <v>983.27282402404126</v>
      </c>
      <c r="F162" s="468">
        <f t="shared" si="68"/>
        <v>949.95953427200038</v>
      </c>
      <c r="G162" s="468">
        <f t="shared" si="68"/>
        <v>2289.8965875840113</v>
      </c>
      <c r="H162" s="468">
        <f t="shared" si="68"/>
        <v>2289.8965875840113</v>
      </c>
      <c r="I162" s="468">
        <f t="shared" si="68"/>
        <v>2289.8965875840113</v>
      </c>
      <c r="J162" s="468">
        <f t="shared" si="68"/>
        <v>5252.5187476873689</v>
      </c>
      <c r="K162" s="468">
        <f t="shared" si="68"/>
        <v>4847.348883047991</v>
      </c>
      <c r="L162" s="468">
        <f t="shared" si="68"/>
        <v>0</v>
      </c>
      <c r="M162" s="468"/>
      <c r="N162" s="468"/>
      <c r="O162" s="468"/>
      <c r="P162" s="465"/>
      <c r="Q162" s="293"/>
      <c r="R162" s="465"/>
      <c r="S162" s="465"/>
    </row>
    <row r="163" spans="1:48" s="444" customFormat="1">
      <c r="A163" s="441"/>
      <c r="B163" s="445" t="s">
        <v>33</v>
      </c>
      <c r="C163" s="445"/>
      <c r="D163" s="446" t="s">
        <v>412</v>
      </c>
      <c r="E163" s="446"/>
      <c r="F163" s="446"/>
      <c r="G163" s="446"/>
      <c r="H163" s="446"/>
      <c r="I163" s="446"/>
      <c r="J163" s="446"/>
      <c r="K163" s="446"/>
      <c r="L163" s="446"/>
      <c r="M163" s="446"/>
      <c r="N163" s="446"/>
      <c r="O163" s="446"/>
      <c r="P163" s="293"/>
      <c r="Q163" s="293"/>
      <c r="R163" s="293"/>
      <c r="S163" s="293"/>
      <c r="T163" s="293"/>
      <c r="U163" s="293"/>
      <c r="V163" s="293"/>
      <c r="W163" s="293"/>
      <c r="X163" s="293"/>
      <c r="Y163" s="29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row>
    <row r="164" spans="1:48" s="444" customFormat="1">
      <c r="A164" s="447"/>
      <c r="B164" s="448" t="s">
        <v>47</v>
      </c>
      <c r="C164" s="442"/>
      <c r="D164" s="239">
        <v>0.04</v>
      </c>
      <c r="E164" s="239">
        <v>0.06</v>
      </c>
      <c r="F164" s="239">
        <v>0.06</v>
      </c>
      <c r="G164" s="239">
        <v>0.05</v>
      </c>
      <c r="H164" s="239">
        <v>0.05</v>
      </c>
      <c r="I164" s="239">
        <v>0.05</v>
      </c>
      <c r="J164" s="239">
        <v>0.03</v>
      </c>
      <c r="K164" s="239">
        <v>0.03</v>
      </c>
      <c r="L164" s="513"/>
      <c r="M164" s="513"/>
      <c r="N164" s="513"/>
      <c r="O164" s="51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row>
    <row r="165" spans="1:48" s="444" customFormat="1">
      <c r="A165" s="450"/>
      <c r="B165" s="448" t="s">
        <v>46</v>
      </c>
      <c r="C165" s="442"/>
      <c r="D165" s="239">
        <v>0.04</v>
      </c>
      <c r="E165" s="239">
        <v>0.05</v>
      </c>
      <c r="F165" s="239">
        <v>0.06</v>
      </c>
      <c r="G165" s="239">
        <v>0.05</v>
      </c>
      <c r="H165" s="239">
        <v>0.05</v>
      </c>
      <c r="I165" s="239">
        <v>0.05</v>
      </c>
      <c r="J165" s="239">
        <v>0.03</v>
      </c>
      <c r="K165" s="239">
        <v>0.03</v>
      </c>
      <c r="L165" s="513"/>
      <c r="M165" s="513"/>
      <c r="N165" s="513"/>
      <c r="O165" s="513"/>
      <c r="P165" s="293"/>
      <c r="Q165" s="293"/>
      <c r="R165" s="293"/>
      <c r="S165" s="293"/>
      <c r="T165" s="293"/>
      <c r="U165" s="293"/>
      <c r="V165" s="293"/>
      <c r="W165" s="293"/>
      <c r="X165" s="293"/>
      <c r="Y165" s="29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row>
    <row r="166" spans="1:48" s="444" customFormat="1">
      <c r="A166" s="442"/>
      <c r="B166" s="451" t="s">
        <v>45</v>
      </c>
      <c r="C166" s="442"/>
      <c r="D166" s="239">
        <v>0.04</v>
      </c>
      <c r="E166" s="239">
        <v>0.06</v>
      </c>
      <c r="F166" s="239">
        <v>0.06</v>
      </c>
      <c r="G166" s="239">
        <v>0.06</v>
      </c>
      <c r="H166" s="239">
        <v>0.06</v>
      </c>
      <c r="I166" s="239">
        <v>0.06</v>
      </c>
      <c r="J166" s="239">
        <v>0.03</v>
      </c>
      <c r="K166" s="239">
        <v>0.03</v>
      </c>
      <c r="L166" s="513"/>
      <c r="M166" s="513"/>
      <c r="N166" s="513"/>
      <c r="O166" s="513"/>
      <c r="P166" s="293"/>
      <c r="Q166" s="293"/>
      <c r="R166" s="293"/>
      <c r="S166" s="293"/>
      <c r="T166" s="293"/>
      <c r="U166" s="293"/>
      <c r="V166" s="293"/>
      <c r="W166" s="293"/>
      <c r="X166" s="293"/>
      <c r="Y166" s="29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row>
    <row r="167" spans="1:48" s="442" customFormat="1">
      <c r="B167" s="451" t="s">
        <v>44</v>
      </c>
      <c r="D167" s="239">
        <v>0.04</v>
      </c>
      <c r="E167" s="239">
        <v>0.06</v>
      </c>
      <c r="F167" s="239">
        <v>0.06</v>
      </c>
      <c r="G167" s="239">
        <v>7.0000000000000007E-2</v>
      </c>
      <c r="H167" s="239">
        <v>7.0000000000000007E-2</v>
      </c>
      <c r="I167" s="239">
        <v>7.0000000000000007E-2</v>
      </c>
      <c r="J167" s="239">
        <v>0.11</v>
      </c>
      <c r="K167" s="239">
        <v>0.11</v>
      </c>
      <c r="L167" s="513"/>
      <c r="M167" s="513"/>
      <c r="N167" s="513"/>
      <c r="O167" s="513"/>
      <c r="P167" s="293"/>
      <c r="Q167" s="293"/>
      <c r="R167" s="293"/>
      <c r="S167" s="293"/>
      <c r="T167" s="293"/>
      <c r="U167" s="293"/>
      <c r="V167" s="293"/>
      <c r="W167" s="293"/>
      <c r="X167" s="293"/>
      <c r="Y167" s="29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row>
    <row r="168" spans="1:48" s="442" customFormat="1">
      <c r="B168" s="451" t="s">
        <v>43</v>
      </c>
      <c r="D168" s="239">
        <v>0.12</v>
      </c>
      <c r="E168" s="239">
        <v>0.11</v>
      </c>
      <c r="F168" s="239">
        <v>0.11</v>
      </c>
      <c r="G168" s="239">
        <v>0.08</v>
      </c>
      <c r="H168" s="239">
        <v>0.08</v>
      </c>
      <c r="I168" s="239">
        <v>0.08</v>
      </c>
      <c r="J168" s="239">
        <v>0.11</v>
      </c>
      <c r="K168" s="239">
        <v>0.11</v>
      </c>
      <c r="L168" s="513"/>
      <c r="M168" s="513"/>
      <c r="N168" s="513"/>
      <c r="O168" s="51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row>
    <row r="169" spans="1:48" s="442" customFormat="1">
      <c r="A169" s="293"/>
      <c r="B169" s="451" t="s">
        <v>42</v>
      </c>
      <c r="D169" s="239">
        <v>0.12</v>
      </c>
      <c r="E169" s="239">
        <v>0.11</v>
      </c>
      <c r="F169" s="239">
        <v>0.1</v>
      </c>
      <c r="G169" s="239">
        <v>0.1</v>
      </c>
      <c r="H169" s="239">
        <v>0.1</v>
      </c>
      <c r="I169" s="239">
        <v>0.1</v>
      </c>
      <c r="J169" s="239">
        <v>0.14000000000000001</v>
      </c>
      <c r="K169" s="239">
        <v>0.14000000000000001</v>
      </c>
      <c r="L169" s="513"/>
      <c r="M169" s="513"/>
      <c r="N169" s="513"/>
      <c r="O169" s="513"/>
      <c r="P169" s="293"/>
      <c r="Q169" s="293"/>
      <c r="R169" s="293"/>
      <c r="S169" s="293"/>
      <c r="T169" s="293"/>
      <c r="U169" s="293"/>
      <c r="V169" s="293"/>
      <c r="W169" s="293"/>
      <c r="X169" s="293"/>
      <c r="Y169" s="29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row>
    <row r="170" spans="1:48" s="442" customFormat="1">
      <c r="A170" s="293"/>
      <c r="B170" s="451" t="s">
        <v>41</v>
      </c>
      <c r="D170" s="239">
        <v>0.12</v>
      </c>
      <c r="E170" s="239">
        <v>0.11</v>
      </c>
      <c r="F170" s="239">
        <v>0.1</v>
      </c>
      <c r="G170" s="239">
        <v>0.1</v>
      </c>
      <c r="H170" s="239">
        <v>0.1</v>
      </c>
      <c r="I170" s="239">
        <v>0.1</v>
      </c>
      <c r="J170" s="239">
        <v>0.14000000000000001</v>
      </c>
      <c r="K170" s="239">
        <v>0.14000000000000001</v>
      </c>
      <c r="L170" s="513"/>
      <c r="M170" s="513"/>
      <c r="N170" s="513"/>
      <c r="O170" s="513"/>
      <c r="P170" s="293"/>
      <c r="Q170" s="293"/>
      <c r="R170" s="293"/>
      <c r="S170" s="293"/>
      <c r="T170" s="293"/>
      <c r="U170" s="293"/>
      <c r="V170" s="293"/>
      <c r="W170" s="293"/>
      <c r="X170" s="293"/>
      <c r="Y170" s="29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row>
    <row r="171" spans="1:48" s="442" customFormat="1">
      <c r="A171" s="293"/>
      <c r="B171" s="451" t="s">
        <v>40</v>
      </c>
      <c r="D171" s="239">
        <v>0.12</v>
      </c>
      <c r="E171" s="239">
        <v>0.11</v>
      </c>
      <c r="F171" s="239">
        <v>0.1</v>
      </c>
      <c r="G171" s="239">
        <v>0.12</v>
      </c>
      <c r="H171" s="239">
        <v>0.12</v>
      </c>
      <c r="I171" s="239">
        <v>0.12</v>
      </c>
      <c r="J171" s="239">
        <v>0.12</v>
      </c>
      <c r="K171" s="239">
        <v>0.12</v>
      </c>
      <c r="L171" s="513"/>
      <c r="M171" s="513"/>
      <c r="N171" s="513"/>
      <c r="O171" s="513"/>
      <c r="P171" s="293"/>
      <c r="Q171" s="293"/>
      <c r="R171" s="293"/>
      <c r="S171" s="293"/>
      <c r="T171" s="293"/>
      <c r="U171" s="293"/>
      <c r="V171" s="293"/>
      <c r="W171" s="293"/>
      <c r="X171" s="293"/>
      <c r="Y171" s="29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row>
    <row r="172" spans="1:48" s="442" customFormat="1">
      <c r="A172" s="293"/>
      <c r="B172" s="451" t="s">
        <v>39</v>
      </c>
      <c r="D172" s="239">
        <v>0.12</v>
      </c>
      <c r="E172" s="239">
        <v>0.11</v>
      </c>
      <c r="F172" s="239">
        <v>0.1</v>
      </c>
      <c r="G172" s="239">
        <v>0.12</v>
      </c>
      <c r="H172" s="239">
        <v>0.12</v>
      </c>
      <c r="I172" s="239">
        <v>0.12</v>
      </c>
      <c r="J172" s="239">
        <v>0.12</v>
      </c>
      <c r="K172" s="239">
        <v>0.12</v>
      </c>
      <c r="L172" s="513"/>
      <c r="M172" s="513"/>
      <c r="N172" s="513"/>
      <c r="O172" s="513"/>
      <c r="P172" s="293"/>
      <c r="Q172" s="293"/>
      <c r="R172" s="293"/>
      <c r="S172" s="293"/>
      <c r="T172" s="293"/>
      <c r="U172" s="293"/>
      <c r="V172" s="293"/>
      <c r="W172" s="293"/>
      <c r="X172" s="293"/>
      <c r="Y172" s="29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row>
    <row r="173" spans="1:48" s="442" customFormat="1">
      <c r="A173" s="293"/>
      <c r="B173" s="451" t="s">
        <v>38</v>
      </c>
      <c r="D173" s="239">
        <v>0.1</v>
      </c>
      <c r="E173" s="239">
        <v>0.11</v>
      </c>
      <c r="F173" s="239">
        <v>0.1</v>
      </c>
      <c r="G173" s="239">
        <v>0.11</v>
      </c>
      <c r="H173" s="239">
        <v>0.11</v>
      </c>
      <c r="I173" s="239">
        <v>0.11</v>
      </c>
      <c r="J173" s="239">
        <v>0.11</v>
      </c>
      <c r="K173" s="239">
        <v>0.11</v>
      </c>
      <c r="L173" s="513"/>
      <c r="M173" s="513"/>
      <c r="N173" s="513"/>
      <c r="O173" s="51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row>
    <row r="174" spans="1:48" s="442" customFormat="1">
      <c r="A174" s="293"/>
      <c r="B174" s="451" t="s">
        <v>37</v>
      </c>
      <c r="D174" s="239">
        <v>7.0000000000000007E-2</v>
      </c>
      <c r="E174" s="239">
        <v>0.06</v>
      </c>
      <c r="F174" s="239">
        <v>0.12</v>
      </c>
      <c r="G174" s="239">
        <v>7.0000000000000007E-2</v>
      </c>
      <c r="H174" s="239">
        <v>7.0000000000000007E-2</v>
      </c>
      <c r="I174" s="239">
        <v>7.0000000000000007E-2</v>
      </c>
      <c r="J174" s="239">
        <v>0.03</v>
      </c>
      <c r="K174" s="239">
        <v>0.03</v>
      </c>
      <c r="L174" s="513"/>
      <c r="M174" s="513"/>
      <c r="N174" s="513"/>
      <c r="O174" s="513"/>
      <c r="P174" s="293"/>
      <c r="Q174" s="293"/>
      <c r="R174" s="293"/>
      <c r="S174" s="293"/>
      <c r="T174" s="293"/>
      <c r="U174" s="293"/>
      <c r="V174" s="293"/>
      <c r="W174" s="293"/>
      <c r="X174" s="293"/>
      <c r="Y174" s="29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row>
    <row r="175" spans="1:48" s="442" customFormat="1">
      <c r="A175" s="293"/>
      <c r="B175" s="451" t="s">
        <v>36</v>
      </c>
      <c r="D175" s="239">
        <v>7.0000000000000007E-2</v>
      </c>
      <c r="E175" s="239">
        <v>0.05</v>
      </c>
      <c r="F175" s="239">
        <v>0.03</v>
      </c>
      <c r="G175" s="239">
        <v>7.0000000000000007E-2</v>
      </c>
      <c r="H175" s="239">
        <v>7.0000000000000007E-2</v>
      </c>
      <c r="I175" s="239">
        <v>7.0000000000000007E-2</v>
      </c>
      <c r="J175" s="239">
        <v>0.03</v>
      </c>
      <c r="K175" s="239">
        <v>0.03</v>
      </c>
      <c r="L175" s="513"/>
      <c r="M175" s="513"/>
      <c r="N175" s="513"/>
      <c r="O175" s="513"/>
      <c r="P175" s="293"/>
      <c r="Q175" s="293"/>
      <c r="R175" s="293"/>
      <c r="S175" s="293"/>
      <c r="T175" s="293"/>
      <c r="U175" s="293"/>
      <c r="V175" s="293"/>
      <c r="W175" s="293"/>
      <c r="X175" s="293"/>
      <c r="Y175" s="29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row>
    <row r="176" spans="1:48" s="442" customFormat="1">
      <c r="A176" s="293"/>
      <c r="B176" s="451" t="s">
        <v>413</v>
      </c>
      <c r="D176" s="452">
        <f t="shared" ref="D176:L176" si="69">SUM(D164:D175)</f>
        <v>1</v>
      </c>
      <c r="E176" s="452">
        <f t="shared" si="69"/>
        <v>1</v>
      </c>
      <c r="F176" s="452">
        <f t="shared" si="69"/>
        <v>0.99999999999999989</v>
      </c>
      <c r="G176" s="452">
        <f t="shared" si="69"/>
        <v>1</v>
      </c>
      <c r="H176" s="452">
        <f t="shared" si="69"/>
        <v>1</v>
      </c>
      <c r="I176" s="452">
        <f t="shared" si="69"/>
        <v>1</v>
      </c>
      <c r="J176" s="452">
        <f t="shared" si="69"/>
        <v>1</v>
      </c>
      <c r="K176" s="452">
        <f t="shared" si="69"/>
        <v>1</v>
      </c>
      <c r="L176" s="452">
        <f t="shared" si="69"/>
        <v>0</v>
      </c>
      <c r="M176" s="452"/>
      <c r="N176" s="452"/>
      <c r="O176" s="452"/>
      <c r="P176" s="293"/>
      <c r="Q176" s="293"/>
      <c r="R176" s="293"/>
      <c r="S176" s="293"/>
      <c r="T176" s="293"/>
      <c r="U176" s="293"/>
      <c r="V176" s="293"/>
      <c r="W176" s="293"/>
      <c r="X176" s="293"/>
      <c r="Y176" s="29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row>
    <row r="177" spans="1:48" s="442" customFormat="1">
      <c r="A177" s="293"/>
      <c r="B177" s="451"/>
      <c r="D177" s="453" t="s">
        <v>414</v>
      </c>
      <c r="E177" s="453"/>
      <c r="F177" s="453"/>
      <c r="G177" s="453"/>
      <c r="H177" s="453"/>
      <c r="I177" s="453"/>
      <c r="J177" s="453"/>
      <c r="K177" s="453"/>
      <c r="L177" s="453"/>
      <c r="M177" s="453"/>
      <c r="N177" s="453"/>
      <c r="O177" s="453"/>
      <c r="P177" s="293"/>
      <c r="Q177" s="293"/>
      <c r="R177" s="293"/>
      <c r="S177" s="293"/>
      <c r="T177" s="293"/>
      <c r="U177" s="293"/>
      <c r="V177" s="293"/>
      <c r="W177" s="293"/>
      <c r="X177" s="293"/>
      <c r="Y177" s="29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row>
    <row r="178" spans="1:48" s="442" customFormat="1">
      <c r="A178" s="471"/>
      <c r="B178" s="448" t="s">
        <v>47</v>
      </c>
      <c r="D178" s="455">
        <f t="shared" ref="D178:L178" si="70">D190*D164</f>
        <v>663.49960427520011</v>
      </c>
      <c r="E178" s="455">
        <f t="shared" si="70"/>
        <v>1061.59936684032</v>
      </c>
      <c r="F178" s="455">
        <f t="shared" si="70"/>
        <v>597.14964384768007</v>
      </c>
      <c r="G178" s="455">
        <f t="shared" si="70"/>
        <v>1105.8326737920004</v>
      </c>
      <c r="H178" s="455">
        <f t="shared" si="70"/>
        <v>1105.8326737920004</v>
      </c>
      <c r="I178" s="455">
        <f t="shared" si="70"/>
        <v>1105.8326737920004</v>
      </c>
      <c r="J178" s="455">
        <f t="shared" si="70"/>
        <v>2948.8871301120007</v>
      </c>
      <c r="K178" s="455">
        <f t="shared" si="70"/>
        <v>2948.8871301120007</v>
      </c>
      <c r="L178" s="455">
        <f t="shared" si="70"/>
        <v>0</v>
      </c>
      <c r="M178" s="455"/>
      <c r="N178" s="455"/>
      <c r="O178" s="455"/>
      <c r="P178" s="293"/>
      <c r="Q178" s="293"/>
      <c r="R178" s="293"/>
      <c r="S178" s="293"/>
      <c r="T178" s="293"/>
      <c r="U178" s="293"/>
    </row>
    <row r="179" spans="1:48" s="442" customFormat="1">
      <c r="A179" s="471"/>
      <c r="B179" s="448" t="s">
        <v>46</v>
      </c>
      <c r="D179" s="455">
        <f t="shared" ref="D179:L179" si="71">D190*D165</f>
        <v>663.49960427520011</v>
      </c>
      <c r="E179" s="455">
        <f t="shared" si="71"/>
        <v>884.66613903360019</v>
      </c>
      <c r="F179" s="455">
        <f t="shared" si="71"/>
        <v>597.14964384768007</v>
      </c>
      <c r="G179" s="455">
        <f t="shared" si="71"/>
        <v>1105.8326737920004</v>
      </c>
      <c r="H179" s="455">
        <f t="shared" si="71"/>
        <v>1105.8326737920004</v>
      </c>
      <c r="I179" s="455">
        <f t="shared" si="71"/>
        <v>1105.8326737920004</v>
      </c>
      <c r="J179" s="455">
        <f t="shared" si="71"/>
        <v>2948.8871301120007</v>
      </c>
      <c r="K179" s="455">
        <f t="shared" si="71"/>
        <v>2948.8871301120007</v>
      </c>
      <c r="L179" s="455">
        <f t="shared" si="71"/>
        <v>0</v>
      </c>
      <c r="M179" s="455"/>
      <c r="N179" s="455"/>
      <c r="O179" s="455"/>
      <c r="P179" s="293"/>
      <c r="Q179" s="293"/>
      <c r="R179" s="293"/>
      <c r="S179" s="293"/>
      <c r="T179" s="293"/>
      <c r="U179" s="293"/>
    </row>
    <row r="180" spans="1:48" s="442" customFormat="1">
      <c r="A180" s="471"/>
      <c r="B180" s="451" t="s">
        <v>45</v>
      </c>
      <c r="D180" s="455">
        <f t="shared" ref="D180:L180" si="72">D190*D166</f>
        <v>663.49960427520011</v>
      </c>
      <c r="E180" s="455">
        <f t="shared" si="72"/>
        <v>1061.59936684032</v>
      </c>
      <c r="F180" s="455">
        <f t="shared" si="72"/>
        <v>597.14964384768007</v>
      </c>
      <c r="G180" s="455">
        <f t="shared" si="72"/>
        <v>1326.9992085504002</v>
      </c>
      <c r="H180" s="455">
        <f t="shared" si="72"/>
        <v>1326.9992085504002</v>
      </c>
      <c r="I180" s="455">
        <f t="shared" si="72"/>
        <v>1326.9992085504002</v>
      </c>
      <c r="J180" s="455">
        <f t="shared" si="72"/>
        <v>2948.8871301120007</v>
      </c>
      <c r="K180" s="455">
        <f t="shared" si="72"/>
        <v>2948.8871301120007</v>
      </c>
      <c r="L180" s="455">
        <f t="shared" si="72"/>
        <v>0</v>
      </c>
      <c r="M180" s="455"/>
      <c r="N180" s="455"/>
      <c r="O180" s="455"/>
      <c r="P180" s="293"/>
      <c r="Q180" s="293"/>
      <c r="R180" s="293"/>
      <c r="S180" s="293"/>
      <c r="T180" s="293"/>
      <c r="U180" s="293"/>
    </row>
    <row r="181" spans="1:48" s="442" customFormat="1">
      <c r="A181" s="471"/>
      <c r="B181" s="451" t="s">
        <v>44</v>
      </c>
      <c r="D181" s="455">
        <f t="shared" ref="D181:L181" si="73">D190*D167</f>
        <v>663.49960427520011</v>
      </c>
      <c r="E181" s="455">
        <f t="shared" si="73"/>
        <v>1061.59936684032</v>
      </c>
      <c r="F181" s="455">
        <f t="shared" si="73"/>
        <v>597.14964384768007</v>
      </c>
      <c r="G181" s="455">
        <f t="shared" si="73"/>
        <v>1548.1657433088005</v>
      </c>
      <c r="H181" s="455">
        <f t="shared" si="73"/>
        <v>1548.1657433088005</v>
      </c>
      <c r="I181" s="455">
        <f t="shared" si="73"/>
        <v>1548.1657433088005</v>
      </c>
      <c r="J181" s="455">
        <f t="shared" si="73"/>
        <v>10812.586143744002</v>
      </c>
      <c r="K181" s="455">
        <f t="shared" si="73"/>
        <v>10812.586143744002</v>
      </c>
      <c r="L181" s="455">
        <f t="shared" si="73"/>
        <v>0</v>
      </c>
      <c r="M181" s="455"/>
      <c r="N181" s="455"/>
      <c r="O181" s="455"/>
      <c r="P181" s="293"/>
      <c r="Q181" s="293"/>
      <c r="R181" s="293"/>
      <c r="S181" s="293"/>
      <c r="T181" s="293"/>
      <c r="U181" s="293"/>
    </row>
    <row r="182" spans="1:48" s="442" customFormat="1">
      <c r="A182" s="471"/>
      <c r="B182" s="451" t="s">
        <v>43</v>
      </c>
      <c r="D182" s="455">
        <f t="shared" ref="D182:L182" si="74">D190*D168</f>
        <v>1990.4988128256002</v>
      </c>
      <c r="E182" s="455">
        <f t="shared" si="74"/>
        <v>1946.2655058739203</v>
      </c>
      <c r="F182" s="455">
        <f t="shared" si="74"/>
        <v>1094.7743470540802</v>
      </c>
      <c r="G182" s="455">
        <f t="shared" si="74"/>
        <v>1769.3322780672004</v>
      </c>
      <c r="H182" s="455">
        <f t="shared" si="74"/>
        <v>1769.3322780672004</v>
      </c>
      <c r="I182" s="455">
        <f t="shared" si="74"/>
        <v>1769.3322780672004</v>
      </c>
      <c r="J182" s="455">
        <f t="shared" si="74"/>
        <v>10812.586143744002</v>
      </c>
      <c r="K182" s="455">
        <f t="shared" si="74"/>
        <v>10812.586143744002</v>
      </c>
      <c r="L182" s="455">
        <f t="shared" si="74"/>
        <v>0</v>
      </c>
      <c r="M182" s="455"/>
      <c r="N182" s="455"/>
      <c r="O182" s="455"/>
      <c r="P182" s="293"/>
      <c r="Q182" s="293"/>
      <c r="R182" s="293"/>
      <c r="S182" s="293"/>
      <c r="T182" s="293"/>
      <c r="U182" s="293"/>
    </row>
    <row r="183" spans="1:48" s="442" customFormat="1">
      <c r="A183" s="471"/>
      <c r="B183" s="451" t="s">
        <v>42</v>
      </c>
      <c r="D183" s="455">
        <f t="shared" ref="D183:L183" si="75">D190*D169</f>
        <v>1990.4988128256002</v>
      </c>
      <c r="E183" s="455">
        <f t="shared" si="75"/>
        <v>1946.2655058739203</v>
      </c>
      <c r="F183" s="455">
        <f t="shared" si="75"/>
        <v>995.24940641280011</v>
      </c>
      <c r="G183" s="455">
        <f t="shared" si="75"/>
        <v>2211.6653475840008</v>
      </c>
      <c r="H183" s="455">
        <f t="shared" si="75"/>
        <v>2211.6653475840008</v>
      </c>
      <c r="I183" s="455">
        <f t="shared" si="75"/>
        <v>2211.6653475840008</v>
      </c>
      <c r="J183" s="455">
        <f t="shared" si="75"/>
        <v>13761.473273856003</v>
      </c>
      <c r="K183" s="455">
        <f t="shared" si="75"/>
        <v>13761.473273856003</v>
      </c>
      <c r="L183" s="455">
        <f t="shared" si="75"/>
        <v>0</v>
      </c>
      <c r="M183" s="455"/>
      <c r="N183" s="455"/>
      <c r="O183" s="455"/>
      <c r="P183" s="293"/>
      <c r="Q183" s="293"/>
      <c r="R183" s="293"/>
      <c r="S183" s="293"/>
      <c r="T183" s="293"/>
      <c r="U183" s="293"/>
    </row>
    <row r="184" spans="1:48" s="442" customFormat="1">
      <c r="A184" s="471"/>
      <c r="B184" s="451" t="s">
        <v>41</v>
      </c>
      <c r="D184" s="455">
        <f t="shared" ref="D184:L184" si="76">D190*D170</f>
        <v>1990.4988128256002</v>
      </c>
      <c r="E184" s="455">
        <f t="shared" si="76"/>
        <v>1946.2655058739203</v>
      </c>
      <c r="F184" s="455">
        <f t="shared" si="76"/>
        <v>995.24940641280011</v>
      </c>
      <c r="G184" s="455">
        <f t="shared" si="76"/>
        <v>2211.6653475840008</v>
      </c>
      <c r="H184" s="455">
        <f t="shared" si="76"/>
        <v>2211.6653475840008</v>
      </c>
      <c r="I184" s="455">
        <f t="shared" si="76"/>
        <v>2211.6653475840008</v>
      </c>
      <c r="J184" s="455">
        <f t="shared" si="76"/>
        <v>13761.473273856003</v>
      </c>
      <c r="K184" s="455">
        <f t="shared" si="76"/>
        <v>13761.473273856003</v>
      </c>
      <c r="L184" s="455">
        <f t="shared" si="76"/>
        <v>0</v>
      </c>
      <c r="M184" s="455"/>
      <c r="N184" s="455"/>
      <c r="O184" s="455"/>
      <c r="P184" s="293"/>
      <c r="Q184" s="293"/>
      <c r="R184" s="293"/>
      <c r="S184" s="293"/>
      <c r="T184" s="293"/>
      <c r="U184" s="293"/>
    </row>
    <row r="185" spans="1:48" s="442" customFormat="1">
      <c r="A185" s="471"/>
      <c r="B185" s="451" t="s">
        <v>40</v>
      </c>
      <c r="D185" s="455">
        <f t="shared" ref="D185:L185" si="77">D190*D171</f>
        <v>1990.4988128256002</v>
      </c>
      <c r="E185" s="455">
        <f t="shared" si="77"/>
        <v>1946.2655058739203</v>
      </c>
      <c r="F185" s="455">
        <f t="shared" si="77"/>
        <v>995.24940641280011</v>
      </c>
      <c r="G185" s="455">
        <f t="shared" si="77"/>
        <v>2653.9984171008005</v>
      </c>
      <c r="H185" s="455">
        <f t="shared" si="77"/>
        <v>2653.9984171008005</v>
      </c>
      <c r="I185" s="455">
        <f t="shared" si="77"/>
        <v>2653.9984171008005</v>
      </c>
      <c r="J185" s="455">
        <f t="shared" si="77"/>
        <v>11795.548520448003</v>
      </c>
      <c r="K185" s="455">
        <f t="shared" si="77"/>
        <v>11795.548520448003</v>
      </c>
      <c r="L185" s="455">
        <f t="shared" si="77"/>
        <v>0</v>
      </c>
      <c r="M185" s="455"/>
      <c r="N185" s="455"/>
      <c r="O185" s="455"/>
      <c r="P185" s="457"/>
      <c r="Q185" s="457"/>
      <c r="R185" s="457"/>
      <c r="S185" s="457"/>
      <c r="T185" s="457"/>
      <c r="U185" s="457"/>
    </row>
    <row r="186" spans="1:48" s="442" customFormat="1">
      <c r="A186" s="471"/>
      <c r="B186" s="451" t="s">
        <v>39</v>
      </c>
      <c r="D186" s="455">
        <f t="shared" ref="D186:L186" si="78">D190*D172</f>
        <v>1990.4988128256002</v>
      </c>
      <c r="E186" s="455">
        <f t="shared" si="78"/>
        <v>1946.2655058739203</v>
      </c>
      <c r="F186" s="455">
        <f t="shared" si="78"/>
        <v>995.24940641280011</v>
      </c>
      <c r="G186" s="455">
        <f t="shared" si="78"/>
        <v>2653.9984171008005</v>
      </c>
      <c r="H186" s="455">
        <f t="shared" si="78"/>
        <v>2653.9984171008005</v>
      </c>
      <c r="I186" s="455">
        <f t="shared" si="78"/>
        <v>2653.9984171008005</v>
      </c>
      <c r="J186" s="455">
        <f t="shared" si="78"/>
        <v>11795.548520448003</v>
      </c>
      <c r="K186" s="455">
        <f t="shared" si="78"/>
        <v>11795.548520448003</v>
      </c>
      <c r="L186" s="455">
        <f t="shared" si="78"/>
        <v>0</v>
      </c>
      <c r="M186" s="455"/>
      <c r="N186" s="455"/>
      <c r="O186" s="455"/>
      <c r="P186" s="457"/>
      <c r="Q186" s="457"/>
      <c r="R186" s="457"/>
      <c r="S186" s="457"/>
      <c r="T186" s="457"/>
      <c r="U186" s="457"/>
    </row>
    <row r="187" spans="1:48" s="442" customFormat="1">
      <c r="A187" s="471"/>
      <c r="B187" s="451" t="s">
        <v>38</v>
      </c>
      <c r="D187" s="455">
        <f t="shared" ref="D187:L187" si="79">D190*D173</f>
        <v>1658.7490106880005</v>
      </c>
      <c r="E187" s="455">
        <f t="shared" si="79"/>
        <v>1946.2655058739203</v>
      </c>
      <c r="F187" s="455">
        <f t="shared" si="79"/>
        <v>995.24940641280011</v>
      </c>
      <c r="G187" s="455">
        <f t="shared" si="79"/>
        <v>2432.8318823424006</v>
      </c>
      <c r="H187" s="455">
        <f t="shared" si="79"/>
        <v>2432.8318823424006</v>
      </c>
      <c r="I187" s="455">
        <f t="shared" si="79"/>
        <v>2432.8318823424006</v>
      </c>
      <c r="J187" s="455">
        <f t="shared" si="79"/>
        <v>10812.586143744002</v>
      </c>
      <c r="K187" s="455">
        <f t="shared" si="79"/>
        <v>10812.586143744002</v>
      </c>
      <c r="L187" s="455">
        <f t="shared" si="79"/>
        <v>0</v>
      </c>
      <c r="M187" s="455"/>
      <c r="N187" s="455"/>
      <c r="O187" s="455"/>
      <c r="P187" s="457"/>
      <c r="Q187" s="457"/>
      <c r="R187" s="457"/>
      <c r="S187" s="457"/>
      <c r="T187" s="457"/>
      <c r="U187" s="457"/>
    </row>
    <row r="188" spans="1:48" s="474" customFormat="1">
      <c r="A188" s="471"/>
      <c r="B188" s="451" t="s">
        <v>37</v>
      </c>
      <c r="D188" s="455">
        <f t="shared" ref="D188:L188" si="80">D190*D174</f>
        <v>1161.1243074816002</v>
      </c>
      <c r="E188" s="455">
        <f t="shared" si="80"/>
        <v>1061.59936684032</v>
      </c>
      <c r="F188" s="455">
        <f t="shared" si="80"/>
        <v>1194.2992876953601</v>
      </c>
      <c r="G188" s="455">
        <f t="shared" si="80"/>
        <v>1548.1657433088005</v>
      </c>
      <c r="H188" s="455">
        <f t="shared" si="80"/>
        <v>1548.1657433088005</v>
      </c>
      <c r="I188" s="455">
        <f t="shared" si="80"/>
        <v>1548.1657433088005</v>
      </c>
      <c r="J188" s="455">
        <f t="shared" si="80"/>
        <v>2948.8871301120007</v>
      </c>
      <c r="K188" s="455">
        <f t="shared" si="80"/>
        <v>2948.8871301120007</v>
      </c>
      <c r="L188" s="455">
        <f t="shared" si="80"/>
        <v>0</v>
      </c>
      <c r="M188" s="455"/>
      <c r="N188" s="455"/>
      <c r="O188" s="455"/>
      <c r="P188" s="457"/>
      <c r="Q188" s="457"/>
      <c r="R188" s="457"/>
      <c r="S188" s="457"/>
      <c r="T188" s="457"/>
      <c r="U188" s="457"/>
    </row>
    <row r="189" spans="1:48" s="474" customFormat="1">
      <c r="A189" s="471"/>
      <c r="B189" s="451" t="s">
        <v>36</v>
      </c>
      <c r="D189" s="455">
        <f t="shared" ref="D189:L189" si="81">D190*D175</f>
        <v>1161.1243074816002</v>
      </c>
      <c r="E189" s="455">
        <f t="shared" si="81"/>
        <v>884.66613903360019</v>
      </c>
      <c r="F189" s="455">
        <f t="shared" si="81"/>
        <v>298.57482192384003</v>
      </c>
      <c r="G189" s="455">
        <f t="shared" si="81"/>
        <v>1548.1657433088005</v>
      </c>
      <c r="H189" s="455">
        <f t="shared" si="81"/>
        <v>1548.1657433088005</v>
      </c>
      <c r="I189" s="455">
        <f t="shared" si="81"/>
        <v>1548.1657433088005</v>
      </c>
      <c r="J189" s="455">
        <f t="shared" si="81"/>
        <v>2948.8871301120007</v>
      </c>
      <c r="K189" s="455">
        <f t="shared" si="81"/>
        <v>2948.8871301120007</v>
      </c>
      <c r="L189" s="455">
        <f t="shared" si="81"/>
        <v>0</v>
      </c>
      <c r="M189" s="455"/>
      <c r="N189" s="455"/>
      <c r="O189" s="455"/>
      <c r="P189" s="457"/>
      <c r="Q189" s="457"/>
      <c r="R189" s="457"/>
      <c r="S189" s="457"/>
      <c r="T189" s="457"/>
      <c r="U189" s="457"/>
    </row>
    <row r="190" spans="1:48" s="442" customFormat="1">
      <c r="A190" s="471"/>
      <c r="B190" s="451" t="s">
        <v>413</v>
      </c>
      <c r="D190" s="455">
        <f t="shared" ref="D190:L190" si="82">VLOOKUP(D71,TargetedMSMkt,IF(D72="[retail]",12,14),FALSE)</f>
        <v>16587.490106880003</v>
      </c>
      <c r="E190" s="455">
        <f t="shared" si="82"/>
        <v>17693.322780672002</v>
      </c>
      <c r="F190" s="455">
        <f t="shared" si="82"/>
        <v>9952.4940641280009</v>
      </c>
      <c r="G190" s="455">
        <f t="shared" si="82"/>
        <v>22116.653475840005</v>
      </c>
      <c r="H190" s="455">
        <f t="shared" si="82"/>
        <v>22116.653475840005</v>
      </c>
      <c r="I190" s="455">
        <f t="shared" si="82"/>
        <v>22116.653475840005</v>
      </c>
      <c r="J190" s="455">
        <f t="shared" si="82"/>
        <v>98296.23767040002</v>
      </c>
      <c r="K190" s="455">
        <f t="shared" si="82"/>
        <v>98296.23767040002</v>
      </c>
      <c r="L190" s="455">
        <f t="shared" si="82"/>
        <v>0</v>
      </c>
      <c r="M190" s="455"/>
      <c r="N190" s="455"/>
      <c r="O190" s="455"/>
      <c r="P190" s="457"/>
      <c r="Q190" s="457"/>
      <c r="R190" s="457"/>
      <c r="S190" s="457"/>
      <c r="T190" s="457"/>
      <c r="U190" s="457"/>
    </row>
    <row r="191" spans="1:48" s="474" customFormat="1">
      <c r="A191" s="441"/>
      <c r="B191" s="448" t="s">
        <v>415</v>
      </c>
      <c r="D191" s="457" t="str">
        <f t="shared" ref="D191:L191" si="83">IF(D72="[wholesale]",D190/capacity,"")</f>
        <v/>
      </c>
      <c r="E191" s="457" t="str">
        <f t="shared" si="83"/>
        <v/>
      </c>
      <c r="F191" s="457" t="str">
        <f t="shared" si="83"/>
        <v/>
      </c>
      <c r="G191" s="457" t="str">
        <f t="shared" si="83"/>
        <v/>
      </c>
      <c r="H191" s="457" t="str">
        <f t="shared" si="83"/>
        <v/>
      </c>
      <c r="I191" s="457" t="str">
        <f t="shared" si="83"/>
        <v/>
      </c>
      <c r="J191" s="457">
        <f t="shared" si="83"/>
        <v>79.271159411612913</v>
      </c>
      <c r="K191" s="457">
        <f t="shared" si="83"/>
        <v>79.271159411612913</v>
      </c>
      <c r="L191" s="457" t="str">
        <f t="shared" si="83"/>
        <v/>
      </c>
      <c r="M191" s="457"/>
      <c r="N191" s="457"/>
      <c r="O191" s="457"/>
      <c r="P191" s="465"/>
      <c r="Q191" s="293"/>
      <c r="R191" s="465"/>
      <c r="S191" s="465"/>
      <c r="T191" s="442"/>
      <c r="U191" s="442"/>
    </row>
    <row r="192" spans="1:48" s="293" customFormat="1">
      <c r="A192" s="441"/>
      <c r="B192" s="448"/>
      <c r="C192" s="472" t="s">
        <v>101</v>
      </c>
      <c r="D192" s="453" t="s">
        <v>416</v>
      </c>
      <c r="E192" s="453"/>
      <c r="F192" s="453"/>
      <c r="G192" s="453"/>
      <c r="H192" s="453"/>
      <c r="I192" s="453"/>
      <c r="J192" s="453"/>
      <c r="K192" s="453"/>
      <c r="L192" s="453"/>
      <c r="M192" s="453"/>
      <c r="N192" s="453"/>
      <c r="O192" s="453"/>
      <c r="P192" s="465"/>
      <c r="R192" s="465"/>
      <c r="S192" s="465"/>
    </row>
    <row r="193" spans="1:21" s="293" customFormat="1">
      <c r="A193" s="447"/>
      <c r="B193" s="448" t="s">
        <v>47</v>
      </c>
      <c r="C193" s="462">
        <f t="shared" ref="C193:C204" si="84">SUM(D193:Z193)</f>
        <v>9</v>
      </c>
      <c r="D193" s="463">
        <f t="shared" ref="D193:L193" si="85">ProductionFY3m(1,D71,VLOOKUP(D71,ProductsRangeMkt,3,FALSE),D178)</f>
        <v>0.55102040816326536</v>
      </c>
      <c r="E193" s="463">
        <f t="shared" si="85"/>
        <v>0.79411764705882348</v>
      </c>
      <c r="F193" s="463">
        <f t="shared" si="85"/>
        <v>0</v>
      </c>
      <c r="G193" s="463">
        <f t="shared" si="85"/>
        <v>1</v>
      </c>
      <c r="H193" s="463">
        <f t="shared" si="85"/>
        <v>1</v>
      </c>
      <c r="I193" s="463">
        <f t="shared" si="85"/>
        <v>1</v>
      </c>
      <c r="J193" s="463">
        <f t="shared" si="85"/>
        <v>2.4489795918367347</v>
      </c>
      <c r="K193" s="463">
        <f t="shared" si="85"/>
        <v>2.2058823529411766</v>
      </c>
      <c r="L193" s="463">
        <f t="shared" si="85"/>
        <v>0</v>
      </c>
      <c r="M193" s="463"/>
      <c r="N193" s="463"/>
      <c r="O193" s="463"/>
      <c r="P193" s="465"/>
      <c r="R193" s="465"/>
      <c r="S193" s="465"/>
    </row>
    <row r="194" spans="1:21" s="293" customFormat="1">
      <c r="A194" s="450"/>
      <c r="B194" s="448" t="s">
        <v>46</v>
      </c>
      <c r="C194" s="462">
        <f t="shared" si="84"/>
        <v>9</v>
      </c>
      <c r="D194" s="463">
        <f t="shared" ref="D194:L194" si="86">ProductionFY3m(2,D71,VLOOKUP(D71,ProductsRangeMkt,3,FALSE),D179)</f>
        <v>0.55102040816326536</v>
      </c>
      <c r="E194" s="463">
        <f t="shared" si="86"/>
        <v>0.69230769230769229</v>
      </c>
      <c r="F194" s="463">
        <f t="shared" si="86"/>
        <v>0</v>
      </c>
      <c r="G194" s="463">
        <f t="shared" si="86"/>
        <v>1</v>
      </c>
      <c r="H194" s="463">
        <f t="shared" si="86"/>
        <v>1</v>
      </c>
      <c r="I194" s="463">
        <f t="shared" si="86"/>
        <v>1</v>
      </c>
      <c r="J194" s="463">
        <f t="shared" si="86"/>
        <v>2.4489795918367347</v>
      </c>
      <c r="K194" s="463">
        <f t="shared" si="86"/>
        <v>2.3076923076923075</v>
      </c>
      <c r="L194" s="463">
        <f t="shared" si="86"/>
        <v>0</v>
      </c>
      <c r="M194" s="463"/>
      <c r="N194" s="463"/>
      <c r="O194" s="463"/>
      <c r="P194" s="465"/>
      <c r="R194" s="465"/>
      <c r="S194" s="465"/>
    </row>
    <row r="195" spans="1:21" s="293" customFormat="1">
      <c r="A195" s="442"/>
      <c r="B195" s="451" t="s">
        <v>45</v>
      </c>
      <c r="C195" s="462">
        <f t="shared" si="84"/>
        <v>9</v>
      </c>
      <c r="D195" s="463">
        <f t="shared" ref="D195:L195" si="87">ProductionFY3m(3,D71,VLOOKUP(D71,ProductsRangeMkt,3,FALSE),D180)</f>
        <v>0.55102040816326536</v>
      </c>
      <c r="E195" s="463">
        <f t="shared" si="87"/>
        <v>0.79411764705882348</v>
      </c>
      <c r="F195" s="463">
        <f t="shared" si="87"/>
        <v>0</v>
      </c>
      <c r="G195" s="463">
        <f t="shared" si="87"/>
        <v>1</v>
      </c>
      <c r="H195" s="463">
        <f t="shared" si="87"/>
        <v>1</v>
      </c>
      <c r="I195" s="463">
        <f t="shared" si="87"/>
        <v>1</v>
      </c>
      <c r="J195" s="463">
        <f t="shared" si="87"/>
        <v>2.4489795918367347</v>
      </c>
      <c r="K195" s="463">
        <f t="shared" si="87"/>
        <v>2.2058823529411766</v>
      </c>
      <c r="L195" s="463">
        <f t="shared" si="87"/>
        <v>0</v>
      </c>
      <c r="M195" s="463"/>
      <c r="N195" s="463"/>
      <c r="O195" s="463"/>
      <c r="P195" s="465"/>
      <c r="R195" s="465"/>
      <c r="S195" s="465"/>
    </row>
    <row r="196" spans="1:21" s="293" customFormat="1">
      <c r="A196" s="442"/>
      <c r="B196" s="451" t="s">
        <v>44</v>
      </c>
      <c r="C196" s="462">
        <f t="shared" si="84"/>
        <v>21</v>
      </c>
      <c r="D196" s="463">
        <f t="shared" ref="D196:L196" si="88">ProductionFY3m(4,D71,VLOOKUP(D71,ProductsRangeMkt,3,FALSE),D181)</f>
        <v>0.52034261241970015</v>
      </c>
      <c r="E196" s="463">
        <f t="shared" si="88"/>
        <v>0.80463576158940386</v>
      </c>
      <c r="F196" s="463">
        <f t="shared" si="88"/>
        <v>0</v>
      </c>
      <c r="G196" s="463">
        <f t="shared" si="88"/>
        <v>1</v>
      </c>
      <c r="H196" s="463">
        <f t="shared" si="88"/>
        <v>1</v>
      </c>
      <c r="I196" s="463">
        <f t="shared" si="88"/>
        <v>1</v>
      </c>
      <c r="J196" s="463">
        <f t="shared" si="88"/>
        <v>8.4796573875802999</v>
      </c>
      <c r="K196" s="463">
        <f t="shared" si="88"/>
        <v>8.1953642384105958</v>
      </c>
      <c r="L196" s="463">
        <f t="shared" si="88"/>
        <v>0</v>
      </c>
      <c r="M196" s="463"/>
      <c r="N196" s="463"/>
      <c r="O196" s="463"/>
      <c r="P196" s="465"/>
      <c r="R196" s="465"/>
      <c r="S196" s="465"/>
    </row>
    <row r="197" spans="1:21" s="293" customFormat="1">
      <c r="A197" s="442"/>
      <c r="B197" s="451" t="s">
        <v>43</v>
      </c>
      <c r="C197" s="462">
        <f t="shared" si="84"/>
        <v>24</v>
      </c>
      <c r="D197" s="463">
        <f t="shared" ref="D197:L197" si="89">ProductionFY3m(5,D71,VLOOKUP(D71,ProductsRangeMkt,3,FALSE),D182)</f>
        <v>1.5547024952015354</v>
      </c>
      <c r="E197" s="463">
        <f t="shared" si="89"/>
        <v>1.5254237288135595</v>
      </c>
      <c r="F197" s="463">
        <f t="shared" si="89"/>
        <v>1</v>
      </c>
      <c r="G197" s="463">
        <f t="shared" si="89"/>
        <v>1</v>
      </c>
      <c r="H197" s="463">
        <f t="shared" si="89"/>
        <v>1</v>
      </c>
      <c r="I197" s="463">
        <f t="shared" si="89"/>
        <v>1</v>
      </c>
      <c r="J197" s="463">
        <f t="shared" si="89"/>
        <v>8.4452975047984644</v>
      </c>
      <c r="K197" s="463">
        <f t="shared" si="89"/>
        <v>8.4745762711864412</v>
      </c>
      <c r="L197" s="463">
        <f t="shared" si="89"/>
        <v>0</v>
      </c>
      <c r="M197" s="463"/>
      <c r="N197" s="463"/>
      <c r="O197" s="463"/>
      <c r="P197" s="465"/>
      <c r="R197" s="465"/>
      <c r="S197" s="465"/>
    </row>
    <row r="198" spans="1:21" s="293" customFormat="1">
      <c r="B198" s="451" t="s">
        <v>42</v>
      </c>
      <c r="C198" s="462">
        <f t="shared" si="84"/>
        <v>31</v>
      </c>
      <c r="D198" s="463">
        <f t="shared" ref="D198:L198" si="90">ProductionFY3m(6,D71,VLOOKUP(D71,ProductsRangeMkt,3,FALSE),D183)</f>
        <v>1.5163806552262089</v>
      </c>
      <c r="E198" s="463">
        <f t="shared" si="90"/>
        <v>1.4868585732165207</v>
      </c>
      <c r="F198" s="463">
        <f t="shared" si="90"/>
        <v>1</v>
      </c>
      <c r="G198" s="463">
        <f t="shared" si="90"/>
        <v>2</v>
      </c>
      <c r="H198" s="463">
        <f t="shared" si="90"/>
        <v>2</v>
      </c>
      <c r="I198" s="463">
        <f t="shared" si="90"/>
        <v>2</v>
      </c>
      <c r="J198" s="463">
        <f t="shared" si="90"/>
        <v>10.483619344773791</v>
      </c>
      <c r="K198" s="463">
        <f t="shared" si="90"/>
        <v>10.513141426783479</v>
      </c>
      <c r="L198" s="463">
        <f t="shared" si="90"/>
        <v>0</v>
      </c>
      <c r="M198" s="463"/>
      <c r="N198" s="463"/>
      <c r="O198" s="463"/>
      <c r="P198" s="465"/>
      <c r="R198" s="465"/>
      <c r="S198" s="465"/>
    </row>
    <row r="199" spans="1:21" s="293" customFormat="1">
      <c r="B199" s="451" t="s">
        <v>41</v>
      </c>
      <c r="C199" s="462">
        <f t="shared" si="84"/>
        <v>31</v>
      </c>
      <c r="D199" s="463">
        <f t="shared" ref="D199:L199" si="91">ProductionFY3m(7,D71,VLOOKUP(D71,ProductsRangeMkt,3,FALSE),D184)</f>
        <v>1.5163806552262089</v>
      </c>
      <c r="E199" s="463">
        <f t="shared" si="91"/>
        <v>1.4868585732165207</v>
      </c>
      <c r="F199" s="463">
        <f t="shared" si="91"/>
        <v>1</v>
      </c>
      <c r="G199" s="463">
        <f t="shared" si="91"/>
        <v>2</v>
      </c>
      <c r="H199" s="463">
        <f t="shared" si="91"/>
        <v>2</v>
      </c>
      <c r="I199" s="463">
        <f t="shared" si="91"/>
        <v>2</v>
      </c>
      <c r="J199" s="463">
        <f t="shared" si="91"/>
        <v>10.483619344773791</v>
      </c>
      <c r="K199" s="463">
        <f t="shared" si="91"/>
        <v>10.513141426783479</v>
      </c>
      <c r="L199" s="463">
        <f t="shared" si="91"/>
        <v>0</v>
      </c>
      <c r="M199" s="463"/>
      <c r="N199" s="463"/>
      <c r="O199" s="463"/>
      <c r="P199" s="465"/>
      <c r="R199" s="465"/>
      <c r="S199" s="465"/>
    </row>
    <row r="200" spans="1:21" s="293" customFormat="1">
      <c r="B200" s="451" t="s">
        <v>40</v>
      </c>
      <c r="C200" s="462">
        <f t="shared" si="84"/>
        <v>29.000000000000004</v>
      </c>
      <c r="D200" s="463">
        <f t="shared" ref="D200:L200" si="92">ProductionFY3m(8,D71,VLOOKUP(D71,ProductsRangeMkt,3,FALSE),D185)</f>
        <v>1.5882352941176467</v>
      </c>
      <c r="E200" s="463">
        <f t="shared" si="92"/>
        <v>1.5579399141630901</v>
      </c>
      <c r="F200" s="463">
        <f t="shared" si="92"/>
        <v>1</v>
      </c>
      <c r="G200" s="463">
        <f t="shared" si="92"/>
        <v>2</v>
      </c>
      <c r="H200" s="463">
        <f t="shared" si="92"/>
        <v>2</v>
      </c>
      <c r="I200" s="463">
        <f t="shared" si="92"/>
        <v>2</v>
      </c>
      <c r="J200" s="463">
        <f t="shared" si="92"/>
        <v>9.4117647058823533</v>
      </c>
      <c r="K200" s="463">
        <f t="shared" si="92"/>
        <v>9.4420600858369106</v>
      </c>
      <c r="L200" s="463">
        <f t="shared" si="92"/>
        <v>0</v>
      </c>
      <c r="M200" s="463"/>
      <c r="N200" s="463"/>
      <c r="O200" s="463"/>
      <c r="P200" s="465"/>
      <c r="R200" s="465"/>
      <c r="S200" s="465"/>
    </row>
    <row r="201" spans="1:21" s="293" customFormat="1">
      <c r="B201" s="451" t="s">
        <v>39</v>
      </c>
      <c r="C201" s="462">
        <f t="shared" si="84"/>
        <v>29.000000000000004</v>
      </c>
      <c r="D201" s="463">
        <f t="shared" ref="D201:L201" si="93">ProductionFY3m(9,D71,VLOOKUP(D71,ProductsRangeMkt,3,FALSE),D186)</f>
        <v>1.5882352941176467</v>
      </c>
      <c r="E201" s="463">
        <f t="shared" si="93"/>
        <v>1.5579399141630901</v>
      </c>
      <c r="F201" s="463">
        <f t="shared" si="93"/>
        <v>1</v>
      </c>
      <c r="G201" s="463">
        <f t="shared" si="93"/>
        <v>2</v>
      </c>
      <c r="H201" s="463">
        <f t="shared" si="93"/>
        <v>2</v>
      </c>
      <c r="I201" s="463">
        <f t="shared" si="93"/>
        <v>2</v>
      </c>
      <c r="J201" s="463">
        <f t="shared" si="93"/>
        <v>9.4117647058823533</v>
      </c>
      <c r="K201" s="463">
        <f t="shared" si="93"/>
        <v>9.4420600858369106</v>
      </c>
      <c r="L201" s="463">
        <f t="shared" si="93"/>
        <v>0</v>
      </c>
      <c r="M201" s="463"/>
      <c r="N201" s="463"/>
      <c r="O201" s="463"/>
      <c r="P201" s="465"/>
      <c r="R201" s="465"/>
      <c r="S201" s="465"/>
    </row>
    <row r="202" spans="1:21" s="293" customFormat="1">
      <c r="B202" s="451" t="s">
        <v>38</v>
      </c>
      <c r="C202" s="462">
        <f t="shared" si="84"/>
        <v>27</v>
      </c>
      <c r="D202" s="463">
        <f t="shared" ref="D202:L202" si="94">ProductionFY3m(10,D71,VLOOKUP(D71,ProductsRangeMkt,3,FALSE),D187)</f>
        <v>1.3300492610837438</v>
      </c>
      <c r="E202" s="463">
        <f t="shared" si="94"/>
        <v>1.5254237288135595</v>
      </c>
      <c r="F202" s="463">
        <f t="shared" si="94"/>
        <v>1</v>
      </c>
      <c r="G202" s="463">
        <f t="shared" si="94"/>
        <v>2</v>
      </c>
      <c r="H202" s="463">
        <f t="shared" si="94"/>
        <v>2</v>
      </c>
      <c r="I202" s="463">
        <f t="shared" si="94"/>
        <v>2</v>
      </c>
      <c r="J202" s="463">
        <f t="shared" si="94"/>
        <v>8.6699507389162562</v>
      </c>
      <c r="K202" s="463">
        <f t="shared" si="94"/>
        <v>8.4745762711864412</v>
      </c>
      <c r="L202" s="463">
        <f t="shared" si="94"/>
        <v>0</v>
      </c>
      <c r="M202" s="463"/>
      <c r="N202" s="463"/>
      <c r="O202" s="463"/>
      <c r="P202" s="465"/>
      <c r="R202" s="465"/>
      <c r="S202" s="465"/>
    </row>
    <row r="203" spans="1:21" s="293" customFormat="1">
      <c r="B203" s="451" t="s">
        <v>37</v>
      </c>
      <c r="C203" s="462">
        <f t="shared" si="84"/>
        <v>10</v>
      </c>
      <c r="D203" s="463">
        <f t="shared" ref="D203:L203" si="95">ProductionFY3m(11,D71,VLOOKUP(D71,ProductsRangeMkt,3,FALSE),D188)</f>
        <v>0.84753363228699552</v>
      </c>
      <c r="E203" s="463">
        <f t="shared" si="95"/>
        <v>0.79411764705882348</v>
      </c>
      <c r="F203" s="463">
        <f t="shared" si="95"/>
        <v>1</v>
      </c>
      <c r="G203" s="463">
        <f t="shared" si="95"/>
        <v>1</v>
      </c>
      <c r="H203" s="463">
        <f t="shared" si="95"/>
        <v>1</v>
      </c>
      <c r="I203" s="463">
        <f t="shared" si="95"/>
        <v>1</v>
      </c>
      <c r="J203" s="463">
        <f t="shared" si="95"/>
        <v>2.1524663677130045</v>
      </c>
      <c r="K203" s="463">
        <f t="shared" si="95"/>
        <v>2.2058823529411766</v>
      </c>
      <c r="L203" s="463">
        <f t="shared" si="95"/>
        <v>0</v>
      </c>
      <c r="M203" s="463"/>
      <c r="N203" s="463"/>
      <c r="O203" s="463"/>
      <c r="P203" s="465"/>
      <c r="R203" s="465"/>
      <c r="S203" s="465"/>
    </row>
    <row r="204" spans="1:21" s="293" customFormat="1">
      <c r="B204" s="451" t="s">
        <v>36</v>
      </c>
      <c r="C204" s="462">
        <f t="shared" si="84"/>
        <v>9</v>
      </c>
      <c r="D204" s="463">
        <f t="shared" ref="D204:L204" si="96">ProductionFY3m(12,D71,VLOOKUP(D71,ProductsRangeMkt,3,FALSE),D189)</f>
        <v>0.84753363228699552</v>
      </c>
      <c r="E204" s="463">
        <f t="shared" si="96"/>
        <v>0.69230769230769229</v>
      </c>
      <c r="F204" s="463">
        <f t="shared" si="96"/>
        <v>0</v>
      </c>
      <c r="G204" s="463">
        <f t="shared" si="96"/>
        <v>1</v>
      </c>
      <c r="H204" s="463">
        <f t="shared" si="96"/>
        <v>1</v>
      </c>
      <c r="I204" s="463">
        <f t="shared" si="96"/>
        <v>1</v>
      </c>
      <c r="J204" s="463">
        <f t="shared" si="96"/>
        <v>2.1524663677130045</v>
      </c>
      <c r="K204" s="463">
        <f t="shared" si="96"/>
        <v>2.3076923076923075</v>
      </c>
      <c r="L204" s="463">
        <f t="shared" si="96"/>
        <v>0</v>
      </c>
      <c r="M204" s="463"/>
      <c r="N204" s="463"/>
      <c r="O204" s="463"/>
      <c r="P204" s="465"/>
      <c r="R204" s="465"/>
      <c r="S204" s="465"/>
    </row>
    <row r="205" spans="1:21" s="474" customFormat="1">
      <c r="A205" s="466" t="s">
        <v>417</v>
      </c>
      <c r="B205" s="442"/>
      <c r="C205" s="448" t="s">
        <v>85</v>
      </c>
      <c r="D205" s="467">
        <f t="shared" ref="D205:L205" si="97">SUM(D178:D189)</f>
        <v>16587.490106880006</v>
      </c>
      <c r="E205" s="468">
        <f t="shared" si="97"/>
        <v>17693.322780672002</v>
      </c>
      <c r="F205" s="468">
        <f t="shared" si="97"/>
        <v>9952.4940641280009</v>
      </c>
      <c r="G205" s="468">
        <f t="shared" si="97"/>
        <v>22116.653475840008</v>
      </c>
      <c r="H205" s="468">
        <f t="shared" si="97"/>
        <v>22116.653475840008</v>
      </c>
      <c r="I205" s="468">
        <f t="shared" si="97"/>
        <v>22116.653475840008</v>
      </c>
      <c r="J205" s="468">
        <f t="shared" si="97"/>
        <v>98296.23767040002</v>
      </c>
      <c r="K205" s="468">
        <f t="shared" si="97"/>
        <v>98296.23767040002</v>
      </c>
      <c r="L205" s="468">
        <f t="shared" si="97"/>
        <v>0</v>
      </c>
      <c r="M205" s="468"/>
      <c r="N205" s="468"/>
      <c r="O205" s="469"/>
      <c r="P205" s="465"/>
      <c r="Q205" s="293"/>
      <c r="R205" s="465"/>
      <c r="S205" s="465"/>
      <c r="T205" s="442"/>
      <c r="U205" s="442"/>
    </row>
    <row r="206" spans="1:21" s="293" customFormat="1">
      <c r="A206" s="466" t="s">
        <v>418</v>
      </c>
      <c r="B206" s="442"/>
      <c r="C206" s="448" t="s">
        <v>85</v>
      </c>
      <c r="D206" s="467">
        <f t="shared" ref="D206:L206" si="98">SUM(D193:D204)*capacity</f>
        <v>16073.443898006031</v>
      </c>
      <c r="E206" s="467">
        <f t="shared" si="98"/>
        <v>17002.94016451182</v>
      </c>
      <c r="F206" s="467">
        <f t="shared" si="98"/>
        <v>8680</v>
      </c>
      <c r="G206" s="467">
        <f t="shared" si="98"/>
        <v>21080</v>
      </c>
      <c r="H206" s="467">
        <f t="shared" si="98"/>
        <v>21080</v>
      </c>
      <c r="I206" s="467">
        <f t="shared" si="98"/>
        <v>21080</v>
      </c>
      <c r="J206" s="467">
        <f t="shared" si="98"/>
        <v>95526.556101993963</v>
      </c>
      <c r="K206" s="467">
        <f t="shared" si="98"/>
        <v>94597.059835488166</v>
      </c>
      <c r="L206" s="467">
        <f t="shared" si="98"/>
        <v>0</v>
      </c>
      <c r="M206" s="467"/>
      <c r="N206" s="467"/>
      <c r="O206" s="467"/>
      <c r="P206" s="475"/>
      <c r="Q206" s="442"/>
      <c r="R206" s="475"/>
      <c r="S206" s="475"/>
      <c r="T206" s="442"/>
      <c r="U206" s="442"/>
    </row>
    <row r="207" spans="1:21" s="293" customFormat="1">
      <c r="A207" s="466" t="s">
        <v>419</v>
      </c>
      <c r="B207" s="442"/>
      <c r="C207" s="448" t="s">
        <v>85</v>
      </c>
      <c r="D207" s="467">
        <f t="shared" ref="D207:L207" si="99">D205-D206</f>
        <v>514.04620887397505</v>
      </c>
      <c r="E207" s="468">
        <f t="shared" si="99"/>
        <v>690.38261616018281</v>
      </c>
      <c r="F207" s="468">
        <f t="shared" si="99"/>
        <v>1272.4940641280009</v>
      </c>
      <c r="G207" s="468">
        <f t="shared" si="99"/>
        <v>1036.6534758400085</v>
      </c>
      <c r="H207" s="468">
        <f t="shared" si="99"/>
        <v>1036.6534758400085</v>
      </c>
      <c r="I207" s="468">
        <f t="shared" si="99"/>
        <v>1036.6534758400085</v>
      </c>
      <c r="J207" s="468">
        <f t="shared" si="99"/>
        <v>2769.6815684060566</v>
      </c>
      <c r="K207" s="468">
        <f t="shared" si="99"/>
        <v>3699.177834911854</v>
      </c>
      <c r="L207" s="468">
        <f t="shared" si="99"/>
        <v>0</v>
      </c>
      <c r="M207" s="468"/>
      <c r="N207" s="468"/>
      <c r="O207" s="468"/>
      <c r="P207" s="475"/>
      <c r="Q207" s="442"/>
      <c r="R207" s="475"/>
      <c r="S207" s="475"/>
      <c r="T207" s="442"/>
      <c r="U207" s="442"/>
    </row>
    <row r="208" spans="1:21" s="293" customFormat="1">
      <c r="A208" s="471"/>
      <c r="D208" s="471"/>
      <c r="P208" s="465"/>
      <c r="R208" s="465"/>
      <c r="S208" s="465"/>
      <c r="T208" s="442"/>
      <c r="U208" s="442"/>
    </row>
    <row r="209" spans="1:19" s="293" customFormat="1">
      <c r="A209" s="471"/>
      <c r="D209" s="395" t="str">
        <f>IF(B42="","",B42)</f>
        <v>BR01-01</v>
      </c>
      <c r="E209" s="395" t="str">
        <f>IF(B43="","",B43)</f>
        <v>BR01-02</v>
      </c>
      <c r="F209" s="395" t="str">
        <f>IF(B44="","",B44)</f>
        <v>BR01-03</v>
      </c>
      <c r="G209" s="395" t="str">
        <f>IF(B45="","",B45)</f>
        <v>BR01-04</v>
      </c>
      <c r="H209" s="395" t="str">
        <f>IF(B46="","",B46)</f>
        <v>BR01-05</v>
      </c>
      <c r="I209" s="395" t="str">
        <f>IF(B47="","",B47)</f>
        <v>BR01-06</v>
      </c>
      <c r="J209" s="395" t="str">
        <f>IF(B48="","",B48)</f>
        <v>BR01-07</v>
      </c>
      <c r="K209" s="395" t="str">
        <f>IF(B49="","",B49)</f>
        <v>BR01-08</v>
      </c>
      <c r="L209" s="395" t="str">
        <f>IF(B50="","",B50)</f>
        <v>BR01-09</v>
      </c>
      <c r="M209" s="391"/>
      <c r="N209" s="391"/>
      <c r="O209" s="391"/>
      <c r="P209" s="476"/>
      <c r="R209" s="477"/>
      <c r="S209" s="477"/>
    </row>
    <row r="210" spans="1:19" s="293" customFormat="1">
      <c r="A210" s="471"/>
      <c r="D210" s="395" t="str">
        <f>C42</f>
        <v>[retail]</v>
      </c>
      <c r="E210" s="395" t="str">
        <f>C43</f>
        <v>[retail]</v>
      </c>
      <c r="F210" s="395" t="str">
        <f>C44</f>
        <v>[retail]</v>
      </c>
      <c r="G210" s="395" t="str">
        <f>C45</f>
        <v>[retail]</v>
      </c>
      <c r="H210" s="395" t="str">
        <f>C46</f>
        <v>[retail]</v>
      </c>
      <c r="I210" s="395" t="str">
        <f>C47</f>
        <v>[retail]</v>
      </c>
      <c r="J210" s="395" t="str">
        <f>C48</f>
        <v>[wholesale]</v>
      </c>
      <c r="K210" s="395" t="str">
        <f>C49</f>
        <v>[wholesale]</v>
      </c>
      <c r="L210" s="395" t="str">
        <f>C50</f>
        <v>[retail]</v>
      </c>
      <c r="M210" s="391"/>
      <c r="N210" s="391"/>
      <c r="O210" s="391"/>
      <c r="P210" s="476"/>
      <c r="R210" s="477"/>
      <c r="S210" s="477"/>
    </row>
    <row r="211" spans="1:19" s="293" customFormat="1">
      <c r="A211" s="471"/>
      <c r="B211" s="707" t="s">
        <v>35</v>
      </c>
      <c r="C211" s="448" t="s">
        <v>47</v>
      </c>
      <c r="D211" s="455">
        <f>IF(VLOOKUP(D209,ProductsRangeMkt,3,FALSE)="Special Offer",SpecialOfferm(D209,1,"FY-1"),MIN(D88,D103*capacity))</f>
        <v>412.92172873929508</v>
      </c>
      <c r="E211" s="455">
        <f>IF(VLOOKUP(E209,ProductsRangeMkt,3,FALSE)="Special Offer",SpecialOfferm(E209,1,"FY-1"),MIN(E88,E103*capacity))</f>
        <v>488.29015544041454</v>
      </c>
      <c r="F211" s="455">
        <f>IF(VLOOKUP(F209,ProductsRangeMkt,3,FALSE)="Special Offer",SpecialOfferm(F209,1,"FY-1"),MIN(F88,F103*capacity))</f>
        <v>0</v>
      </c>
      <c r="G211" s="455">
        <f>IF(VLOOKUP(G209,ProductsRangeMkt,3,FALSE)="Special Offer",SpecialOfferm(G209,1,"FY-1"),MIN(G88,G103*capacity))</f>
        <v>1155.9193851744003</v>
      </c>
      <c r="H211" s="455">
        <f>IF(VLOOKUP(H209,ProductsRangeMkt,3,FALSE)="Special Offer",SpecialOfferm(H209,1,"FY-1"),MIN(H88,H103*capacity))</f>
        <v>1155.9193851744003</v>
      </c>
      <c r="I211" s="455">
        <f>IF(VLOOKUP(I209,ProductsRangeMkt,3,FALSE)="Special Offer",SpecialOfferm(I209,1,"FY-1"),MIN(I88,I103*capacity))</f>
        <v>1155.9193851744003</v>
      </c>
      <c r="J211" s="455">
        <f>IF(VLOOKUP(J209,ProductsRangeMkt,3,FALSE)="Special Offer",SpecialOfferm(J209,1,"FY-1"),MIN(J88,J103*capacity))</f>
        <v>2067.0782712607047</v>
      </c>
      <c r="K211" s="455">
        <f>IF(VLOOKUP(K209,ProductsRangeMkt,3,FALSE)="Special Offer",SpecialOfferm(K209,1,"FY-1"),MIN(K88,K103*capacity))</f>
        <v>1991.7098445595855</v>
      </c>
      <c r="L211" s="455">
        <f>IF(VLOOKUP(L209,ProductsRangeMkt,3,FALSE)="Special Offer",SpecialOfferm(L209,1,"FY-1"),MIN(L88,L103*capacity))</f>
        <v>252.24184447679909</v>
      </c>
      <c r="M211" s="455"/>
      <c r="N211" s="455"/>
      <c r="O211" s="455"/>
      <c r="P211" s="476"/>
      <c r="R211" s="477"/>
      <c r="S211" s="477"/>
    </row>
    <row r="212" spans="1:19" s="293" customFormat="1">
      <c r="A212" s="471"/>
      <c r="B212" s="707" t="s">
        <v>35</v>
      </c>
      <c r="C212" s="448" t="s">
        <v>46</v>
      </c>
      <c r="D212" s="455">
        <f>IF(VLOOKUP(D209,ProductsRangeMkt,3,FALSE)="Special Offer",SpecialOfferm(D209,7,"FY-1"),MIN(D89,D104*capacity))</f>
        <v>412.92172873929508</v>
      </c>
      <c r="E212" s="455">
        <f>IF(VLOOKUP(E209,ProductsRangeMkt,3,FALSE)="Special Offer",SpecialOfferm(E209,7,"FY-1"),MIN(E89,E104*capacity))</f>
        <v>420.71428571428572</v>
      </c>
      <c r="F212" s="455">
        <f>IF(VLOOKUP(F209,ProductsRangeMkt,3,FALSE)="Special Offer",SpecialOfferm(F209,7,"FY-1"),MIN(F89,F104*capacity))</f>
        <v>0</v>
      </c>
      <c r="G212" s="455">
        <f>IF(VLOOKUP(G209,ProductsRangeMkt,3,FALSE)="Special Offer",SpecialOfferm(G209,7,"FY-1"),MIN(G89,G104*capacity))</f>
        <v>1155.9193851744003</v>
      </c>
      <c r="H212" s="455">
        <f>IF(VLOOKUP(H209,ProductsRangeMkt,3,FALSE)="Special Offer",SpecialOfferm(H209,7,"FY-1"),MIN(H89,H104*capacity))</f>
        <v>1155.9193851744003</v>
      </c>
      <c r="I212" s="455">
        <f>IF(VLOOKUP(I209,ProductsRangeMkt,3,FALSE)="Special Offer",SpecialOfferm(I209,7,"FY-1"),MIN(I89,I104*capacity))</f>
        <v>1155.9193851744003</v>
      </c>
      <c r="J212" s="455">
        <f>IF(VLOOKUP(J209,ProductsRangeMkt,3,FALSE)="Special Offer",SpecialOfferm(J209,7,"FY-1"),MIN(J89,J104*capacity))</f>
        <v>2067.0782712607047</v>
      </c>
      <c r="K212" s="455">
        <f>IF(VLOOKUP(K209,ProductsRangeMkt,3,FALSE)="Special Offer",SpecialOfferm(K209,7,"FY-1"),MIN(K89,K104*capacity))</f>
        <v>2059.2857142857142</v>
      </c>
      <c r="L212" s="455">
        <f>IF(VLOOKUP(L209,ProductsRangeMkt,3,FALSE)="Special Offer",SpecialOfferm(L209,7,"FY-1"),MIN(L89,L104*capacity))</f>
        <v>658.92461418111634</v>
      </c>
      <c r="M212" s="455"/>
      <c r="N212" s="455"/>
      <c r="O212" s="455"/>
      <c r="P212" s="476"/>
      <c r="R212" s="477"/>
      <c r="S212" s="477"/>
    </row>
    <row r="213" spans="1:19" s="293" customFormat="1">
      <c r="A213" s="471"/>
      <c r="B213" s="707" t="s">
        <v>35</v>
      </c>
      <c r="C213" s="451" t="s">
        <v>45</v>
      </c>
      <c r="D213" s="455">
        <f>IF(VLOOKUP(D209,ProductsRangeMkt,3,FALSE)="Special Offer",SpecialOfferm(D209,3,"FY-1"),MIN(D90,D105*capacity))</f>
        <v>412.92172873929508</v>
      </c>
      <c r="E213" s="455">
        <f>IF(VLOOKUP(E209,ProductsRangeMkt,3,FALSE)="Special Offer",SpecialOfferm(E209,3,"FY-1"),MIN(E90,E105*capacity))</f>
        <v>488.29015544041454</v>
      </c>
      <c r="F213" s="455">
        <f>IF(VLOOKUP(F209,ProductsRangeMkt,3,FALSE)="Special Offer",SpecialOfferm(F209,3,"FY-1"),MIN(F90,F105*capacity))</f>
        <v>0</v>
      </c>
      <c r="G213" s="455">
        <f>IF(VLOOKUP(G209,ProductsRangeMkt,3,FALSE)="Special Offer",SpecialOfferm(G209,3,"FY-1"),MIN(G90,G105*capacity))</f>
        <v>1240</v>
      </c>
      <c r="H213" s="455">
        <f>IF(VLOOKUP(H209,ProductsRangeMkt,3,FALSE)="Special Offer",SpecialOfferm(H209,3,"FY-1"),MIN(H90,H105*capacity))</f>
        <v>1240</v>
      </c>
      <c r="I213" s="455">
        <f>IF(VLOOKUP(I209,ProductsRangeMkt,3,FALSE)="Special Offer",SpecialOfferm(I209,3,"FY-1"),MIN(I90,I105*capacity))</f>
        <v>1240</v>
      </c>
      <c r="J213" s="455">
        <f>IF(VLOOKUP(J209,ProductsRangeMkt,3,FALSE)="Special Offer",SpecialOfferm(J209,3,"FY-1"),MIN(J90,J105*capacity))</f>
        <v>2067.0782712607047</v>
      </c>
      <c r="K213" s="455">
        <f>IF(VLOOKUP(K209,ProductsRangeMkt,3,FALSE)="Special Offer",SpecialOfferm(K209,3,"FY-1"),MIN(K90,K105*capacity))</f>
        <v>1991.7098445595855</v>
      </c>
      <c r="L213" s="455">
        <f>IF(VLOOKUP(L209,ProductsRangeMkt,3,FALSE)="Special Offer",SpecialOfferm(L209,3,"FY-1"),MIN(L90,L105*capacity))</f>
        <v>0</v>
      </c>
      <c r="M213" s="455"/>
      <c r="N213" s="455"/>
      <c r="O213" s="455"/>
      <c r="P213" s="476"/>
      <c r="R213" s="477"/>
      <c r="S213" s="477"/>
    </row>
    <row r="214" spans="1:19" s="293" customFormat="1">
      <c r="A214" s="471"/>
      <c r="B214" s="707" t="s">
        <v>35</v>
      </c>
      <c r="C214" s="451" t="s">
        <v>44</v>
      </c>
      <c r="D214" s="455">
        <f>IF(VLOOKUP(D209,ProductsRangeMkt,3,FALSE)="Special Offer",SpecialOfferm(D209,4,"FY-1"),MIN(D91,D106*capacity))</f>
        <v>442.26480824064015</v>
      </c>
      <c r="E214" s="455">
        <f>IF(VLOOKUP(E209,ProductsRangeMkt,3,FALSE)="Special Offer",SpecialOfferm(E209,4,"FY-1"),MIN(E91,E106*capacity))</f>
        <v>621.70423309510716</v>
      </c>
      <c r="F214" s="455">
        <f>IF(VLOOKUP(F209,ProductsRangeMkt,3,FALSE)="Special Offer",SpecialOfferm(F209,4,"FY-1"),MIN(F91,F106*capacity))</f>
        <v>0</v>
      </c>
      <c r="G214" s="455">
        <f>IF(VLOOKUP(G209,ProductsRangeMkt,3,FALSE)="Special Offer",SpecialOfferm(G209,4,"FY-1"),MIN(G91,G106*capacity))</f>
        <v>1240</v>
      </c>
      <c r="H214" s="455">
        <f>IF(VLOOKUP(H209,ProductsRangeMkt,3,FALSE)="Special Offer",SpecialOfferm(H209,4,"FY-1"),MIN(H91,H106*capacity))</f>
        <v>1240</v>
      </c>
      <c r="I214" s="455">
        <f>IF(VLOOKUP(I209,ProductsRangeMkt,3,FALSE)="Special Offer",SpecialOfferm(I209,4,"FY-1"),MIN(I91,I106*capacity))</f>
        <v>1240</v>
      </c>
      <c r="J214" s="455">
        <f>IF(VLOOKUP(J209,ProductsRangeMkt,3,FALSE)="Special Offer",SpecialOfferm(J209,4,"FY-1"),MIN(J91,J106*capacity))</f>
        <v>8117.8869407328011</v>
      </c>
      <c r="K214" s="455">
        <f>IF(VLOOKUP(K209,ProductsRangeMkt,3,FALSE)="Special Offer",SpecialOfferm(K209,4,"FY-1"),MIN(K91,K106*capacity))</f>
        <v>9298.2957669048919</v>
      </c>
      <c r="L214" s="455">
        <f>IF(VLOOKUP(L209,ProductsRangeMkt,3,FALSE)="Special Offer",SpecialOfferm(L209,4,"FY-1"),MIN(L91,L106*capacity))</f>
        <v>119.84825102656032</v>
      </c>
      <c r="M214" s="455"/>
      <c r="N214" s="455"/>
      <c r="O214" s="455"/>
      <c r="P214" s="476"/>
      <c r="R214" s="477"/>
      <c r="S214" s="477"/>
    </row>
    <row r="215" spans="1:19" s="293" customFormat="1">
      <c r="A215" s="471"/>
      <c r="B215" s="707" t="s">
        <v>35</v>
      </c>
      <c r="C215" s="451" t="s">
        <v>43</v>
      </c>
      <c r="D215" s="455">
        <f>IF(VLOOKUP(D209,ProductsRangeMkt,3,FALSE)="Special Offer",SpecialOfferm(D209,5,"FY-1"),MIN(D92,D107*capacity))</f>
        <v>1219.3715341959332</v>
      </c>
      <c r="E215" s="455">
        <f>IF(VLOOKUP(E209,ProductsRangeMkt,3,FALSE)="Special Offer",SpecialOfferm(E209,5,"FY-1"),MIN(E92,E107*capacity))</f>
        <v>1216.2282226617604</v>
      </c>
      <c r="F215" s="455">
        <f>IF(VLOOKUP(F209,ProductsRangeMkt,3,FALSE)="Special Offer",SpecialOfferm(F209,5,"FY-1"),MIN(F92,F107*capacity))</f>
        <v>995.09581854144017</v>
      </c>
      <c r="G215" s="455">
        <f>IF(VLOOKUP(G209,ProductsRangeMkt,3,FALSE)="Special Offer",SpecialOfferm(G209,5,"FY-1"),MIN(G92,G107*capacity))</f>
        <v>1240</v>
      </c>
      <c r="H215" s="455">
        <f>IF(VLOOKUP(H209,ProductsRangeMkt,3,FALSE)="Special Offer",SpecialOfferm(H209,5,"FY-1"),MIN(H92,H107*capacity))</f>
        <v>1240</v>
      </c>
      <c r="I215" s="455">
        <f>IF(VLOOKUP(I209,ProductsRangeMkt,3,FALSE)="Special Offer",SpecialOfferm(I209,5,"FY-1"),MIN(I92,I107*capacity))</f>
        <v>1240</v>
      </c>
      <c r="J215" s="455">
        <f>IF(VLOOKUP(J209,ProductsRangeMkt,3,FALSE)="Special Offer",SpecialOfferm(J209,5,"FY-1"),MIN(J92,J107*capacity))</f>
        <v>7460.6284658040659</v>
      </c>
      <c r="K215" s="455">
        <f>IF(VLOOKUP(K209,ProductsRangeMkt,3,FALSE)="Special Offer",SpecialOfferm(K209,5,"FY-1"),MIN(K92,K107*capacity))</f>
        <v>9921.8618164512009</v>
      </c>
      <c r="L215" s="455">
        <f>IF(VLOOKUP(L209,ProductsRangeMkt,3,FALSE)="Special Offer",SpecialOfferm(L209,5,"FY-1"),MIN(L92,L107*capacity))</f>
        <v>266.81414234559998</v>
      </c>
      <c r="M215" s="455"/>
      <c r="N215" s="455"/>
      <c r="O215" s="455"/>
      <c r="P215" s="476"/>
      <c r="R215" s="477"/>
      <c r="S215" s="477"/>
    </row>
    <row r="216" spans="1:19" s="293" customFormat="1">
      <c r="A216" s="471"/>
      <c r="B216" s="707" t="s">
        <v>35</v>
      </c>
      <c r="C216" s="451" t="s">
        <v>42</v>
      </c>
      <c r="D216" s="455">
        <f>IF(VLOOKUP(D209,ProductsRangeMkt,3,FALSE)="Special Offer",SpecialOfferm(D209,6,"FY-1"),MIN(D93,D108*capacity))</f>
        <v>1270.046283691805</v>
      </c>
      <c r="E216" s="455">
        <f>IF(VLOOKUP(E209,ProductsRangeMkt,3,FALSE)="Special Offer",SpecialOfferm(E209,6,"FY-1"),MIN(E93,E108*capacity))</f>
        <v>1198.3018074821355</v>
      </c>
      <c r="F216" s="455">
        <f>IF(VLOOKUP(F209,ProductsRangeMkt,3,FALSE)="Special Offer",SpecialOfferm(F209,6,"FY-1"),MIN(F93,F108*capacity))</f>
        <v>1085.55907477248</v>
      </c>
      <c r="G216" s="455">
        <f>IF(VLOOKUP(G209,ProductsRangeMkt,3,FALSE)="Special Offer",SpecialOfferm(G209,6,"FY-1"),MIN(G93,G108*capacity))</f>
        <v>2311.8387703488006</v>
      </c>
      <c r="H216" s="455">
        <f>IF(VLOOKUP(H209,ProductsRangeMkt,3,FALSE)="Special Offer",SpecialOfferm(H209,6,"FY-1"),MIN(H93,H108*capacity))</f>
        <v>2311.8387703488006</v>
      </c>
      <c r="I216" s="455">
        <f>IF(VLOOKUP(I209,ProductsRangeMkt,3,FALSE)="Special Offer",SpecialOfferm(I209,6,"FY-1"),MIN(I93,I108*capacity))</f>
        <v>2311.8387703488006</v>
      </c>
      <c r="J216" s="455">
        <f>IF(VLOOKUP(J209,ProductsRangeMkt,3,FALSE)="Special Offer",SpecialOfferm(J209,6,"FY-1"),MIN(J93,J108*capacity))</f>
        <v>9889.953716308195</v>
      </c>
      <c r="K216" s="455">
        <f>IF(VLOOKUP(K209,ProductsRangeMkt,3,FALSE)="Special Offer",SpecialOfferm(K209,6,"FY-1"),MIN(K93,K108*capacity))</f>
        <v>12441.698192517864</v>
      </c>
      <c r="L216" s="455">
        <f>IF(VLOOKUP(L209,ProductsRangeMkt,3,FALSE)="Special Offer",SpecialOfferm(L209,6,"FY-1"),MIN(L93,L108*capacity))</f>
        <v>658.92461418111634</v>
      </c>
      <c r="M216" s="455"/>
      <c r="N216" s="455"/>
      <c r="O216" s="455"/>
      <c r="P216" s="476"/>
      <c r="R216" s="477"/>
      <c r="S216" s="477"/>
    </row>
    <row r="217" spans="1:19" s="293" customFormat="1">
      <c r="A217" s="471"/>
      <c r="B217" s="707" t="s">
        <v>35</v>
      </c>
      <c r="C217" s="451" t="s">
        <v>41</v>
      </c>
      <c r="D217" s="455">
        <f>IF(VLOOKUP(D209,ProductsRangeMkt,3,FALSE)="Special Offer",SpecialOfferm(D209,7,"FY-1"),MIN(D94,D109*capacity))</f>
        <v>1270.046283691805</v>
      </c>
      <c r="E217" s="455">
        <f>IF(VLOOKUP(E209,ProductsRangeMkt,3,FALSE)="Special Offer",SpecialOfferm(E209,7,"FY-1"),MIN(E94,E109*capacity))</f>
        <v>1198.3018074821355</v>
      </c>
      <c r="F217" s="455">
        <f>IF(VLOOKUP(F209,ProductsRangeMkt,3,FALSE)="Special Offer",SpecialOfferm(F209,7,"FY-1"),MIN(F94,F109*capacity))</f>
        <v>1085.55907477248</v>
      </c>
      <c r="G217" s="455">
        <f>IF(VLOOKUP(G209,ProductsRangeMkt,3,FALSE)="Special Offer",SpecialOfferm(G209,7,"FY-1"),MIN(G94,G109*capacity))</f>
        <v>2311.8387703488006</v>
      </c>
      <c r="H217" s="455">
        <f>IF(VLOOKUP(H209,ProductsRangeMkt,3,FALSE)="Special Offer",SpecialOfferm(H209,7,"FY-1"),MIN(H94,H109*capacity))</f>
        <v>2311.8387703488006</v>
      </c>
      <c r="I217" s="455">
        <f>IF(VLOOKUP(I209,ProductsRangeMkt,3,FALSE)="Special Offer",SpecialOfferm(I209,7,"FY-1"),MIN(I94,I109*capacity))</f>
        <v>2311.8387703488006</v>
      </c>
      <c r="J217" s="455">
        <f>IF(VLOOKUP(J209,ProductsRangeMkt,3,FALSE)="Special Offer",SpecialOfferm(J209,7,"FY-1"),MIN(J94,J109*capacity))</f>
        <v>9889.953716308195</v>
      </c>
      <c r="K217" s="455">
        <f>IF(VLOOKUP(K209,ProductsRangeMkt,3,FALSE)="Special Offer",SpecialOfferm(K209,7,"FY-1"),MIN(K94,K109*capacity))</f>
        <v>12441.698192517864</v>
      </c>
      <c r="L217" s="455">
        <f>IF(VLOOKUP(L209,ProductsRangeMkt,3,FALSE)="Special Offer",SpecialOfferm(L209,7,"FY-1"),MIN(L94,L109*capacity))</f>
        <v>658.92461418111634</v>
      </c>
      <c r="M217" s="455"/>
      <c r="N217" s="455"/>
      <c r="O217" s="455"/>
      <c r="P217" s="476"/>
      <c r="R217" s="477"/>
      <c r="S217" s="477"/>
    </row>
    <row r="218" spans="1:19" s="293" customFormat="1">
      <c r="A218" s="471"/>
      <c r="B218" s="707" t="s">
        <v>35</v>
      </c>
      <c r="C218" s="451" t="s">
        <v>40</v>
      </c>
      <c r="D218" s="455">
        <f>IF(VLOOKUP(D209,ProductsRangeMkt,3,FALSE)="Special Offer",SpecialOfferm(D209,8,"FY-1"),MIN(D95,D110*capacity))</f>
        <v>1292.5685785536161</v>
      </c>
      <c r="E218" s="455">
        <f>IF(VLOOKUP(E209,ProductsRangeMkt,3,FALSE)="Special Offer",SpecialOfferm(E209,8,"FY-1"),MIN(E95,E110*capacity))</f>
        <v>1127.3272112131465</v>
      </c>
      <c r="F218" s="455">
        <f>IF(VLOOKUP(F209,ProductsRangeMkt,3,FALSE)="Special Offer",SpecialOfferm(F209,8,"FY-1"),MIN(F95,F110*capacity))</f>
        <v>1085.55907477248</v>
      </c>
      <c r="G218" s="455">
        <f>IF(VLOOKUP(G209,ProductsRangeMkt,3,FALSE)="Special Offer",SpecialOfferm(G209,8,"FY-1"),MIN(G95,G110*capacity))</f>
        <v>2480</v>
      </c>
      <c r="H218" s="455">
        <f>IF(VLOOKUP(H209,ProductsRangeMkt,3,FALSE)="Special Offer",SpecialOfferm(H209,8,"FY-1"),MIN(H95,H110*capacity))</f>
        <v>2480</v>
      </c>
      <c r="I218" s="455">
        <f>IF(VLOOKUP(I209,ProductsRangeMkt,3,FALSE)="Special Offer",SpecialOfferm(I209,8,"FY-1"),MIN(I95,I110*capacity))</f>
        <v>2480</v>
      </c>
      <c r="J218" s="455">
        <f>IF(VLOOKUP(J209,ProductsRangeMkt,3,FALSE)="Special Offer",SpecialOfferm(J209,8,"FY-1"),MIN(J95,J110*capacity))</f>
        <v>8627.4314214463848</v>
      </c>
      <c r="K218" s="455">
        <f>IF(VLOOKUP(K209,ProductsRangeMkt,3,FALSE)="Special Offer",SpecialOfferm(K209,8,"FY-1"),MIN(K95,K110*capacity))</f>
        <v>10032.672788786853</v>
      </c>
      <c r="L218" s="455">
        <f>IF(VLOOKUP(L209,ProductsRangeMkt,3,FALSE)="Special Offer",SpecialOfferm(L209,8,"FY-1"),MIN(L95,L110*capacity))</f>
        <v>154.4409252275218</v>
      </c>
      <c r="M218" s="455"/>
      <c r="N218" s="455"/>
      <c r="O218" s="455"/>
      <c r="P218" s="476"/>
      <c r="R218" s="477"/>
      <c r="S218" s="477"/>
    </row>
    <row r="219" spans="1:19" s="293" customFormat="1">
      <c r="A219" s="443"/>
      <c r="B219" s="707" t="s">
        <v>35</v>
      </c>
      <c r="C219" s="451" t="s">
        <v>39</v>
      </c>
      <c r="D219" s="455">
        <f>IF(VLOOKUP(D209,ProductsRangeMkt,3,FALSE)="Special Offer",SpecialOfferm(D209,9,"FY-1"),MIN(D96,D111*capacity))</f>
        <v>1292.5685785536161</v>
      </c>
      <c r="E219" s="455">
        <f>IF(VLOOKUP(E209,ProductsRangeMkt,3,FALSE)="Special Offer",SpecialOfferm(E209,9,"FY-1"),MIN(E96,E111*capacity))</f>
        <v>1127.3272112131465</v>
      </c>
      <c r="F219" s="455">
        <f>IF(VLOOKUP(F209,ProductsRangeMkt,3,FALSE)="Special Offer",SpecialOfferm(F209,9,"FY-1"),MIN(F96,F111*capacity))</f>
        <v>1085.55907477248</v>
      </c>
      <c r="G219" s="455">
        <f>IF(VLOOKUP(G209,ProductsRangeMkt,3,FALSE)="Special Offer",SpecialOfferm(G209,9,"FY-1"),MIN(G96,G111*capacity))</f>
        <v>2480</v>
      </c>
      <c r="H219" s="455">
        <f>IF(VLOOKUP(H209,ProductsRangeMkt,3,FALSE)="Special Offer",SpecialOfferm(H209,9,"FY-1"),MIN(H96,H111*capacity))</f>
        <v>2480</v>
      </c>
      <c r="I219" s="455">
        <f>IF(VLOOKUP(I209,ProductsRangeMkt,3,FALSE)="Special Offer",SpecialOfferm(I209,9,"FY-1"),MIN(I96,I111*capacity))</f>
        <v>2480</v>
      </c>
      <c r="J219" s="455">
        <f>IF(VLOOKUP(J209,ProductsRangeMkt,3,FALSE)="Special Offer",SpecialOfferm(J209,9,"FY-1"),MIN(J96,J111*capacity))</f>
        <v>8627.4314214463848</v>
      </c>
      <c r="K219" s="455">
        <f>IF(VLOOKUP(K209,ProductsRangeMkt,3,FALSE)="Special Offer",SpecialOfferm(K209,9,"FY-1"),MIN(K96,K111*capacity))</f>
        <v>10032.672788786853</v>
      </c>
      <c r="L219" s="455">
        <f>IF(VLOOKUP(L209,ProductsRangeMkt,3,FALSE)="Special Offer",SpecialOfferm(L209,9,"FY-1"),MIN(L96,L111*capacity))</f>
        <v>154.4409252275218</v>
      </c>
      <c r="M219" s="455"/>
      <c r="N219" s="455"/>
      <c r="O219" s="455"/>
      <c r="P219" s="476"/>
      <c r="R219" s="477"/>
      <c r="S219" s="477"/>
    </row>
    <row r="220" spans="1:19" s="293" customFormat="1">
      <c r="A220" s="443"/>
      <c r="B220" s="707" t="s">
        <v>35</v>
      </c>
      <c r="C220" s="451" t="s">
        <v>38</v>
      </c>
      <c r="D220" s="455">
        <f>IF(VLOOKUP(D209,ProductsRangeMkt,3,FALSE)="Special Offer",SpecialOfferm(D209,10,"FY-1"),MIN(D97,D112*capacity))</f>
        <v>1040.5047318611987</v>
      </c>
      <c r="E220" s="455">
        <f>IF(VLOOKUP(E209,ProductsRangeMkt,3,FALSE)="Special Offer",SpecialOfferm(E209,10,"FY-1"),MIN(E97,E112*capacity))</f>
        <v>1216.2282226617604</v>
      </c>
      <c r="F220" s="455">
        <f>IF(VLOOKUP(F209,ProductsRangeMkt,3,FALSE)="Special Offer",SpecialOfferm(F209,10,"FY-1"),MIN(F97,F112*capacity))</f>
        <v>995.09581854144017</v>
      </c>
      <c r="G220" s="455">
        <f>IF(VLOOKUP(G209,ProductsRangeMkt,3,FALSE)="Special Offer",SpecialOfferm(G209,10,"FY-1"),MIN(G97,G112*capacity))</f>
        <v>2480</v>
      </c>
      <c r="H220" s="455">
        <f>IF(VLOOKUP(H209,ProductsRangeMkt,3,FALSE)="Special Offer",SpecialOfferm(H209,10,"FY-1"),MIN(H97,H112*capacity))</f>
        <v>2480</v>
      </c>
      <c r="I220" s="455">
        <f>IF(VLOOKUP(I209,ProductsRangeMkt,3,FALSE)="Special Offer",SpecialOfferm(I209,10,"FY-1"),MIN(I97,I112*capacity))</f>
        <v>2480</v>
      </c>
      <c r="J220" s="455">
        <f>IF(VLOOKUP(J209,ProductsRangeMkt,3,FALSE)="Special Offer",SpecialOfferm(J209,10,"FY-1"),MIN(J97,J112*capacity))</f>
        <v>7639.4952681388013</v>
      </c>
      <c r="K220" s="455">
        <f>IF(VLOOKUP(K209,ProductsRangeMkt,3,FALSE)="Special Offer",SpecialOfferm(K209,10,"FY-1"),MIN(K97,K112*capacity))</f>
        <v>9921.8618164512009</v>
      </c>
      <c r="L220" s="455">
        <f>IF(VLOOKUP(L209,ProductsRangeMkt,3,FALSE)="Special Offer",SpecialOfferm(L209,10,"FY-1"),MIN(L97,L112*capacity))</f>
        <v>266.81414234559998</v>
      </c>
      <c r="M220" s="455"/>
      <c r="N220" s="455"/>
      <c r="O220" s="455"/>
      <c r="P220" s="465"/>
      <c r="R220" s="465"/>
      <c r="S220" s="465"/>
    </row>
    <row r="221" spans="1:19" s="293" customFormat="1">
      <c r="A221" s="466"/>
      <c r="B221" s="707" t="s">
        <v>35</v>
      </c>
      <c r="C221" s="451" t="s">
        <v>37</v>
      </c>
      <c r="D221" s="455">
        <f>IF(VLOOKUP(D209,ProductsRangeMkt,3,FALSE)="Special Offer",SpecialOfferm(D209,11,"FY-1"),MIN(D98,D113*capacity))</f>
        <v>642.39376770538263</v>
      </c>
      <c r="E221" s="455">
        <f>IF(VLOOKUP(E209,ProductsRangeMkt,3,FALSE)="Special Offer",SpecialOfferm(E209,11,"FY-1"),MIN(E98,E113*capacity))</f>
        <v>488.29015544041454</v>
      </c>
      <c r="F221" s="455">
        <f>IF(VLOOKUP(F209,ProductsRangeMkt,3,FALSE)="Special Offer",SpecialOfferm(F209,11,"FY-1"),MIN(F98,F113*capacity))</f>
        <v>1240</v>
      </c>
      <c r="G221" s="455">
        <f>IF(VLOOKUP(G209,ProductsRangeMkt,3,FALSE)="Special Offer",SpecialOfferm(G209,11,"FY-1"),MIN(G98,G113*capacity))</f>
        <v>1240</v>
      </c>
      <c r="H221" s="455">
        <f>IF(VLOOKUP(H209,ProductsRangeMkt,3,FALSE)="Special Offer",SpecialOfferm(H209,11,"FY-1"),MIN(H98,H113*capacity))</f>
        <v>1240</v>
      </c>
      <c r="I221" s="455">
        <f>IF(VLOOKUP(I209,ProductsRangeMkt,3,FALSE)="Special Offer",SpecialOfferm(I209,11,"FY-1"),MIN(I98,I113*capacity))</f>
        <v>1240</v>
      </c>
      <c r="J221" s="455">
        <f>IF(VLOOKUP(J209,ProductsRangeMkt,3,FALSE)="Special Offer",SpecialOfferm(J209,11,"FY-1"),MIN(J98,J113*capacity))</f>
        <v>1837.6062322946175</v>
      </c>
      <c r="K221" s="455">
        <f>IF(VLOOKUP(K209,ProductsRangeMkt,3,FALSE)="Special Offer",SpecialOfferm(K209,11,"FY-1"),MIN(K98,K113*capacity))</f>
        <v>1991.7098445595855</v>
      </c>
      <c r="L221" s="455">
        <f>IF(VLOOKUP(L209,ProductsRangeMkt,3,FALSE)="Special Offer",SpecialOfferm(L209,11,"FY-1"),MIN(L98,L113*capacity))</f>
        <v>0</v>
      </c>
      <c r="M221" s="455"/>
      <c r="N221" s="455"/>
      <c r="O221" s="455"/>
      <c r="P221" s="465"/>
      <c r="R221" s="465"/>
      <c r="S221" s="465"/>
    </row>
    <row r="222" spans="1:19" s="293" customFormat="1">
      <c r="A222" s="466"/>
      <c r="B222" s="707" t="s">
        <v>35</v>
      </c>
      <c r="C222" s="451" t="s">
        <v>36</v>
      </c>
      <c r="D222" s="455">
        <f>IF(VLOOKUP(D209,ProductsRangeMkt,3,FALSE)="Special Offer",SpecialOfferm(D209,12,"FY-1"),MIN(D99,D114*capacity))</f>
        <v>642.39376770538263</v>
      </c>
      <c r="E222" s="455">
        <f>IF(VLOOKUP(E209,ProductsRangeMkt,3,FALSE)="Special Offer",SpecialOfferm(E209,12,"FY-1"),MIN(E99,E114*capacity))</f>
        <v>420.71428571428572</v>
      </c>
      <c r="F222" s="455">
        <f>IF(VLOOKUP(F209,ProductsRangeMkt,3,FALSE)="Special Offer",SpecialOfferm(F209,12,"FY-1"),MIN(F99,F114*capacity))</f>
        <v>0</v>
      </c>
      <c r="G222" s="455">
        <f>IF(VLOOKUP(G209,ProductsRangeMkt,3,FALSE)="Special Offer",SpecialOfferm(G209,12,"FY-1"),MIN(G99,G114*capacity))</f>
        <v>1240</v>
      </c>
      <c r="H222" s="455">
        <f>IF(VLOOKUP(H209,ProductsRangeMkt,3,FALSE)="Special Offer",SpecialOfferm(H209,12,"FY-1"),MIN(H99,H114*capacity))</f>
        <v>1240</v>
      </c>
      <c r="I222" s="455">
        <f>IF(VLOOKUP(I209,ProductsRangeMkt,3,FALSE)="Special Offer",SpecialOfferm(I209,12,"FY-1"),MIN(I99,I114*capacity))</f>
        <v>1240</v>
      </c>
      <c r="J222" s="455">
        <f>IF(VLOOKUP(J209,ProductsRangeMkt,3,FALSE)="Special Offer",SpecialOfferm(J209,12,"FY-1"),MIN(J99,J114*capacity))</f>
        <v>1837.6062322946175</v>
      </c>
      <c r="K222" s="455">
        <f>IF(VLOOKUP(K209,ProductsRangeMkt,3,FALSE)="Special Offer",SpecialOfferm(K209,12,"FY-1"),MIN(K99,K114*capacity))</f>
        <v>2059.2857142857142</v>
      </c>
      <c r="L222" s="455">
        <f>IF(VLOOKUP(L209,ProductsRangeMkt,3,FALSE)="Special Offer",SpecialOfferm(L209,12,"FY-1"),MIN(L99,L114*capacity))</f>
        <v>0</v>
      </c>
      <c r="M222" s="455"/>
      <c r="N222" s="455"/>
      <c r="O222" s="455"/>
      <c r="P222" s="465"/>
      <c r="R222" s="465"/>
      <c r="S222" s="465"/>
    </row>
    <row r="223" spans="1:19" s="293" customFormat="1">
      <c r="A223" s="466"/>
      <c r="B223" s="707" t="s">
        <v>34</v>
      </c>
      <c r="C223" s="448" t="s">
        <v>47</v>
      </c>
      <c r="D223" s="455">
        <f>IF(VLOOKUP(D209,ProductsRangeMkt,3,FALSE)="Special Offer",SpecialOfferm(D209,1,"FY-2"),MIN(D133,D148*capacity))</f>
        <v>391.18490566037747</v>
      </c>
      <c r="E223" s="455">
        <f>IF(VLOOKUP(E209,ProductsRangeMkt,3,FALSE)="Special Offer",SpecialOfferm(E209,1,"FY-2"),MIN(E133,E148*capacity))</f>
        <v>510.66009852216746</v>
      </c>
      <c r="F223" s="455">
        <f>IF(VLOOKUP(F209,ProductsRangeMkt,3,FALSE)="Special Offer",SpecialOfferm(F209,1,"FY-2"),MIN(F133,F148*capacity))</f>
        <v>0</v>
      </c>
      <c r="G223" s="455">
        <f>IF(VLOOKUP(G209,ProductsRangeMkt,3,FALSE)="Special Offer",SpecialOfferm(G209,1,"FY-2"),MIN(G133,G148*capacity))</f>
        <v>1230.4948293792004</v>
      </c>
      <c r="H223" s="455">
        <f>IF(VLOOKUP(H209,ProductsRangeMkt,3,FALSE)="Special Offer",SpecialOfferm(H209,1,"FY-2"),MIN(H133,H148*capacity))</f>
        <v>1230.4948293792004</v>
      </c>
      <c r="I223" s="455">
        <f>IF(VLOOKUP(I209,ProductsRangeMkt,3,FALSE)="Special Offer",SpecialOfferm(I209,1,"FY-2"),MIN(I133,I148*capacity))</f>
        <v>1230.4948293792004</v>
      </c>
      <c r="J223" s="455">
        <f>IF(VLOOKUP(J209,ProductsRangeMkt,3,FALSE)="Special Offer",SpecialOfferm(J209,1,"FY-2"),MIN(J133,J148*capacity))</f>
        <v>2088.8150943396226</v>
      </c>
      <c r="K223" s="455">
        <f>IF(VLOOKUP(K209,ProductsRangeMkt,3,FALSE)="Special Offer",SpecialOfferm(K209,1,"FY-2"),MIN(K133,K148*capacity))</f>
        <v>1969.3399014778324</v>
      </c>
      <c r="L223" s="455">
        <f>IF(VLOOKUP(L209,ProductsRangeMkt,3,FALSE)="Special Offer",SpecialOfferm(L209,1,"FY-2"),MIN(L133,L148*capacity))</f>
        <v>28.515511862398853</v>
      </c>
      <c r="M223" s="455"/>
      <c r="N223" s="455"/>
      <c r="O223" s="455"/>
      <c r="P223" s="465"/>
      <c r="R223" s="465"/>
      <c r="S223" s="465"/>
    </row>
    <row r="224" spans="1:19" s="293" customFormat="1">
      <c r="A224" s="471"/>
      <c r="B224" s="707" t="s">
        <v>34</v>
      </c>
      <c r="C224" s="448" t="s">
        <v>46</v>
      </c>
      <c r="D224" s="455">
        <f>IF(VLOOKUP(D209,ProductsRangeMkt,3,FALSE)="Special Offer",SpecialOfferm(D209,2,"FY-2"),MIN(D134,D149*capacity))</f>
        <v>391.18490566037747</v>
      </c>
      <c r="E224" s="455">
        <f>IF(VLOOKUP(E209,ProductsRangeMkt,3,FALSE)="Special Offer",SpecialOfferm(E209,2,"FY-2"),MIN(E134,E149*capacity))</f>
        <v>440.67335487162052</v>
      </c>
      <c r="F224" s="455">
        <f>IF(VLOOKUP(F209,ProductsRangeMkt,3,FALSE)="Special Offer",SpecialOfferm(F209,2,"FY-2"),MIN(F134,F149*capacity))</f>
        <v>0</v>
      </c>
      <c r="G224" s="455">
        <f>IF(VLOOKUP(G209,ProductsRangeMkt,3,FALSE)="Special Offer",SpecialOfferm(G209,2,"FY-2"),MIN(G134,G149*capacity))</f>
        <v>1230.4948293792004</v>
      </c>
      <c r="H224" s="455">
        <f>IF(VLOOKUP(H209,ProductsRangeMkt,3,FALSE)="Special Offer",SpecialOfferm(H209,2,"FY-2"),MIN(H134,H149*capacity))</f>
        <v>1230.4948293792004</v>
      </c>
      <c r="I224" s="455">
        <f>IF(VLOOKUP(I209,ProductsRangeMkt,3,FALSE)="Special Offer",SpecialOfferm(I209,2,"FY-2"),MIN(I134,I149*capacity))</f>
        <v>1230.4948293792004</v>
      </c>
      <c r="J224" s="455">
        <f>IF(VLOOKUP(J209,ProductsRangeMkt,3,FALSE)="Special Offer",SpecialOfferm(J209,2,"FY-2"),MIN(J134,J149*capacity))</f>
        <v>2088.8150943396226</v>
      </c>
      <c r="K224" s="455">
        <f>IF(VLOOKUP(K209,ProductsRangeMkt,3,FALSE)="Special Offer",SpecialOfferm(K209,2,"FY-2"),MIN(K134,K149*capacity))</f>
        <v>2039.3266451283796</v>
      </c>
      <c r="L224" s="455">
        <f>IF(VLOOKUP(L209,ProductsRangeMkt,3,FALSE)="Special Offer",SpecialOfferm(L209,2,"FY-2"),MIN(L134,L149*capacity))</f>
        <v>28.515511862398853</v>
      </c>
      <c r="M224" s="455"/>
      <c r="N224" s="455"/>
      <c r="O224" s="455"/>
      <c r="P224" s="476"/>
      <c r="R224" s="477"/>
      <c r="S224" s="477"/>
    </row>
    <row r="225" spans="1:19" s="293" customFormat="1">
      <c r="A225" s="471"/>
      <c r="B225" s="707" t="s">
        <v>34</v>
      </c>
      <c r="C225" s="451" t="s">
        <v>45</v>
      </c>
      <c r="D225" s="455">
        <f>IF(VLOOKUP(D209,ProductsRangeMkt,3,FALSE)="Special Offer",SpecialOfferm(D209,3,"FY-2"),MIN(D135,D150*capacity))</f>
        <v>391.18490566037747</v>
      </c>
      <c r="E225" s="455">
        <f>IF(VLOOKUP(E209,ProductsRangeMkt,3,FALSE)="Special Offer",SpecialOfferm(E209,3,"FY-2"),MIN(E135,E150*capacity))</f>
        <v>510.66009852216746</v>
      </c>
      <c r="F225" s="455">
        <f>IF(VLOOKUP(F209,ProductsRangeMkt,3,FALSE)="Special Offer",SpecialOfferm(F209,3,"FY-2"),MIN(F135,F150*capacity))</f>
        <v>0</v>
      </c>
      <c r="G225" s="455">
        <f>IF(VLOOKUP(G209,ProductsRangeMkt,3,FALSE)="Special Offer",SpecialOfferm(G209,3,"FY-2"),MIN(G135,G150*capacity))</f>
        <v>1240</v>
      </c>
      <c r="H225" s="455">
        <f>IF(VLOOKUP(H209,ProductsRangeMkt,3,FALSE)="Special Offer",SpecialOfferm(H209,3,"FY-2"),MIN(H135,H150*capacity))</f>
        <v>1240</v>
      </c>
      <c r="I225" s="455">
        <f>IF(VLOOKUP(I209,ProductsRangeMkt,3,FALSE)="Special Offer",SpecialOfferm(I209,3,"FY-2"),MIN(I135,I150*capacity))</f>
        <v>1240</v>
      </c>
      <c r="J225" s="455">
        <f>IF(VLOOKUP(J209,ProductsRangeMkt,3,FALSE)="Special Offer",SpecialOfferm(J209,3,"FY-2"),MIN(J135,J150*capacity))</f>
        <v>2088.8150943396226</v>
      </c>
      <c r="K225" s="455">
        <f>IF(VLOOKUP(K209,ProductsRangeMkt,3,FALSE)="Special Offer",SpecialOfferm(K209,3,"FY-2"),MIN(K135,K150*capacity))</f>
        <v>1969.3399014778324</v>
      </c>
      <c r="L225" s="455">
        <f>IF(VLOOKUP(L209,ProductsRangeMkt,3,FALSE)="Special Offer",SpecialOfferm(L209,3,"FY-2"),MIN(L135,L150*capacity))</f>
        <v>0</v>
      </c>
      <c r="M225" s="455"/>
      <c r="N225" s="455"/>
      <c r="O225" s="455"/>
      <c r="P225" s="476"/>
      <c r="R225" s="477"/>
      <c r="S225" s="477"/>
    </row>
    <row r="226" spans="1:19" s="293" customFormat="1">
      <c r="A226" s="471"/>
      <c r="B226" s="707" t="s">
        <v>34</v>
      </c>
      <c r="C226" s="451" t="s">
        <v>44</v>
      </c>
      <c r="D226" s="455">
        <f>IF(VLOOKUP(D209,ProductsRangeMkt,3,FALSE)="Special Offer",SpecialOfferm(D209,4,"FY-2"),MIN(D136,D151*capacity))</f>
        <v>470.79802167552015</v>
      </c>
      <c r="E226" s="455">
        <f>IF(VLOOKUP(E209,ProductsRangeMkt,3,FALSE)="Special Offer",SpecialOfferm(E209,4,"FY-2"),MIN(E136,E151*capacity))</f>
        <v>655.20278099652364</v>
      </c>
      <c r="F226" s="455">
        <f>IF(VLOOKUP(F209,ProductsRangeMkt,3,FALSE)="Special Offer",SpecialOfferm(F209,4,"FY-2"),MIN(F136,F151*capacity))</f>
        <v>0</v>
      </c>
      <c r="G226" s="455">
        <f>IF(VLOOKUP(G209,ProductsRangeMkt,3,FALSE)="Special Offer",SpecialOfferm(G209,4,"FY-2"),MIN(G136,G151*capacity))</f>
        <v>1240</v>
      </c>
      <c r="H226" s="455">
        <f>IF(VLOOKUP(H209,ProductsRangeMkt,3,FALSE)="Special Offer",SpecialOfferm(H209,4,"FY-2"),MIN(H136,H151*capacity))</f>
        <v>1240</v>
      </c>
      <c r="I226" s="455">
        <f>IF(VLOOKUP(I209,ProductsRangeMkt,3,FALSE)="Special Offer",SpecialOfferm(I209,4,"FY-2"),MIN(I136,I151*capacity))</f>
        <v>1240</v>
      </c>
      <c r="J226" s="455">
        <f>IF(VLOOKUP(J209,ProductsRangeMkt,3,FALSE)="Special Offer",SpecialOfferm(J209,4,"FY-2"),MIN(J136,J151*capacity))</f>
        <v>9217.7296875417615</v>
      </c>
      <c r="K226" s="455">
        <f>IF(VLOOKUP(K209,ProductsRangeMkt,3,FALSE)="Special Offer",SpecialOfferm(K209,4,"FY-2"),MIN(K136,K151*capacity))</f>
        <v>9264.7972190034761</v>
      </c>
      <c r="L226" s="455">
        <f>IF(VLOOKUP(L209,ProductsRangeMkt,3,FALSE)="Special Offer",SpecialOfferm(L209,4,"FY-2"),MIN(L136,L151*capacity))</f>
        <v>231.4722907827163</v>
      </c>
      <c r="M226" s="455"/>
      <c r="N226" s="455"/>
      <c r="O226" s="455"/>
      <c r="P226" s="476"/>
      <c r="R226" s="477"/>
      <c r="S226" s="477"/>
    </row>
    <row r="227" spans="1:19" s="293" customFormat="1">
      <c r="A227" s="471"/>
      <c r="B227" s="707" t="s">
        <v>34</v>
      </c>
      <c r="C227" s="451" t="s">
        <v>43</v>
      </c>
      <c r="D227" s="455">
        <f>IF(VLOOKUP(D209,ProductsRangeMkt,3,FALSE)="Special Offer",SpecialOfferm(D209,5,"FY-2"),MIN(D137,D152*capacity))</f>
        <v>1318.0419580419582</v>
      </c>
      <c r="E227" s="455">
        <f>IF(VLOOKUP(E209,ProductsRangeMkt,3,FALSE)="Special Offer",SpecialOfferm(E209,5,"FY-2"),MIN(E137,E152*capacity))</f>
        <v>1280.8566721581549</v>
      </c>
      <c r="F227" s="455">
        <f>IF(VLOOKUP(F209,ProductsRangeMkt,3,FALSE)="Special Offer",SpecialOfferm(F209,5,"FY-2"),MIN(F137,F152*capacity))</f>
        <v>1059.2955487699203</v>
      </c>
      <c r="G227" s="455">
        <f>IF(VLOOKUP(G209,ProductsRangeMkt,3,FALSE)="Special Offer",SpecialOfferm(G209,5,"FY-2"),MIN(G137,G152*capacity))</f>
        <v>1968.7917270067207</v>
      </c>
      <c r="H227" s="455">
        <f>IF(VLOOKUP(H209,ProductsRangeMkt,3,FALSE)="Special Offer",SpecialOfferm(H209,5,"FY-2"),MIN(H137,H152*capacity))</f>
        <v>1968.7917270067207</v>
      </c>
      <c r="I227" s="455">
        <f>IF(VLOOKUP(I209,ProductsRangeMkt,3,FALSE)="Special Offer",SpecialOfferm(I209,5,"FY-2"),MIN(I137,I152*capacity))</f>
        <v>1968.7917270067207</v>
      </c>
      <c r="J227" s="455">
        <f>IF(VLOOKUP(J209,ProductsRangeMkt,3,FALSE)="Special Offer",SpecialOfferm(J209,5,"FY-2"),MIN(J137,J152*capacity))</f>
        <v>8601.9580419580434</v>
      </c>
      <c r="K227" s="455">
        <f>IF(VLOOKUP(K209,ProductsRangeMkt,3,FALSE)="Special Offer",SpecialOfferm(K209,5,"FY-2"),MIN(K137,K152*capacity))</f>
        <v>9879.1433278418444</v>
      </c>
      <c r="L227" s="455">
        <f>IF(VLOOKUP(L209,ProductsRangeMkt,3,FALSE)="Special Offer",SpecialOfferm(L209,5,"FY-2"),MIN(L137,L152*capacity))</f>
        <v>1714.3292702099207</v>
      </c>
      <c r="M227" s="455"/>
      <c r="N227" s="455"/>
      <c r="O227" s="455"/>
      <c r="P227" s="476"/>
      <c r="R227" s="477"/>
      <c r="S227" s="477"/>
    </row>
    <row r="228" spans="1:19" s="293" customFormat="1">
      <c r="A228" s="471"/>
      <c r="B228" s="707" t="s">
        <v>34</v>
      </c>
      <c r="C228" s="451" t="s">
        <v>42</v>
      </c>
      <c r="D228" s="455">
        <f>IF(VLOOKUP(D209,ProductsRangeMkt,3,FALSE)="Special Offer",SpecialOfferm(D209,6,"FY-2"),MIN(D138,D153*capacity))</f>
        <v>1332.4421593830334</v>
      </c>
      <c r="E228" s="455">
        <f>IF(VLOOKUP(E209,ProductsRangeMkt,3,FALSE)="Special Offer",SpecialOfferm(E209,6,"FY-2"),MIN(E138,E153*capacity))</f>
        <v>1261.0431495556359</v>
      </c>
      <c r="F228" s="455">
        <f>IF(VLOOKUP(F209,ProductsRangeMkt,3,FALSE)="Special Offer",SpecialOfferm(F209,6,"FY-2"),MIN(F138,F153*capacity))</f>
        <v>1155.5951441126401</v>
      </c>
      <c r="G228" s="455">
        <f>IF(VLOOKUP(G209,ProductsRangeMkt,3,FALSE)="Special Offer",SpecialOfferm(G209,6,"FY-2"),MIN(G138,G153*capacity))</f>
        <v>2460.9896587584008</v>
      </c>
      <c r="H228" s="455">
        <f>IF(VLOOKUP(H209,ProductsRangeMkt,3,FALSE)="Special Offer",SpecialOfferm(H209,6,"FY-2"),MIN(H138,H153*capacity))</f>
        <v>2460.9896587584008</v>
      </c>
      <c r="I228" s="455">
        <f>IF(VLOOKUP(I209,ProductsRangeMkt,3,FALSE)="Special Offer",SpecialOfferm(I209,6,"FY-2"),MIN(I138,I153*capacity))</f>
        <v>2460.9896587584008</v>
      </c>
      <c r="J228" s="455">
        <f>IF(VLOOKUP(J209,ProductsRangeMkt,3,FALSE)="Special Offer",SpecialOfferm(J209,6,"FY-2"),MIN(J138,J153*capacity))</f>
        <v>11067.557840616966</v>
      </c>
      <c r="K228" s="455">
        <f>IF(VLOOKUP(K209,ProductsRangeMkt,3,FALSE)="Special Offer",SpecialOfferm(K209,6,"FY-2"),MIN(K138,K153*capacity))</f>
        <v>12378.956850444363</v>
      </c>
      <c r="L228" s="455">
        <f>IF(VLOOKUP(L209,ProductsRangeMkt,3,FALSE)="Special Offer",SpecialOfferm(L209,6,"FY-2"),MIN(L138,L153*capacity))</f>
        <v>141.43587961215962</v>
      </c>
      <c r="M228" s="455"/>
      <c r="N228" s="455"/>
      <c r="O228" s="455"/>
      <c r="P228" s="476"/>
      <c r="R228" s="477"/>
      <c r="S228" s="477"/>
    </row>
    <row r="229" spans="1:19" s="293" customFormat="1">
      <c r="A229" s="471"/>
      <c r="B229" s="707" t="s">
        <v>34</v>
      </c>
      <c r="C229" s="451" t="s">
        <v>41</v>
      </c>
      <c r="D229" s="455">
        <f>IF(VLOOKUP(D209,ProductsRangeMkt,3,FALSE)="Special Offer",SpecialOfferm(D209,7,"FY-2"),MIN(D139,D154*capacity))</f>
        <v>1332.4421593830334</v>
      </c>
      <c r="E229" s="455">
        <f>IF(VLOOKUP(E209,ProductsRangeMkt,3,FALSE)="Special Offer",SpecialOfferm(E209,7,"FY-2"),MIN(E139,E154*capacity))</f>
        <v>1261.0431495556359</v>
      </c>
      <c r="F229" s="455">
        <f>IF(VLOOKUP(F209,ProductsRangeMkt,3,FALSE)="Special Offer",SpecialOfferm(F209,7,"FY-2"),MIN(F139,F154*capacity))</f>
        <v>1155.5951441126401</v>
      </c>
      <c r="G229" s="455">
        <f>IF(VLOOKUP(G209,ProductsRangeMkt,3,FALSE)="Special Offer",SpecialOfferm(G209,7,"FY-2"),MIN(G139,G154*capacity))</f>
        <v>2460.9896587584008</v>
      </c>
      <c r="H229" s="455">
        <f>IF(VLOOKUP(H209,ProductsRangeMkt,3,FALSE)="Special Offer",SpecialOfferm(H209,7,"FY-2"),MIN(H139,H154*capacity))</f>
        <v>2460.9896587584008</v>
      </c>
      <c r="I229" s="455">
        <f>IF(VLOOKUP(I209,ProductsRangeMkt,3,FALSE)="Special Offer",SpecialOfferm(I209,7,"FY-2"),MIN(I139,I154*capacity))</f>
        <v>2460.9896587584008</v>
      </c>
      <c r="J229" s="455">
        <f>IF(VLOOKUP(J209,ProductsRangeMkt,3,FALSE)="Special Offer",SpecialOfferm(J209,7,"FY-2"),MIN(J139,J154*capacity))</f>
        <v>11067.557840616966</v>
      </c>
      <c r="K229" s="455">
        <f>IF(VLOOKUP(K209,ProductsRangeMkt,3,FALSE)="Special Offer",SpecialOfferm(K209,7,"FY-2"),MIN(K139,K154*capacity))</f>
        <v>12378.956850444363</v>
      </c>
      <c r="L229" s="455">
        <f>IF(VLOOKUP(L209,ProductsRangeMkt,3,FALSE)="Special Offer",SpecialOfferm(L209,7,"FY-2"),MIN(L139,L154*capacity))</f>
        <v>141.43587961215962</v>
      </c>
      <c r="M229" s="455"/>
      <c r="N229" s="455"/>
      <c r="O229" s="455"/>
      <c r="P229" s="476"/>
      <c r="R229" s="477"/>
      <c r="S229" s="477"/>
    </row>
    <row r="230" spans="1:19" s="293" customFormat="1">
      <c r="A230" s="471"/>
      <c r="B230" s="707" t="s">
        <v>34</v>
      </c>
      <c r="C230" s="451" t="s">
        <v>40</v>
      </c>
      <c r="D230" s="455">
        <f>IF(VLOOKUP(D209,ProductsRangeMkt,3,FALSE)="Special Offer",SpecialOfferm(D209,8,"FY-2"),MIN(D140,D155*capacity))</f>
        <v>1374.4490276959343</v>
      </c>
      <c r="E230" s="455">
        <f>IF(VLOOKUP(E209,ProductsRangeMkt,3,FALSE)="Special Offer",SpecialOfferm(E209,8,"FY-2"),MIN(E140,E155*capacity))</f>
        <v>1294.6945596076805</v>
      </c>
      <c r="F230" s="455">
        <f>IF(VLOOKUP(F209,ProductsRangeMkt,3,FALSE)="Special Offer",SpecialOfferm(F209,8,"FY-2"),MIN(F140,F155*capacity))</f>
        <v>1155.5951441126401</v>
      </c>
      <c r="G230" s="455">
        <f>IF(VLOOKUP(G209,ProductsRangeMkt,3,FALSE)="Special Offer",SpecialOfferm(G209,8,"FY-2"),MIN(G140,G155*capacity))</f>
        <v>2480</v>
      </c>
      <c r="H230" s="455">
        <f>IF(VLOOKUP(H209,ProductsRangeMkt,3,FALSE)="Special Offer",SpecialOfferm(H209,8,"FY-2"),MIN(H140,H155*capacity))</f>
        <v>2480</v>
      </c>
      <c r="I230" s="455">
        <f>IF(VLOOKUP(I209,ProductsRangeMkt,3,FALSE)="Special Offer",SpecialOfferm(I209,8,"FY-2"),MIN(I140,I155*capacity))</f>
        <v>2480</v>
      </c>
      <c r="J230" s="455">
        <f>IF(VLOOKUP(J209,ProductsRangeMkt,3,FALSE)="Special Offer",SpecialOfferm(J209,8,"FY-2"),MIN(J140,J155*capacity))</f>
        <v>9785.550972304065</v>
      </c>
      <c r="K230" s="455">
        <f>IF(VLOOKUP(K209,ProductsRangeMkt,3,FALSE)="Special Offer",SpecialOfferm(K209,8,"FY-2"),MIN(K140,K155*capacity))</f>
        <v>10893.680539822084</v>
      </c>
      <c r="L230" s="455">
        <f>IF(VLOOKUP(L209,ProductsRangeMkt,3,FALSE)="Special Offer",SpecialOfferm(L209,8,"FY-2"),MIN(L140,L155*capacity))</f>
        <v>296.02975645759579</v>
      </c>
      <c r="M230" s="455"/>
      <c r="N230" s="455"/>
      <c r="O230" s="455"/>
      <c r="P230" s="476"/>
      <c r="R230" s="477"/>
      <c r="S230" s="477"/>
    </row>
    <row r="231" spans="1:19" s="293" customFormat="1">
      <c r="A231" s="471"/>
      <c r="B231" s="707" t="s">
        <v>34</v>
      </c>
      <c r="C231" s="451" t="s">
        <v>39</v>
      </c>
      <c r="D231" s="455">
        <f>IF(VLOOKUP(D209,ProductsRangeMkt,3,FALSE)="Special Offer",SpecialOfferm(D209,9,"FY-2"),MIN(D141,D156*capacity))</f>
        <v>1374.4490276959343</v>
      </c>
      <c r="E231" s="455">
        <f>IF(VLOOKUP(E209,ProductsRangeMkt,3,FALSE)="Special Offer",SpecialOfferm(E209,9,"FY-2"),MIN(E141,E156*capacity))</f>
        <v>1294.6945596076805</v>
      </c>
      <c r="F231" s="455">
        <f>IF(VLOOKUP(F209,ProductsRangeMkt,3,FALSE)="Special Offer",SpecialOfferm(F209,9,"FY-2"),MIN(F141,F156*capacity))</f>
        <v>1155.5951441126401</v>
      </c>
      <c r="G231" s="455">
        <f>IF(VLOOKUP(G209,ProductsRangeMkt,3,FALSE)="Special Offer",SpecialOfferm(G209,9,"FY-2"),MIN(G141,G156*capacity))</f>
        <v>2480</v>
      </c>
      <c r="H231" s="455">
        <f>IF(VLOOKUP(H209,ProductsRangeMkt,3,FALSE)="Special Offer",SpecialOfferm(H209,9,"FY-2"),MIN(H141,H156*capacity))</f>
        <v>2480</v>
      </c>
      <c r="I231" s="455">
        <f>IF(VLOOKUP(I209,ProductsRangeMkt,3,FALSE)="Special Offer",SpecialOfferm(I209,9,"FY-2"),MIN(I141,I156*capacity))</f>
        <v>2480</v>
      </c>
      <c r="J231" s="455">
        <f>IF(VLOOKUP(J209,ProductsRangeMkt,3,FALSE)="Special Offer",SpecialOfferm(J209,9,"FY-2"),MIN(J141,J156*capacity))</f>
        <v>9785.550972304065</v>
      </c>
      <c r="K231" s="455">
        <f>IF(VLOOKUP(K209,ProductsRangeMkt,3,FALSE)="Special Offer",SpecialOfferm(K209,9,"FY-2"),MIN(K141,K156*capacity))</f>
        <v>10893.680539822084</v>
      </c>
      <c r="L231" s="455">
        <f>IF(VLOOKUP(L209,ProductsRangeMkt,3,FALSE)="Special Offer",SpecialOfferm(L209,9,"FY-2"),MIN(L141,L156*capacity))</f>
        <v>296.02975645759579</v>
      </c>
      <c r="M231" s="455"/>
      <c r="N231" s="455"/>
      <c r="O231" s="455"/>
      <c r="P231" s="476"/>
      <c r="R231" s="477"/>
      <c r="S231" s="477"/>
    </row>
    <row r="232" spans="1:19" s="293" customFormat="1">
      <c r="A232" s="471"/>
      <c r="B232" s="707" t="s">
        <v>34</v>
      </c>
      <c r="C232" s="451" t="s">
        <v>38</v>
      </c>
      <c r="D232" s="455">
        <f>IF(VLOOKUP(D209,ProductsRangeMkt,3,FALSE)="Special Offer",SpecialOfferm(D209,10,"FY-2"),MIN(D142,D157*capacity))</f>
        <v>1123.2419547079858</v>
      </c>
      <c r="E232" s="455">
        <f>IF(VLOOKUP(E209,ProductsRangeMkt,3,FALSE)="Special Offer",SpecialOfferm(E209,10,"FY-2"),MIN(E142,E157*capacity))</f>
        <v>1280.8566721581549</v>
      </c>
      <c r="F232" s="455">
        <f>IF(VLOOKUP(F209,ProductsRangeMkt,3,FALSE)="Special Offer",SpecialOfferm(F209,10,"FY-2"),MIN(F142,F157*capacity))</f>
        <v>1059.2955487699203</v>
      </c>
      <c r="G232" s="455">
        <f>IF(VLOOKUP(G209,ProductsRangeMkt,3,FALSE)="Special Offer",SpecialOfferm(G209,10,"FY-2"),MIN(G142,G157*capacity))</f>
        <v>2480</v>
      </c>
      <c r="H232" s="455">
        <f>IF(VLOOKUP(H209,ProductsRangeMkt,3,FALSE)="Special Offer",SpecialOfferm(H209,10,"FY-2"),MIN(H142,H157*capacity))</f>
        <v>2480</v>
      </c>
      <c r="I232" s="455">
        <f>IF(VLOOKUP(I209,ProductsRangeMkt,3,FALSE)="Special Offer",SpecialOfferm(I209,10,"FY-2"),MIN(I142,I157*capacity))</f>
        <v>2480</v>
      </c>
      <c r="J232" s="455">
        <f>IF(VLOOKUP(J209,ProductsRangeMkt,3,FALSE)="Special Offer",SpecialOfferm(J209,10,"FY-2"),MIN(J142,J157*capacity))</f>
        <v>8796.7580452920138</v>
      </c>
      <c r="K232" s="455">
        <f>IF(VLOOKUP(K209,ProductsRangeMkt,3,FALSE)="Special Offer",SpecialOfferm(K209,10,"FY-2"),MIN(K142,K157*capacity))</f>
        <v>9879.1433278418444</v>
      </c>
      <c r="L232" s="455">
        <f>IF(VLOOKUP(L209,ProductsRangeMkt,3,FALSE)="Special Offer",SpecialOfferm(L209,10,"FY-2"),MIN(L142,L157*capacity))</f>
        <v>180.70445123007812</v>
      </c>
      <c r="M232" s="455"/>
      <c r="N232" s="455"/>
      <c r="O232" s="455"/>
      <c r="P232" s="476"/>
      <c r="R232" s="477"/>
      <c r="S232" s="477"/>
    </row>
    <row r="233" spans="1:19" s="293" customFormat="1">
      <c r="A233" s="471"/>
      <c r="B233" s="707" t="s">
        <v>34</v>
      </c>
      <c r="C233" s="451" t="s">
        <v>37</v>
      </c>
      <c r="D233" s="455">
        <f>IF(VLOOKUP(D209,ProductsRangeMkt,3,FALSE)="Special Offer",SpecialOfferm(D209,11,"FY-2"),MIN(D143,D158*capacity))</f>
        <v>612.15454698835845</v>
      </c>
      <c r="E233" s="455">
        <f>IF(VLOOKUP(E209,ProductsRangeMkt,3,FALSE)="Special Offer",SpecialOfferm(E209,11,"FY-2"),MIN(E143,E158*capacity))</f>
        <v>510.66009852216746</v>
      </c>
      <c r="F233" s="455">
        <f>IF(VLOOKUP(F209,ProductsRangeMkt,3,FALSE)="Special Offer",SpecialOfferm(F209,11,"FY-2"),MIN(F143,F158*capacity))</f>
        <v>1240</v>
      </c>
      <c r="G233" s="455">
        <f>IF(VLOOKUP(G209,ProductsRangeMkt,3,FALSE)="Special Offer",SpecialOfferm(G209,11,"FY-2"),MIN(G143,G158*capacity))</f>
        <v>1240</v>
      </c>
      <c r="H233" s="455">
        <f>IF(VLOOKUP(H209,ProductsRangeMkt,3,FALSE)="Special Offer",SpecialOfferm(H209,11,"FY-2"),MIN(H143,H158*capacity))</f>
        <v>1240</v>
      </c>
      <c r="I233" s="455">
        <f>IF(VLOOKUP(I209,ProductsRangeMkt,3,FALSE)="Special Offer",SpecialOfferm(I209,11,"FY-2"),MIN(I143,I158*capacity))</f>
        <v>1240</v>
      </c>
      <c r="J233" s="455">
        <f>IF(VLOOKUP(J209,ProductsRangeMkt,3,FALSE)="Special Offer",SpecialOfferm(J209,11,"FY-2"),MIN(J143,J158*capacity))</f>
        <v>1867.8454530116414</v>
      </c>
      <c r="K233" s="455">
        <f>IF(VLOOKUP(K209,ProductsRangeMkt,3,FALSE)="Special Offer",SpecialOfferm(K209,11,"FY-2"),MIN(K143,K158*capacity))</f>
        <v>1969.3399014778324</v>
      </c>
      <c r="L233" s="455">
        <f>IF(VLOOKUP(L209,ProductsRangeMkt,3,FALSE)="Special Offer",SpecialOfferm(L209,11,"FY-2"),MIN(L143,L158*capacity))</f>
        <v>0</v>
      </c>
      <c r="M233" s="455"/>
      <c r="N233" s="455"/>
      <c r="O233" s="455"/>
      <c r="P233" s="476"/>
      <c r="R233" s="477"/>
      <c r="S233" s="477"/>
    </row>
    <row r="234" spans="1:19" s="293" customFormat="1">
      <c r="A234" s="471"/>
      <c r="B234" s="707" t="s">
        <v>34</v>
      </c>
      <c r="C234" s="451" t="s">
        <v>36</v>
      </c>
      <c r="D234" s="455">
        <f>IF(VLOOKUP(D209,ProductsRangeMkt,3,FALSE)="Special Offer",SpecialOfferm(D209,12,"FY-2"),MIN(D144,D159*capacity))</f>
        <v>612.15454698835845</v>
      </c>
      <c r="E234" s="455">
        <f>IF(VLOOKUP(E209,ProductsRangeMkt,3,FALSE)="Special Offer",SpecialOfferm(E209,12,"FY-2"),MIN(E144,E159*capacity))</f>
        <v>440.67335487162052</v>
      </c>
      <c r="F234" s="455">
        <f>IF(VLOOKUP(F209,ProductsRangeMkt,3,FALSE)="Special Offer",SpecialOfferm(F209,12,"FY-2"),MIN(F144,F159*capacity))</f>
        <v>0</v>
      </c>
      <c r="G234" s="455">
        <f>IF(VLOOKUP(G209,ProductsRangeMkt,3,FALSE)="Special Offer",SpecialOfferm(G209,12,"FY-2"),MIN(G144,G159*capacity))</f>
        <v>1240</v>
      </c>
      <c r="H234" s="455">
        <f>IF(VLOOKUP(H209,ProductsRangeMkt,3,FALSE)="Special Offer",SpecialOfferm(H209,12,"FY-2"),MIN(H144,H159*capacity))</f>
        <v>1240</v>
      </c>
      <c r="I234" s="455">
        <f>IF(VLOOKUP(I209,ProductsRangeMkt,3,FALSE)="Special Offer",SpecialOfferm(I209,12,"FY-2"),MIN(I144,I159*capacity))</f>
        <v>1240</v>
      </c>
      <c r="J234" s="455">
        <f>IF(VLOOKUP(J209,ProductsRangeMkt,3,FALSE)="Special Offer",SpecialOfferm(J209,12,"FY-2"),MIN(J144,J159*capacity))</f>
        <v>1867.8454530116414</v>
      </c>
      <c r="K234" s="455">
        <f>IF(VLOOKUP(K209,ProductsRangeMkt,3,FALSE)="Special Offer",SpecialOfferm(K209,12,"FY-2"),MIN(K144,K159*capacity))</f>
        <v>2039.3266451283796</v>
      </c>
      <c r="L234" s="455">
        <f>IF(VLOOKUP(L209,ProductsRangeMkt,3,FALSE)="Special Offer",SpecialOfferm(L209,12,"FY-2"),MIN(L144,L159*capacity))</f>
        <v>0</v>
      </c>
      <c r="M234" s="455"/>
      <c r="N234" s="455"/>
      <c r="O234" s="455"/>
      <c r="P234" s="476"/>
      <c r="R234" s="477"/>
      <c r="S234" s="477"/>
    </row>
    <row r="235" spans="1:19" s="293" customFormat="1">
      <c r="A235" s="471"/>
      <c r="B235" s="707" t="s">
        <v>33</v>
      </c>
      <c r="C235" s="448" t="s">
        <v>47</v>
      </c>
      <c r="D235" s="455">
        <f>IF(VLOOKUP(D209,ProductsRangeMkt,3,FALSE)="Special Offer",SpecialOfferm(D209,1,"FY-3"),MIN(D178,D193*capacity))</f>
        <v>663.49960427520011</v>
      </c>
      <c r="E235" s="455">
        <f>IF(VLOOKUP(E209,ProductsRangeMkt,3,FALSE)="Special Offer",SpecialOfferm(E209,1,"FY-3"),MIN(E178,E193*capacity))</f>
        <v>984.7058823529411</v>
      </c>
      <c r="F235" s="455">
        <f>IF(VLOOKUP(F209,ProductsRangeMkt,3,FALSE)="Special Offer",SpecialOfferm(F209,1,"FY-3"),MIN(F178,F193*capacity))</f>
        <v>0</v>
      </c>
      <c r="G235" s="455">
        <f>IF(VLOOKUP(G209,ProductsRangeMkt,3,FALSE)="Special Offer",SpecialOfferm(G209,1,"FY-3"),MIN(G178,G193*capacity))</f>
        <v>1105.8326737920004</v>
      </c>
      <c r="H235" s="455">
        <f>IF(VLOOKUP(H209,ProductsRangeMkt,3,FALSE)="Special Offer",SpecialOfferm(H209,1,"FY-3"),MIN(H178,H193*capacity))</f>
        <v>1105.8326737920004</v>
      </c>
      <c r="I235" s="455">
        <f>IF(VLOOKUP(I209,ProductsRangeMkt,3,FALSE)="Special Offer",SpecialOfferm(I209,1,"FY-3"),MIN(I178,I193*capacity))</f>
        <v>1105.8326737920004</v>
      </c>
      <c r="J235" s="455">
        <f>IF(VLOOKUP(J209,ProductsRangeMkt,3,FALSE)="Special Offer",SpecialOfferm(J209,1,"FY-3"),MIN(J178,J193*capacity))</f>
        <v>2948.8871301120007</v>
      </c>
      <c r="K235" s="455">
        <f>IF(VLOOKUP(K209,ProductsRangeMkt,3,FALSE)="Special Offer",SpecialOfferm(K209,1,"FY-3"),MIN(K178,K193*capacity))</f>
        <v>2735.294117647059</v>
      </c>
      <c r="L235" s="455">
        <f>IF(VLOOKUP(L209,ProductsRangeMkt,3,FALSE)="Special Offer",SpecialOfferm(L209,1,"FY-3"),MIN(L178,L193*capacity))</f>
        <v>510.11524423680021</v>
      </c>
      <c r="M235" s="455"/>
      <c r="N235" s="455"/>
      <c r="O235" s="455"/>
      <c r="P235" s="476"/>
      <c r="R235" s="477"/>
      <c r="S235" s="477"/>
    </row>
    <row r="236" spans="1:19" s="293" customFormat="1">
      <c r="A236" s="443"/>
      <c r="B236" s="707" t="s">
        <v>33</v>
      </c>
      <c r="C236" s="448" t="s">
        <v>46</v>
      </c>
      <c r="D236" s="455">
        <f>IF(VLOOKUP(D209,ProductsRangeMkt,3,FALSE)="Special Offer",SpecialOfferm(D209,2,"FY-3"),MIN(D179,D194*capacity))</f>
        <v>663.49960427520011</v>
      </c>
      <c r="E236" s="455">
        <f>IF(VLOOKUP(E209,ProductsRangeMkt,3,FALSE)="Special Offer",SpecialOfferm(E209,2,"FY-3"),MIN(E179,E194*capacity))</f>
        <v>858.46153846153845</v>
      </c>
      <c r="F236" s="455">
        <f>IF(VLOOKUP(F209,ProductsRangeMkt,3,FALSE)="Special Offer",SpecialOfferm(F209,2,"FY-3"),MIN(F179,F194*capacity))</f>
        <v>0</v>
      </c>
      <c r="G236" s="455">
        <f>IF(VLOOKUP(G209,ProductsRangeMkt,3,FALSE)="Special Offer",SpecialOfferm(G209,2,"FY-3"),MIN(G179,G194*capacity))</f>
        <v>1105.8326737920004</v>
      </c>
      <c r="H236" s="455">
        <f>IF(VLOOKUP(H209,ProductsRangeMkt,3,FALSE)="Special Offer",SpecialOfferm(H209,2,"FY-3"),MIN(H179,H194*capacity))</f>
        <v>1105.8326737920004</v>
      </c>
      <c r="I236" s="455">
        <f>IF(VLOOKUP(I209,ProductsRangeMkt,3,FALSE)="Special Offer",SpecialOfferm(I209,2,"FY-3"),MIN(I179,I194*capacity))</f>
        <v>1105.8326737920004</v>
      </c>
      <c r="J236" s="455">
        <f>IF(VLOOKUP(J209,ProductsRangeMkt,3,FALSE)="Special Offer",SpecialOfferm(J209,2,"FY-3"),MIN(J179,J194*capacity))</f>
        <v>2948.8871301120007</v>
      </c>
      <c r="K236" s="455">
        <f>IF(VLOOKUP(K209,ProductsRangeMkt,3,FALSE)="Special Offer",SpecialOfferm(K209,2,"FY-3"),MIN(K179,K194*capacity))</f>
        <v>2861.5384615384614</v>
      </c>
      <c r="L236" s="455">
        <f>IF(VLOOKUP(L209,ProductsRangeMkt,3,FALSE)="Special Offer",SpecialOfferm(L209,2,"FY-3"),MIN(L179,L194*capacity))</f>
        <v>510.11524423679839</v>
      </c>
      <c r="M236" s="455"/>
      <c r="N236" s="455"/>
      <c r="O236" s="455"/>
      <c r="P236" s="476"/>
      <c r="R236" s="477"/>
      <c r="S236" s="477"/>
    </row>
    <row r="237" spans="1:19" s="293" customFormat="1">
      <c r="A237" s="443"/>
      <c r="B237" s="707" t="s">
        <v>33</v>
      </c>
      <c r="C237" s="451" t="s">
        <v>45</v>
      </c>
      <c r="D237" s="455">
        <f>IF(VLOOKUP(D209,ProductsRangeMkt,3,FALSE)="Special Offer",SpecialOfferm(D209,3,"FY-3"),MIN(D180,D195*capacity))</f>
        <v>663.49960427520011</v>
      </c>
      <c r="E237" s="455">
        <f>IF(VLOOKUP(E209,ProductsRangeMkt,3,FALSE)="Special Offer",SpecialOfferm(E209,3,"FY-3"),MIN(E180,E195*capacity))</f>
        <v>984.7058823529411</v>
      </c>
      <c r="F237" s="455">
        <f>IF(VLOOKUP(F209,ProductsRangeMkt,3,FALSE)="Special Offer",SpecialOfferm(F209,3,"FY-3"),MIN(F180,F195*capacity))</f>
        <v>0</v>
      </c>
      <c r="G237" s="455">
        <f>IF(VLOOKUP(G209,ProductsRangeMkt,3,FALSE)="Special Offer",SpecialOfferm(G209,3,"FY-3"),MIN(G180,G195*capacity))</f>
        <v>1240</v>
      </c>
      <c r="H237" s="455">
        <f>IF(VLOOKUP(H209,ProductsRangeMkt,3,FALSE)="Special Offer",SpecialOfferm(H209,3,"FY-3"),MIN(H180,H195*capacity))</f>
        <v>1240</v>
      </c>
      <c r="I237" s="455">
        <f>IF(VLOOKUP(I209,ProductsRangeMkt,3,FALSE)="Special Offer",SpecialOfferm(I209,3,"FY-3"),MIN(I180,I195*capacity))</f>
        <v>1240</v>
      </c>
      <c r="J237" s="455">
        <f>IF(VLOOKUP(J209,ProductsRangeMkt,3,FALSE)="Special Offer",SpecialOfferm(J209,3,"FY-3"),MIN(J180,J195*capacity))</f>
        <v>2948.8871301120007</v>
      </c>
      <c r="K237" s="455">
        <f>IF(VLOOKUP(K209,ProductsRangeMkt,3,FALSE)="Special Offer",SpecialOfferm(K209,3,"FY-3"),MIN(K180,K195*capacity))</f>
        <v>2735.294117647059</v>
      </c>
      <c r="L237" s="455">
        <f>IF(VLOOKUP(L209,ProductsRangeMkt,3,FALSE)="Special Offer",SpecialOfferm(L209,3,"FY-3"),MIN(L180,L195*capacity))</f>
        <v>107.61326561280111</v>
      </c>
      <c r="M237" s="455"/>
      <c r="N237" s="455"/>
      <c r="O237" s="455"/>
      <c r="P237" s="465"/>
      <c r="R237" s="465"/>
      <c r="S237" s="465"/>
    </row>
    <row r="238" spans="1:19" s="293" customFormat="1">
      <c r="A238" s="466"/>
      <c r="B238" s="707" t="s">
        <v>33</v>
      </c>
      <c r="C238" s="451" t="s">
        <v>44</v>
      </c>
      <c r="D238" s="455">
        <f>IF(VLOOKUP(D209,ProductsRangeMkt,3,FALSE)="Special Offer",SpecialOfferm(D209,4,"FY-3"),MIN(D181,D196*capacity))</f>
        <v>645.22483940042821</v>
      </c>
      <c r="E238" s="455">
        <f>IF(VLOOKUP(E209,ProductsRangeMkt,3,FALSE)="Special Offer",SpecialOfferm(E209,4,"FY-3"),MIN(E181,E196*capacity))</f>
        <v>997.74834437086076</v>
      </c>
      <c r="F238" s="455">
        <f>IF(VLOOKUP(F209,ProductsRangeMkt,3,FALSE)="Special Offer",SpecialOfferm(F209,4,"FY-3"),MIN(F181,F196*capacity))</f>
        <v>0</v>
      </c>
      <c r="G238" s="455">
        <f>IF(VLOOKUP(G209,ProductsRangeMkt,3,FALSE)="Special Offer",SpecialOfferm(G209,4,"FY-3"),MIN(G181,G196*capacity))</f>
        <v>1240</v>
      </c>
      <c r="H238" s="455">
        <f>IF(VLOOKUP(H209,ProductsRangeMkt,3,FALSE)="Special Offer",SpecialOfferm(H209,4,"FY-3"),MIN(H181,H196*capacity))</f>
        <v>1240</v>
      </c>
      <c r="I238" s="455">
        <f>IF(VLOOKUP(I209,ProductsRangeMkt,3,FALSE)="Special Offer",SpecialOfferm(I209,4,"FY-3"),MIN(I181,I196*capacity))</f>
        <v>1240</v>
      </c>
      <c r="J238" s="455">
        <f>IF(VLOOKUP(J209,ProductsRangeMkt,3,FALSE)="Special Offer",SpecialOfferm(J209,4,"FY-3"),MIN(J181,J196*capacity))</f>
        <v>10514.775160599573</v>
      </c>
      <c r="K238" s="455">
        <f>IF(VLOOKUP(K209,ProductsRangeMkt,3,FALSE)="Special Offer",SpecialOfferm(K209,4,"FY-3"),MIN(K181,K196*capacity))</f>
        <v>10162.251655629139</v>
      </c>
      <c r="L238" s="455">
        <f>IF(VLOOKUP(L209,ProductsRangeMkt,3,FALSE)="Special Offer",SpecialOfferm(L209,4,"FY-3"),MIN(L181,L196*capacity))</f>
        <v>0</v>
      </c>
      <c r="M238" s="455"/>
      <c r="N238" s="455"/>
      <c r="O238" s="455"/>
      <c r="P238" s="465"/>
      <c r="R238" s="465"/>
      <c r="S238" s="465"/>
    </row>
    <row r="239" spans="1:19" s="293" customFormat="1">
      <c r="A239" s="466"/>
      <c r="B239" s="707" t="s">
        <v>33</v>
      </c>
      <c r="C239" s="451" t="s">
        <v>43</v>
      </c>
      <c r="D239" s="455">
        <f>IF(VLOOKUP(D209,ProductsRangeMkt,3,FALSE)="Special Offer",SpecialOfferm(D209,5,"FY-3"),MIN(D182,D197*capacity))</f>
        <v>1927.8310940499039</v>
      </c>
      <c r="E239" s="455">
        <f>IF(VLOOKUP(E209,ProductsRangeMkt,3,FALSE)="Special Offer",SpecialOfferm(E209,5,"FY-3"),MIN(E182,E197*capacity))</f>
        <v>1891.5254237288138</v>
      </c>
      <c r="F239" s="455">
        <f>IF(VLOOKUP(F209,ProductsRangeMkt,3,FALSE)="Special Offer",SpecialOfferm(F209,5,"FY-3"),MIN(F182,F197*capacity))</f>
        <v>1094.7743470540802</v>
      </c>
      <c r="G239" s="455">
        <f>IF(VLOOKUP(G209,ProductsRangeMkt,3,FALSE)="Special Offer",SpecialOfferm(G209,5,"FY-3"),MIN(G182,G197*capacity))</f>
        <v>1240</v>
      </c>
      <c r="H239" s="455">
        <f>IF(VLOOKUP(H209,ProductsRangeMkt,3,FALSE)="Special Offer",SpecialOfferm(H209,5,"FY-3"),MIN(H182,H197*capacity))</f>
        <v>1240</v>
      </c>
      <c r="I239" s="455">
        <f>IF(VLOOKUP(I209,ProductsRangeMkt,3,FALSE)="Special Offer",SpecialOfferm(I209,5,"FY-3"),MIN(I182,I197*capacity))</f>
        <v>1240</v>
      </c>
      <c r="J239" s="455">
        <f>IF(VLOOKUP(J209,ProductsRangeMkt,3,FALSE)="Special Offer",SpecialOfferm(J209,5,"FY-3"),MIN(J182,J197*capacity))</f>
        <v>10472.168905950095</v>
      </c>
      <c r="K239" s="455">
        <f>IF(VLOOKUP(K209,ProductsRangeMkt,3,FALSE)="Special Offer",SpecialOfferm(K209,5,"FY-3"),MIN(K182,K197*capacity))</f>
        <v>10508.474576271186</v>
      </c>
      <c r="L239" s="455">
        <f>IF(VLOOKUP(L209,ProductsRangeMkt,3,FALSE)="Special Offer",SpecialOfferm(L209,5,"FY-3"),MIN(L182,L197*capacity))</f>
        <v>145.22565294591914</v>
      </c>
      <c r="M239" s="455"/>
      <c r="N239" s="455"/>
      <c r="O239" s="455"/>
      <c r="P239" s="465"/>
      <c r="R239" s="465"/>
      <c r="S239" s="465"/>
    </row>
    <row r="240" spans="1:19" s="293" customFormat="1">
      <c r="A240" s="466"/>
      <c r="B240" s="707" t="s">
        <v>33</v>
      </c>
      <c r="C240" s="451" t="s">
        <v>42</v>
      </c>
      <c r="D240" s="455">
        <f>IF(VLOOKUP(D209,ProductsRangeMkt,3,FALSE)="Special Offer",SpecialOfferm(D209,6,"FY-3"),MIN(D183,D198*capacity))</f>
        <v>1880.3120124804991</v>
      </c>
      <c r="E240" s="455">
        <f>IF(VLOOKUP(E209,ProductsRangeMkt,3,FALSE)="Special Offer",SpecialOfferm(E209,6,"FY-3"),MIN(E183,E198*capacity))</f>
        <v>1843.7046307884857</v>
      </c>
      <c r="F240" s="455">
        <f>IF(VLOOKUP(F209,ProductsRangeMkt,3,FALSE)="Special Offer",SpecialOfferm(F209,6,"FY-3"),MIN(F183,F198*capacity))</f>
        <v>995.24940641280011</v>
      </c>
      <c r="G240" s="455">
        <f>IF(VLOOKUP(G209,ProductsRangeMkt,3,FALSE)="Special Offer",SpecialOfferm(G209,6,"FY-3"),MIN(G183,G198*capacity))</f>
        <v>2211.6653475840008</v>
      </c>
      <c r="H240" s="455">
        <f>IF(VLOOKUP(H209,ProductsRangeMkt,3,FALSE)="Special Offer",SpecialOfferm(H209,6,"FY-3"),MIN(H183,H198*capacity))</f>
        <v>2211.6653475840008</v>
      </c>
      <c r="I240" s="455">
        <f>IF(VLOOKUP(I209,ProductsRangeMkt,3,FALSE)="Special Offer",SpecialOfferm(I209,6,"FY-3"),MIN(I183,I198*capacity))</f>
        <v>2211.6653475840008</v>
      </c>
      <c r="J240" s="455">
        <f>IF(VLOOKUP(J209,ProductsRangeMkt,3,FALSE)="Special Offer",SpecialOfferm(J209,6,"FY-3"),MIN(J183,J198*capacity))</f>
        <v>12999.687987519501</v>
      </c>
      <c r="K240" s="455">
        <f>IF(VLOOKUP(K209,ProductsRangeMkt,3,FALSE)="Special Offer",SpecialOfferm(K209,6,"FY-3"),MIN(K183,K198*capacity))</f>
        <v>13036.295369211513</v>
      </c>
      <c r="L240" s="455">
        <f>IF(VLOOKUP(L209,ProductsRangeMkt,3,FALSE)="Special Offer",SpecialOfferm(L209,6,"FY-3"),MIN(L183,L198*capacity))</f>
        <v>1049.7545508351977</v>
      </c>
      <c r="M240" s="455"/>
      <c r="N240" s="455"/>
      <c r="O240" s="455"/>
      <c r="P240" s="465"/>
      <c r="R240" s="465"/>
      <c r="S240" s="465"/>
    </row>
    <row r="241" spans="1:70" s="293" customFormat="1">
      <c r="A241" s="471"/>
      <c r="B241" s="707" t="s">
        <v>33</v>
      </c>
      <c r="C241" s="451" t="s">
        <v>41</v>
      </c>
      <c r="D241" s="455">
        <f>IF(VLOOKUP(D209,ProductsRangeMkt,3,FALSE)="Special Offer",SpecialOfferm(D209,7,"FY-3"),MIN(D184,D199*capacity))</f>
        <v>1880.3120124804991</v>
      </c>
      <c r="E241" s="455">
        <f>IF(VLOOKUP(E209,ProductsRangeMkt,3,FALSE)="Special Offer",SpecialOfferm(E209,7,"FY-3"),MIN(E184,E199*capacity))</f>
        <v>1843.7046307884857</v>
      </c>
      <c r="F241" s="455">
        <f>IF(VLOOKUP(F209,ProductsRangeMkt,3,FALSE)="Special Offer",SpecialOfferm(F209,7,"FY-3"),MIN(F184,F199*capacity))</f>
        <v>995.24940641280011</v>
      </c>
      <c r="G241" s="455">
        <f>IF(VLOOKUP(G209,ProductsRangeMkt,3,FALSE)="Special Offer",SpecialOfferm(G209,7,"FY-3"),MIN(G184,G199*capacity))</f>
        <v>2211.6653475840008</v>
      </c>
      <c r="H241" s="455">
        <f>IF(VLOOKUP(H209,ProductsRangeMkt,3,FALSE)="Special Offer",SpecialOfferm(H209,7,"FY-3"),MIN(H184,H199*capacity))</f>
        <v>2211.6653475840008</v>
      </c>
      <c r="I241" s="455">
        <f>IF(VLOOKUP(I209,ProductsRangeMkt,3,FALSE)="Special Offer",SpecialOfferm(I209,7,"FY-3"),MIN(I184,I199*capacity))</f>
        <v>2211.6653475840008</v>
      </c>
      <c r="J241" s="455">
        <f>IF(VLOOKUP(J209,ProductsRangeMkt,3,FALSE)="Special Offer",SpecialOfferm(J209,7,"FY-3"),MIN(J184,J199*capacity))</f>
        <v>12999.687987519501</v>
      </c>
      <c r="K241" s="455">
        <f>IF(VLOOKUP(K209,ProductsRangeMkt,3,FALSE)="Special Offer",SpecialOfferm(K209,7,"FY-3"),MIN(K184,K199*capacity))</f>
        <v>13036.295369211513</v>
      </c>
      <c r="L241" s="455">
        <f>IF(VLOOKUP(L209,ProductsRangeMkt,3,FALSE)="Special Offer",SpecialOfferm(L209,7,"FY-3"),MIN(L184,L199*capacity))</f>
        <v>1049.7545508351977</v>
      </c>
      <c r="M241" s="455"/>
      <c r="N241" s="455"/>
      <c r="O241" s="455"/>
      <c r="P241" s="476"/>
      <c r="R241" s="477"/>
      <c r="S241" s="477"/>
    </row>
    <row r="242" spans="1:70" s="293" customFormat="1">
      <c r="A242" s="471"/>
      <c r="B242" s="707" t="s">
        <v>33</v>
      </c>
      <c r="C242" s="451" t="s">
        <v>40</v>
      </c>
      <c r="D242" s="455">
        <f>IF(VLOOKUP(D209,ProductsRangeMkt,3,FALSE)="Special Offer",SpecialOfferm(D209,8,"FY-3"),MIN(D185,D200*capacity))</f>
        <v>1969.411764705882</v>
      </c>
      <c r="E242" s="455">
        <f>IF(VLOOKUP(E209,ProductsRangeMkt,3,FALSE)="Special Offer",SpecialOfferm(E209,8,"FY-3"),MIN(E185,E200*capacity))</f>
        <v>1931.8454935622317</v>
      </c>
      <c r="F242" s="455">
        <f>IF(VLOOKUP(F209,ProductsRangeMkt,3,FALSE)="Special Offer",SpecialOfferm(F209,8,"FY-3"),MIN(F185,F200*capacity))</f>
        <v>995.24940641280011</v>
      </c>
      <c r="G242" s="455">
        <f>IF(VLOOKUP(G209,ProductsRangeMkt,3,FALSE)="Special Offer",SpecialOfferm(G209,8,"FY-3"),MIN(G185,G200*capacity))</f>
        <v>2480</v>
      </c>
      <c r="H242" s="455">
        <f>IF(VLOOKUP(H209,ProductsRangeMkt,3,FALSE)="Special Offer",SpecialOfferm(H209,8,"FY-3"),MIN(H185,H200*capacity))</f>
        <v>2480</v>
      </c>
      <c r="I242" s="455">
        <f>IF(VLOOKUP(I209,ProductsRangeMkt,3,FALSE)="Special Offer",SpecialOfferm(I209,8,"FY-3"),MIN(I185,I200*capacity))</f>
        <v>2480</v>
      </c>
      <c r="J242" s="455">
        <f>IF(VLOOKUP(J209,ProductsRangeMkt,3,FALSE)="Special Offer",SpecialOfferm(J209,8,"FY-3"),MIN(J185,J200*capacity))</f>
        <v>11670.588235294119</v>
      </c>
      <c r="K242" s="455">
        <f>IF(VLOOKUP(K209,ProductsRangeMkt,3,FALSE)="Special Offer",SpecialOfferm(K209,8,"FY-3"),MIN(K185,K200*capacity))</f>
        <v>11708.15450643777</v>
      </c>
      <c r="L242" s="455">
        <f>IF(VLOOKUP(L209,ProductsRangeMkt,3,FALSE)="Special Offer",SpecialOfferm(L209,8,"FY-3"),MIN(L185,L200*capacity))</f>
        <v>244.75059358719591</v>
      </c>
      <c r="M242" s="455"/>
      <c r="N242" s="455"/>
      <c r="O242" s="455"/>
      <c r="P242" s="476"/>
      <c r="R242" s="477"/>
      <c r="S242" s="477"/>
    </row>
    <row r="243" spans="1:70" s="293" customFormat="1">
      <c r="A243" s="471"/>
      <c r="B243" s="707" t="s">
        <v>33</v>
      </c>
      <c r="C243" s="451" t="s">
        <v>39</v>
      </c>
      <c r="D243" s="455">
        <f>IF(VLOOKUP(D209,ProductsRangeMkt,3,FALSE)="Special Offer",SpecialOfferm(D209,9,"FY-3"),MIN(D186,D201*capacity))</f>
        <v>1969.411764705882</v>
      </c>
      <c r="E243" s="455">
        <f>IF(VLOOKUP(E209,ProductsRangeMkt,3,FALSE)="Special Offer",SpecialOfferm(E209,9,"FY-3"),MIN(E186,E201*capacity))</f>
        <v>1931.8454935622317</v>
      </c>
      <c r="F243" s="455">
        <f>IF(VLOOKUP(F209,ProductsRangeMkt,3,FALSE)="Special Offer",SpecialOfferm(F209,9,"FY-3"),MIN(F186,F201*capacity))</f>
        <v>995.24940641280011</v>
      </c>
      <c r="G243" s="455">
        <f>IF(VLOOKUP(G209,ProductsRangeMkt,3,FALSE)="Special Offer",SpecialOfferm(G209,9,"FY-3"),MIN(G186,G201*capacity))</f>
        <v>2480</v>
      </c>
      <c r="H243" s="455">
        <f>IF(VLOOKUP(H209,ProductsRangeMkt,3,FALSE)="Special Offer",SpecialOfferm(H209,9,"FY-3"),MIN(H186,H201*capacity))</f>
        <v>2480</v>
      </c>
      <c r="I243" s="455">
        <f>IF(VLOOKUP(I209,ProductsRangeMkt,3,FALSE)="Special Offer",SpecialOfferm(I209,9,"FY-3"),MIN(I186,I201*capacity))</f>
        <v>2480</v>
      </c>
      <c r="J243" s="455">
        <f>IF(VLOOKUP(J209,ProductsRangeMkt,3,FALSE)="Special Offer",SpecialOfferm(J209,9,"FY-3"),MIN(J186,J201*capacity))</f>
        <v>11670.588235294119</v>
      </c>
      <c r="K243" s="455">
        <f>IF(VLOOKUP(K209,ProductsRangeMkt,3,FALSE)="Special Offer",SpecialOfferm(K209,9,"FY-3"),MIN(K186,K201*capacity))</f>
        <v>11708.15450643777</v>
      </c>
      <c r="L243" s="455">
        <f>IF(VLOOKUP(L209,ProductsRangeMkt,3,FALSE)="Special Offer",SpecialOfferm(L209,9,"FY-3"),MIN(L186,L201*capacity))</f>
        <v>244.75059358719591</v>
      </c>
      <c r="M243" s="455"/>
      <c r="N243" s="455"/>
      <c r="O243" s="455"/>
      <c r="P243" s="476"/>
      <c r="R243" s="477"/>
      <c r="S243" s="477"/>
    </row>
    <row r="244" spans="1:70" s="293" customFormat="1">
      <c r="A244" s="471"/>
      <c r="B244" s="707" t="s">
        <v>33</v>
      </c>
      <c r="C244" s="451" t="s">
        <v>38</v>
      </c>
      <c r="D244" s="455">
        <f>IF(VLOOKUP(D209,ProductsRangeMkt,3,FALSE)="Special Offer",SpecialOfferm(D209,10,"FY-3"),MIN(D187,D202*capacity))</f>
        <v>1649.2610837438424</v>
      </c>
      <c r="E244" s="455">
        <f>IF(VLOOKUP(E209,ProductsRangeMkt,3,FALSE)="Special Offer",SpecialOfferm(E209,10,"FY-3"),MIN(E187,E202*capacity))</f>
        <v>1891.5254237288138</v>
      </c>
      <c r="F244" s="455">
        <f>IF(VLOOKUP(F209,ProductsRangeMkt,3,FALSE)="Special Offer",SpecialOfferm(F209,10,"FY-3"),MIN(F187,F202*capacity))</f>
        <v>995.24940641280011</v>
      </c>
      <c r="G244" s="455">
        <f>IF(VLOOKUP(G209,ProductsRangeMkt,3,FALSE)="Special Offer",SpecialOfferm(G209,10,"FY-3"),MIN(G187,G202*capacity))</f>
        <v>2432.8318823424006</v>
      </c>
      <c r="H244" s="455">
        <f>IF(VLOOKUP(H209,ProductsRangeMkt,3,FALSE)="Special Offer",SpecialOfferm(H209,10,"FY-3"),MIN(H187,H202*capacity))</f>
        <v>2432.8318823424006</v>
      </c>
      <c r="I244" s="455">
        <f>IF(VLOOKUP(I209,ProductsRangeMkt,3,FALSE)="Special Offer",SpecialOfferm(I209,10,"FY-3"),MIN(I187,I202*capacity))</f>
        <v>2432.8318823424006</v>
      </c>
      <c r="J244" s="455">
        <f>IF(VLOOKUP(J209,ProductsRangeMkt,3,FALSE)="Special Offer",SpecialOfferm(J209,10,"FY-3"),MIN(J187,J202*capacity))</f>
        <v>10750.738916256158</v>
      </c>
      <c r="K244" s="455">
        <f>IF(VLOOKUP(K209,ProductsRangeMkt,3,FALSE)="Special Offer",SpecialOfferm(K209,10,"FY-3"),MIN(K187,K202*capacity))</f>
        <v>10508.474576271186</v>
      </c>
      <c r="L244" s="455">
        <f>IF(VLOOKUP(L209,ProductsRangeMkt,3,FALSE)="Special Offer",SpecialOfferm(L209,10,"FY-3"),MIN(L187,L202*capacity))</f>
        <v>386.25494656000228</v>
      </c>
      <c r="M244" s="455"/>
      <c r="N244" s="455"/>
      <c r="O244" s="455"/>
      <c r="P244" s="476"/>
      <c r="R244" s="477"/>
      <c r="S244" s="477"/>
    </row>
    <row r="245" spans="1:70" s="293" customFormat="1">
      <c r="A245" s="471"/>
      <c r="B245" s="707" t="s">
        <v>33</v>
      </c>
      <c r="C245" s="451" t="s">
        <v>37</v>
      </c>
      <c r="D245" s="455">
        <f>IF(VLOOKUP(D209,ProductsRangeMkt,3,FALSE)="Special Offer",SpecialOfferm(D209,11,"FY-3"),MIN(D188,D203*capacity))</f>
        <v>1050.9417040358744</v>
      </c>
      <c r="E245" s="455">
        <f>IF(VLOOKUP(E209,ProductsRangeMkt,3,FALSE)="Special Offer",SpecialOfferm(E209,11,"FY-3"),MIN(E188,E203*capacity))</f>
        <v>984.7058823529411</v>
      </c>
      <c r="F245" s="455">
        <f>IF(VLOOKUP(F209,ProductsRangeMkt,3,FALSE)="Special Offer",SpecialOfferm(F209,11,"FY-3"),MIN(F188,F203*capacity))</f>
        <v>1194.2992876953601</v>
      </c>
      <c r="G245" s="455">
        <f>IF(VLOOKUP(G209,ProductsRangeMkt,3,FALSE)="Special Offer",SpecialOfferm(G209,11,"FY-3"),MIN(G188,G203*capacity))</f>
        <v>1240</v>
      </c>
      <c r="H245" s="455">
        <f>IF(VLOOKUP(H209,ProductsRangeMkt,3,FALSE)="Special Offer",SpecialOfferm(H209,11,"FY-3"),MIN(H188,H203*capacity))</f>
        <v>1240</v>
      </c>
      <c r="I245" s="455">
        <f>IF(VLOOKUP(I209,ProductsRangeMkt,3,FALSE)="Special Offer",SpecialOfferm(I209,11,"FY-3"),MIN(I188,I203*capacity))</f>
        <v>1240</v>
      </c>
      <c r="J245" s="455">
        <f>IF(VLOOKUP(J209,ProductsRangeMkt,3,FALSE)="Special Offer",SpecialOfferm(J209,11,"FY-3"),MIN(J188,J203*capacity))</f>
        <v>2669.0582959641256</v>
      </c>
      <c r="K245" s="455">
        <f>IF(VLOOKUP(K209,ProductsRangeMkt,3,FALSE)="Special Offer",SpecialOfferm(K209,11,"FY-3"),MIN(K188,K203*capacity))</f>
        <v>2735.294117647059</v>
      </c>
      <c r="L245" s="455">
        <f>IF(VLOOKUP(L209,ProductsRangeMkt,3,FALSE)="Special Offer",SpecialOfferm(L209,11,"FY-3"),MIN(L188,L203*capacity))</f>
        <v>45.700712304638728</v>
      </c>
      <c r="M245" s="455"/>
      <c r="N245" s="455"/>
      <c r="O245" s="455"/>
      <c r="P245" s="476"/>
      <c r="R245" s="477"/>
      <c r="S245" s="477"/>
    </row>
    <row r="246" spans="1:70" s="293" customFormat="1">
      <c r="A246" s="471"/>
      <c r="B246" s="707" t="s">
        <v>33</v>
      </c>
      <c r="C246" s="451" t="s">
        <v>36</v>
      </c>
      <c r="D246" s="455">
        <f>IF(VLOOKUP(D209,ProductsRangeMkt,3,FALSE)="Special Offer",SpecialOfferm(D209,12,"FY-3"),MIN(D189,D204*capacity))</f>
        <v>1050.9417040358744</v>
      </c>
      <c r="E246" s="455">
        <f>IF(VLOOKUP(E209,ProductsRangeMkt,3,FALSE)="Special Offer",SpecialOfferm(E209,12,"FY-3"),MIN(E189,E204*capacity))</f>
        <v>858.46153846153845</v>
      </c>
      <c r="F246" s="455">
        <f>IF(VLOOKUP(F209,ProductsRangeMkt,3,FALSE)="Special Offer",SpecialOfferm(F209,12,"FY-3"),MIN(F189,F204*capacity))</f>
        <v>0</v>
      </c>
      <c r="G246" s="455">
        <f>IF(VLOOKUP(G209,ProductsRangeMkt,3,FALSE)="Special Offer",SpecialOfferm(G209,12,"FY-3"),MIN(G189,G204*capacity))</f>
        <v>1240</v>
      </c>
      <c r="H246" s="455">
        <f>IF(VLOOKUP(H209,ProductsRangeMkt,3,FALSE)="Special Offer",SpecialOfferm(H209,12,"FY-3"),MIN(H189,H204*capacity))</f>
        <v>1240</v>
      </c>
      <c r="I246" s="455">
        <f>IF(VLOOKUP(I209,ProductsRangeMkt,3,FALSE)="Special Offer",SpecialOfferm(I209,12,"FY-3"),MIN(I189,I204*capacity))</f>
        <v>1240</v>
      </c>
      <c r="J246" s="455">
        <f>IF(VLOOKUP(J209,ProductsRangeMkt,3,FALSE)="Special Offer",SpecialOfferm(J209,12,"FY-3"),MIN(J189,J204*capacity))</f>
        <v>2669.0582959641256</v>
      </c>
      <c r="K246" s="455">
        <f>IF(VLOOKUP(K209,ProductsRangeMkt,3,FALSE)="Special Offer",SpecialOfferm(K209,12,"FY-3"),MIN(K189,K204*capacity))</f>
        <v>2861.5384615384614</v>
      </c>
      <c r="L246" s="455">
        <f>IF(VLOOKUP(L209,ProductsRangeMkt,3,FALSE)="Special Offer",SpecialOfferm(L209,12,"FY-3"),MIN(L189,L204*capacity))</f>
        <v>0</v>
      </c>
      <c r="M246" s="455"/>
      <c r="N246" s="455"/>
      <c r="O246" s="455"/>
      <c r="P246" s="476"/>
      <c r="R246" s="477"/>
      <c r="S246" s="477"/>
    </row>
    <row r="247" spans="1:70" s="293" customFormat="1">
      <c r="A247" s="471"/>
      <c r="D247" s="455"/>
      <c r="E247" s="455"/>
      <c r="F247" s="455"/>
      <c r="G247" s="455"/>
      <c r="H247" s="455"/>
      <c r="I247" s="455"/>
      <c r="J247" s="457"/>
      <c r="K247" s="478"/>
      <c r="L247" s="457"/>
      <c r="M247" s="457"/>
      <c r="N247" s="464"/>
      <c r="O247" s="476"/>
      <c r="P247" s="476"/>
      <c r="R247" s="477"/>
      <c r="S247" s="477"/>
    </row>
    <row r="248" spans="1:70" s="369" customFormat="1" ht="15.75">
      <c r="A248" s="479"/>
      <c r="B248" s="480"/>
      <c r="C248" s="481"/>
      <c r="D248" s="482"/>
      <c r="E248" s="482"/>
      <c r="F248" s="482"/>
      <c r="G248" s="482"/>
      <c r="H248" s="482"/>
      <c r="I248" s="354"/>
      <c r="J248" s="354"/>
      <c r="K248" s="354"/>
      <c r="L248" s="367"/>
      <c r="M248" s="367"/>
      <c r="N248" s="483"/>
      <c r="O248" s="483"/>
      <c r="P248" s="483"/>
      <c r="Q248" s="483"/>
      <c r="R248" s="367"/>
      <c r="S248" s="367"/>
      <c r="T248" s="368"/>
    </row>
    <row r="249" spans="1:70" s="369" customFormat="1" ht="12">
      <c r="B249" s="484"/>
      <c r="C249" s="373"/>
      <c r="D249" s="373"/>
      <c r="E249" s="367"/>
      <c r="F249" s="367"/>
      <c r="G249" s="367"/>
      <c r="H249" s="367"/>
      <c r="I249" s="367"/>
      <c r="J249" s="354"/>
      <c r="K249" s="354"/>
      <c r="L249" s="367"/>
      <c r="M249" s="482"/>
      <c r="N249" s="354"/>
      <c r="O249" s="354"/>
      <c r="P249" s="354"/>
      <c r="Q249" s="354"/>
      <c r="R249" s="367"/>
      <c r="S249" s="367"/>
      <c r="T249" s="368"/>
    </row>
    <row r="250" spans="1:70" s="485" customFormat="1" ht="11.25">
      <c r="B250" s="483"/>
      <c r="C250" s="483"/>
      <c r="D250" s="483"/>
      <c r="E250" s="486"/>
      <c r="F250" s="364"/>
      <c r="G250" s="483"/>
      <c r="H250" s="483"/>
      <c r="I250" s="483"/>
      <c r="J250" s="483"/>
      <c r="K250" s="483"/>
      <c r="L250" s="367"/>
      <c r="M250" s="482"/>
      <c r="N250" s="354"/>
      <c r="O250" s="354"/>
      <c r="P250" s="354"/>
      <c r="Q250" s="354"/>
      <c r="R250" s="367"/>
      <c r="S250" s="367"/>
      <c r="T250" s="368"/>
      <c r="U250" s="382"/>
      <c r="V250" s="382"/>
      <c r="W250" s="382"/>
      <c r="X250" s="382"/>
      <c r="Y250" s="382"/>
      <c r="Z250" s="382"/>
      <c r="AA250" s="382"/>
      <c r="AB250" s="382"/>
      <c r="AC250" s="382"/>
      <c r="AD250" s="382"/>
      <c r="AE250" s="382"/>
      <c r="AF250" s="382"/>
      <c r="AG250" s="382"/>
      <c r="AH250" s="382"/>
      <c r="AI250" s="382"/>
      <c r="AJ250" s="382"/>
      <c r="AK250" s="382"/>
      <c r="AL250" s="382"/>
      <c r="AM250" s="382"/>
      <c r="AN250" s="382"/>
      <c r="AO250" s="382"/>
      <c r="AP250" s="382"/>
      <c r="AQ250" s="382"/>
      <c r="AR250" s="382"/>
      <c r="AS250" s="382"/>
      <c r="AT250" s="382"/>
      <c r="AU250" s="382"/>
      <c r="AV250" s="382"/>
      <c r="AW250" s="382"/>
      <c r="AX250" s="382"/>
      <c r="AY250" s="382"/>
      <c r="AZ250" s="382"/>
      <c r="BA250" s="382"/>
      <c r="BB250" s="382"/>
      <c r="BC250" s="382"/>
      <c r="BD250" s="382"/>
      <c r="BE250" s="382"/>
      <c r="BF250" s="382"/>
      <c r="BG250" s="382"/>
      <c r="BH250" s="382"/>
      <c r="BI250" s="382"/>
      <c r="BJ250" s="382"/>
      <c r="BK250" s="382"/>
      <c r="BL250" s="382"/>
      <c r="BM250" s="382"/>
      <c r="BN250" s="382"/>
      <c r="BO250" s="382"/>
      <c r="BP250" s="382"/>
      <c r="BQ250" s="382"/>
      <c r="BR250" s="382"/>
    </row>
    <row r="251" spans="1:70" s="485" customFormat="1" ht="15" customHeight="1">
      <c r="B251" s="299"/>
      <c r="C251" s="391"/>
      <c r="D251" s="360"/>
      <c r="E251" s="391"/>
      <c r="F251" s="391"/>
      <c r="G251" s="391"/>
      <c r="H251" s="391"/>
      <c r="I251" s="303"/>
      <c r="J251" s="303"/>
      <c r="K251" s="306"/>
      <c r="L251" s="303"/>
      <c r="M251" s="303"/>
      <c r="N251" s="402"/>
      <c r="O251" s="403"/>
      <c r="P251" s="402"/>
      <c r="Q251" s="402"/>
      <c r="R251" s="303"/>
      <c r="S251" s="303"/>
      <c r="T251" s="382"/>
      <c r="U251" s="382"/>
      <c r="V251" s="382"/>
      <c r="W251" s="382"/>
      <c r="X251" s="382"/>
      <c r="Y251" s="382"/>
      <c r="Z251" s="382"/>
      <c r="AA251" s="382"/>
      <c r="AB251" s="382"/>
      <c r="AC251" s="382"/>
      <c r="AD251" s="382"/>
      <c r="AE251" s="382"/>
      <c r="AF251" s="382"/>
      <c r="AG251" s="382"/>
      <c r="AH251" s="382"/>
      <c r="AI251" s="382"/>
      <c r="AJ251" s="382"/>
      <c r="AK251" s="382"/>
      <c r="AL251" s="382"/>
      <c r="AM251" s="382"/>
      <c r="AN251" s="382"/>
      <c r="AO251" s="382"/>
      <c r="AP251" s="382"/>
      <c r="AQ251" s="382"/>
      <c r="AR251" s="382"/>
      <c r="AS251" s="382"/>
      <c r="AT251" s="382"/>
      <c r="AU251" s="382"/>
      <c r="AV251" s="382"/>
      <c r="AW251" s="382"/>
      <c r="AX251" s="382"/>
      <c r="AY251" s="382"/>
      <c r="AZ251" s="382"/>
      <c r="BA251" s="382"/>
      <c r="BB251" s="382"/>
      <c r="BC251" s="382"/>
      <c r="BD251" s="382"/>
      <c r="BE251" s="382"/>
      <c r="BF251" s="382"/>
      <c r="BG251" s="382"/>
      <c r="BH251" s="382"/>
      <c r="BI251" s="382"/>
      <c r="BJ251" s="382"/>
      <c r="BK251" s="382"/>
      <c r="BL251" s="382"/>
      <c r="BM251" s="382"/>
      <c r="BN251" s="382"/>
      <c r="BO251" s="382"/>
      <c r="BP251" s="382"/>
      <c r="BQ251" s="382"/>
      <c r="BR251" s="382"/>
    </row>
    <row r="252" spans="1:70" s="485" customFormat="1" ht="11.25">
      <c r="B252" s="303"/>
      <c r="C252" s="391"/>
      <c r="D252" s="391"/>
      <c r="E252" s="391"/>
      <c r="F252" s="391"/>
      <c r="G252" s="391"/>
      <c r="H252" s="391"/>
      <c r="I252" s="306"/>
      <c r="J252" s="306"/>
      <c r="K252" s="409"/>
      <c r="L252" s="303"/>
      <c r="M252" s="391"/>
      <c r="N252" s="404"/>
      <c r="O252" s="402"/>
      <c r="P252" s="402"/>
      <c r="Q252" s="402"/>
      <c r="R252" s="303"/>
      <c r="S252" s="303"/>
      <c r="T252" s="382"/>
      <c r="U252" s="382"/>
      <c r="V252" s="382"/>
      <c r="W252" s="382"/>
      <c r="X252" s="382"/>
      <c r="Y252" s="382"/>
      <c r="Z252" s="382"/>
      <c r="AA252" s="382"/>
      <c r="AB252" s="382"/>
      <c r="AC252" s="382"/>
      <c r="AD252" s="382"/>
      <c r="AE252" s="382"/>
      <c r="AF252" s="382"/>
      <c r="AG252" s="382"/>
      <c r="AH252" s="382"/>
      <c r="AI252" s="382"/>
      <c r="AJ252" s="382"/>
      <c r="AK252" s="382"/>
      <c r="AL252" s="382"/>
      <c r="AM252" s="382"/>
      <c r="AN252" s="382"/>
      <c r="AO252" s="382"/>
      <c r="AP252" s="382"/>
      <c r="AQ252" s="382"/>
      <c r="AR252" s="382"/>
      <c r="AS252" s="382"/>
      <c r="AT252" s="382"/>
      <c r="AU252" s="382"/>
      <c r="AV252" s="382"/>
      <c r="AW252" s="382"/>
      <c r="AX252" s="382"/>
      <c r="AY252" s="382"/>
      <c r="AZ252" s="382"/>
      <c r="BA252" s="382"/>
      <c r="BB252" s="382"/>
      <c r="BC252" s="382"/>
      <c r="BD252" s="382"/>
      <c r="BE252" s="382"/>
      <c r="BF252" s="382"/>
      <c r="BG252" s="382"/>
      <c r="BH252" s="382"/>
      <c r="BI252" s="382"/>
      <c r="BJ252" s="382"/>
      <c r="BK252" s="382"/>
      <c r="BL252" s="382"/>
      <c r="BM252" s="382"/>
      <c r="BN252" s="382"/>
      <c r="BO252" s="382"/>
      <c r="BP252" s="382"/>
      <c r="BQ252" s="382"/>
      <c r="BR252" s="382"/>
    </row>
    <row r="253" spans="1:70" s="485" customFormat="1" ht="11.25">
      <c r="B253" s="303"/>
      <c r="C253" s="391"/>
      <c r="D253" s="409"/>
      <c r="E253" s="409"/>
      <c r="F253" s="409"/>
      <c r="G253" s="391"/>
      <c r="H253" s="409"/>
      <c r="I253" s="306"/>
      <c r="J253" s="409"/>
      <c r="K253" s="409"/>
      <c r="L253" s="303"/>
      <c r="M253" s="391"/>
      <c r="N253" s="405"/>
      <c r="O253" s="406"/>
      <c r="P253" s="406"/>
      <c r="Q253" s="402"/>
      <c r="R253" s="303"/>
      <c r="S253" s="303"/>
      <c r="T253" s="382"/>
      <c r="U253" s="382"/>
      <c r="V253" s="382"/>
      <c r="W253" s="382"/>
      <c r="X253" s="382"/>
      <c r="Y253" s="382"/>
      <c r="Z253" s="382"/>
      <c r="AA253" s="382"/>
      <c r="AB253" s="382"/>
      <c r="AC253" s="382"/>
      <c r="AD253" s="382"/>
      <c r="AE253" s="382"/>
      <c r="AF253" s="382"/>
      <c r="AG253" s="382"/>
      <c r="AH253" s="382"/>
      <c r="AI253" s="382"/>
      <c r="AJ253" s="382"/>
      <c r="AK253" s="382"/>
      <c r="AL253" s="382"/>
      <c r="AM253" s="382"/>
      <c r="AN253" s="382"/>
      <c r="AO253" s="382"/>
      <c r="AP253" s="382"/>
      <c r="AQ253" s="382"/>
      <c r="AR253" s="382"/>
      <c r="AS253" s="382"/>
      <c r="AT253" s="382"/>
      <c r="AU253" s="382"/>
      <c r="AV253" s="382"/>
      <c r="AW253" s="382"/>
      <c r="AX253" s="382"/>
      <c r="AY253" s="382"/>
      <c r="AZ253" s="382"/>
      <c r="BA253" s="382"/>
      <c r="BB253" s="382"/>
      <c r="BC253" s="382"/>
      <c r="BD253" s="382"/>
      <c r="BE253" s="382"/>
      <c r="BF253" s="382"/>
      <c r="BG253" s="382"/>
      <c r="BH253" s="382"/>
      <c r="BI253" s="382"/>
      <c r="BJ253" s="382"/>
      <c r="BK253" s="382"/>
      <c r="BL253" s="382"/>
      <c r="BM253" s="382"/>
      <c r="BN253" s="382"/>
      <c r="BO253" s="382"/>
      <c r="BP253" s="382"/>
      <c r="BQ253" s="382"/>
      <c r="BR253" s="382"/>
    </row>
    <row r="254" spans="1:70" s="485" customFormat="1" ht="11.25">
      <c r="B254" s="303"/>
      <c r="C254" s="391"/>
      <c r="D254" s="391"/>
      <c r="E254" s="391"/>
      <c r="F254" s="391"/>
      <c r="G254" s="391"/>
      <c r="H254" s="409"/>
      <c r="I254" s="306"/>
      <c r="J254" s="306"/>
      <c r="K254" s="409"/>
      <c r="L254" s="303"/>
      <c r="M254" s="391"/>
      <c r="N254" s="405"/>
      <c r="O254" s="407"/>
      <c r="P254" s="407"/>
      <c r="Q254" s="402"/>
      <c r="R254" s="303"/>
      <c r="S254" s="303"/>
      <c r="T254" s="382"/>
      <c r="U254" s="382"/>
      <c r="V254" s="382"/>
      <c r="W254" s="382"/>
      <c r="X254" s="382"/>
      <c r="Y254" s="382"/>
      <c r="Z254" s="382"/>
      <c r="AA254" s="382"/>
      <c r="AB254" s="382"/>
      <c r="AC254" s="382"/>
      <c r="AD254" s="382"/>
      <c r="AE254" s="382"/>
      <c r="AF254" s="382"/>
      <c r="AG254" s="382"/>
      <c r="AH254" s="382"/>
      <c r="AI254" s="382"/>
      <c r="AJ254" s="382"/>
      <c r="AK254" s="382"/>
      <c r="AL254" s="382"/>
      <c r="AM254" s="382"/>
      <c r="AN254" s="382"/>
      <c r="AO254" s="382"/>
      <c r="AP254" s="382"/>
      <c r="AQ254" s="382"/>
      <c r="AR254" s="382"/>
      <c r="AS254" s="382"/>
      <c r="AT254" s="382"/>
      <c r="AU254" s="382"/>
      <c r="AV254" s="382"/>
      <c r="AW254" s="382"/>
      <c r="AX254" s="382"/>
      <c r="AY254" s="382"/>
      <c r="AZ254" s="382"/>
      <c r="BA254" s="382"/>
      <c r="BB254" s="382"/>
      <c r="BC254" s="382"/>
      <c r="BD254" s="382"/>
      <c r="BE254" s="382"/>
      <c r="BF254" s="382"/>
      <c r="BG254" s="382"/>
      <c r="BH254" s="382"/>
      <c r="BI254" s="382"/>
      <c r="BJ254" s="382"/>
      <c r="BK254" s="382"/>
      <c r="BL254" s="382"/>
      <c r="BM254" s="382"/>
      <c r="BN254" s="382"/>
      <c r="BO254" s="382"/>
      <c r="BP254" s="382"/>
      <c r="BQ254" s="382"/>
      <c r="BR254" s="382"/>
    </row>
    <row r="255" spans="1:70" s="485" customFormat="1" ht="11.25">
      <c r="B255" s="303"/>
      <c r="C255" s="391"/>
      <c r="D255" s="391"/>
      <c r="E255" s="391"/>
      <c r="F255" s="391"/>
      <c r="G255" s="391"/>
      <c r="H255" s="409"/>
      <c r="I255" s="306"/>
      <c r="J255" s="306"/>
      <c r="K255" s="409"/>
      <c r="L255" s="303"/>
      <c r="M255" s="391"/>
      <c r="N255" s="405"/>
      <c r="O255" s="406"/>
      <c r="P255" s="407"/>
      <c r="Q255" s="402"/>
      <c r="R255" s="303"/>
      <c r="S255" s="303"/>
      <c r="T255" s="382"/>
      <c r="U255" s="382"/>
      <c r="V255" s="382"/>
      <c r="W255" s="382"/>
      <c r="X255" s="382"/>
      <c r="Y255" s="382"/>
      <c r="Z255" s="382"/>
      <c r="AA255" s="382"/>
      <c r="AB255" s="382"/>
      <c r="AC255" s="382"/>
      <c r="AD255" s="382"/>
      <c r="AE255" s="382"/>
      <c r="AF255" s="382"/>
      <c r="AG255" s="382"/>
      <c r="AH255" s="382"/>
      <c r="AI255" s="382"/>
      <c r="AJ255" s="382"/>
      <c r="AK255" s="382"/>
      <c r="AL255" s="382"/>
      <c r="AM255" s="382"/>
      <c r="AN255" s="382"/>
      <c r="AO255" s="382"/>
      <c r="AP255" s="382"/>
      <c r="AQ255" s="382"/>
      <c r="AR255" s="382"/>
      <c r="AS255" s="382"/>
      <c r="AT255" s="382"/>
      <c r="AU255" s="382"/>
      <c r="AV255" s="382"/>
      <c r="AW255" s="382"/>
      <c r="AX255" s="382"/>
      <c r="AY255" s="382"/>
      <c r="AZ255" s="382"/>
      <c r="BA255" s="382"/>
      <c r="BB255" s="382"/>
      <c r="BC255" s="382"/>
      <c r="BD255" s="382"/>
      <c r="BE255" s="382"/>
      <c r="BF255" s="382"/>
      <c r="BG255" s="382"/>
      <c r="BH255" s="382"/>
      <c r="BI255" s="382"/>
      <c r="BJ255" s="382"/>
      <c r="BK255" s="382"/>
      <c r="BL255" s="382"/>
      <c r="BM255" s="382"/>
      <c r="BN255" s="382"/>
      <c r="BO255" s="382"/>
      <c r="BP255" s="382"/>
      <c r="BQ255" s="382"/>
      <c r="BR255" s="382"/>
    </row>
    <row r="256" spans="1:70" s="485" customFormat="1" ht="11.25">
      <c r="B256" s="303"/>
      <c r="C256" s="391"/>
      <c r="D256" s="409"/>
      <c r="E256" s="409"/>
      <c r="F256" s="409"/>
      <c r="G256" s="391"/>
      <c r="H256" s="409"/>
      <c r="I256" s="306"/>
      <c r="J256" s="409"/>
      <c r="K256" s="409"/>
      <c r="L256" s="303"/>
      <c r="M256" s="391"/>
      <c r="N256" s="405"/>
      <c r="O256" s="406"/>
      <c r="P256" s="406"/>
      <c r="Q256" s="402"/>
      <c r="R256" s="303"/>
      <c r="S256" s="303"/>
      <c r="T256" s="382"/>
      <c r="U256" s="382"/>
      <c r="V256" s="382"/>
      <c r="W256" s="382"/>
      <c r="X256" s="382"/>
      <c r="Y256" s="382"/>
      <c r="Z256" s="382"/>
      <c r="AA256" s="382"/>
      <c r="AB256" s="382"/>
      <c r="AC256" s="382"/>
      <c r="AD256" s="382"/>
      <c r="AE256" s="382"/>
      <c r="AF256" s="382"/>
      <c r="AG256" s="382"/>
      <c r="AH256" s="382"/>
      <c r="AI256" s="382"/>
      <c r="AJ256" s="382"/>
      <c r="AK256" s="382"/>
      <c r="AL256" s="382"/>
      <c r="AM256" s="382"/>
      <c r="AN256" s="382"/>
      <c r="AO256" s="382"/>
      <c r="AP256" s="382"/>
      <c r="AQ256" s="382"/>
      <c r="AR256" s="382"/>
      <c r="AS256" s="382"/>
      <c r="AT256" s="382"/>
      <c r="AU256" s="382"/>
      <c r="AV256" s="382"/>
      <c r="AW256" s="382"/>
      <c r="AX256" s="382"/>
      <c r="AY256" s="382"/>
      <c r="AZ256" s="382"/>
      <c r="BA256" s="382"/>
      <c r="BB256" s="382"/>
      <c r="BC256" s="382"/>
      <c r="BD256" s="382"/>
      <c r="BE256" s="382"/>
      <c r="BF256" s="382"/>
      <c r="BG256" s="382"/>
      <c r="BH256" s="382"/>
      <c r="BI256" s="382"/>
      <c r="BJ256" s="382"/>
      <c r="BK256" s="382"/>
      <c r="BL256" s="382"/>
      <c r="BM256" s="382"/>
      <c r="BN256" s="382"/>
      <c r="BO256" s="382"/>
      <c r="BP256" s="382"/>
      <c r="BQ256" s="382"/>
      <c r="BR256" s="382"/>
    </row>
    <row r="257" spans="2:70" s="485" customFormat="1" ht="11.25">
      <c r="B257" s="303"/>
      <c r="C257" s="391"/>
      <c r="D257" s="391"/>
      <c r="E257" s="391"/>
      <c r="F257" s="391"/>
      <c r="G257" s="391"/>
      <c r="H257" s="409"/>
      <c r="I257" s="306"/>
      <c r="J257" s="306"/>
      <c r="K257" s="409"/>
      <c r="L257" s="303"/>
      <c r="M257" s="391"/>
      <c r="N257" s="405"/>
      <c r="O257" s="487"/>
      <c r="P257" s="407"/>
      <c r="Q257" s="402"/>
      <c r="R257" s="303"/>
      <c r="S257" s="303"/>
      <c r="T257" s="382"/>
      <c r="U257" s="382"/>
      <c r="V257" s="382"/>
      <c r="W257" s="382"/>
      <c r="X257" s="382"/>
      <c r="Y257" s="382"/>
      <c r="Z257" s="382"/>
      <c r="AA257" s="382"/>
      <c r="AB257" s="382"/>
      <c r="AC257" s="382"/>
      <c r="AD257" s="382"/>
      <c r="AE257" s="382"/>
      <c r="AF257" s="382"/>
      <c r="AG257" s="382"/>
      <c r="AH257" s="382"/>
      <c r="AI257" s="382"/>
      <c r="AJ257" s="382"/>
      <c r="AK257" s="382"/>
      <c r="AL257" s="382"/>
      <c r="AM257" s="382"/>
      <c r="AN257" s="382"/>
      <c r="AO257" s="382"/>
      <c r="AP257" s="382"/>
      <c r="AQ257" s="382"/>
      <c r="AR257" s="382"/>
      <c r="AS257" s="382"/>
      <c r="AT257" s="382"/>
      <c r="AU257" s="382"/>
      <c r="AV257" s="382"/>
      <c r="AW257" s="382"/>
      <c r="AX257" s="382"/>
      <c r="AY257" s="382"/>
      <c r="AZ257" s="382"/>
      <c r="BA257" s="382"/>
      <c r="BB257" s="382"/>
      <c r="BC257" s="382"/>
      <c r="BD257" s="382"/>
      <c r="BE257" s="382"/>
      <c r="BF257" s="382"/>
      <c r="BG257" s="382"/>
      <c r="BH257" s="382"/>
      <c r="BI257" s="382"/>
      <c r="BJ257" s="382"/>
      <c r="BK257" s="382"/>
      <c r="BL257" s="382"/>
      <c r="BM257" s="382"/>
      <c r="BN257" s="382"/>
      <c r="BO257" s="382"/>
      <c r="BP257" s="382"/>
      <c r="BQ257" s="382"/>
      <c r="BR257" s="382"/>
    </row>
    <row r="258" spans="2:70" s="485" customFormat="1" ht="11.25">
      <c r="B258" s="303"/>
      <c r="C258" s="391"/>
      <c r="D258" s="391"/>
      <c r="E258" s="391"/>
      <c r="F258" s="391"/>
      <c r="G258" s="391"/>
      <c r="H258" s="409"/>
      <c r="I258" s="306"/>
      <c r="J258" s="306"/>
      <c r="K258" s="409"/>
      <c r="L258" s="303"/>
      <c r="M258" s="391"/>
      <c r="N258" s="405"/>
      <c r="O258" s="406"/>
      <c r="P258" s="407"/>
      <c r="Q258" s="402"/>
      <c r="R258" s="303"/>
      <c r="S258" s="303"/>
      <c r="T258" s="382"/>
      <c r="U258" s="382"/>
      <c r="V258" s="382"/>
      <c r="W258" s="382"/>
      <c r="X258" s="382"/>
      <c r="Y258" s="382"/>
      <c r="Z258" s="382"/>
      <c r="AA258" s="382"/>
      <c r="AB258" s="382"/>
      <c r="AC258" s="382"/>
      <c r="AD258" s="382"/>
      <c r="AE258" s="382"/>
      <c r="AF258" s="382"/>
      <c r="AG258" s="382"/>
      <c r="AH258" s="382"/>
      <c r="AI258" s="382"/>
      <c r="AJ258" s="382"/>
      <c r="AK258" s="382"/>
      <c r="AL258" s="382"/>
      <c r="AM258" s="382"/>
      <c r="AN258" s="382"/>
      <c r="AO258" s="382"/>
      <c r="AP258" s="382"/>
      <c r="AQ258" s="382"/>
      <c r="AR258" s="382"/>
      <c r="AS258" s="382"/>
      <c r="AT258" s="382"/>
      <c r="AU258" s="382"/>
      <c r="AV258" s="382"/>
      <c r="AW258" s="382"/>
      <c r="AX258" s="382"/>
      <c r="AY258" s="382"/>
      <c r="AZ258" s="382"/>
      <c r="BA258" s="382"/>
      <c r="BB258" s="382"/>
      <c r="BC258" s="382"/>
      <c r="BD258" s="382"/>
      <c r="BE258" s="382"/>
      <c r="BF258" s="382"/>
      <c r="BG258" s="382"/>
      <c r="BH258" s="382"/>
      <c r="BI258" s="382"/>
      <c r="BJ258" s="382"/>
      <c r="BK258" s="382"/>
      <c r="BL258" s="382"/>
      <c r="BM258" s="382"/>
      <c r="BN258" s="382"/>
      <c r="BO258" s="382"/>
      <c r="BP258" s="382"/>
      <c r="BQ258" s="382"/>
      <c r="BR258" s="382"/>
    </row>
    <row r="259" spans="2:70" s="485" customFormat="1" ht="11.25">
      <c r="B259" s="303"/>
      <c r="C259" s="391"/>
      <c r="D259" s="409"/>
      <c r="E259" s="409"/>
      <c r="F259" s="409"/>
      <c r="G259" s="391"/>
      <c r="H259" s="409"/>
      <c r="I259" s="306"/>
      <c r="J259" s="409"/>
      <c r="K259" s="409"/>
      <c r="L259" s="391"/>
      <c r="M259" s="391"/>
      <c r="N259" s="405"/>
      <c r="O259" s="406"/>
      <c r="P259" s="406"/>
      <c r="Q259" s="402"/>
      <c r="R259" s="303"/>
      <c r="S259" s="303"/>
      <c r="T259" s="382"/>
      <c r="U259" s="382"/>
      <c r="V259" s="382"/>
      <c r="W259" s="382"/>
      <c r="X259" s="382"/>
      <c r="Y259" s="382"/>
      <c r="Z259" s="382"/>
      <c r="AA259" s="382"/>
      <c r="AB259" s="382"/>
      <c r="AC259" s="382"/>
      <c r="AD259" s="382"/>
      <c r="AE259" s="382"/>
      <c r="AF259" s="382"/>
      <c r="AG259" s="382"/>
      <c r="AH259" s="382"/>
      <c r="AI259" s="382"/>
      <c r="AJ259" s="382"/>
      <c r="AK259" s="382"/>
      <c r="AL259" s="382"/>
      <c r="AM259" s="382"/>
      <c r="AN259" s="382"/>
      <c r="AO259" s="382"/>
      <c r="AP259" s="382"/>
      <c r="AQ259" s="382"/>
      <c r="AR259" s="382"/>
      <c r="AS259" s="382"/>
      <c r="AT259" s="382"/>
      <c r="AU259" s="382"/>
      <c r="AV259" s="382"/>
      <c r="AW259" s="382"/>
      <c r="AX259" s="382"/>
      <c r="AY259" s="382"/>
      <c r="AZ259" s="382"/>
      <c r="BA259" s="382"/>
      <c r="BB259" s="382"/>
      <c r="BC259" s="382"/>
      <c r="BD259" s="382"/>
      <c r="BE259" s="382"/>
      <c r="BF259" s="382"/>
      <c r="BG259" s="382"/>
      <c r="BH259" s="382"/>
      <c r="BI259" s="382"/>
      <c r="BJ259" s="382"/>
      <c r="BK259" s="382"/>
      <c r="BL259" s="382"/>
      <c r="BM259" s="382"/>
      <c r="BN259" s="382"/>
      <c r="BO259" s="382"/>
      <c r="BP259" s="382"/>
      <c r="BQ259" s="382"/>
      <c r="BR259" s="382"/>
    </row>
    <row r="260" spans="2:70" s="485" customFormat="1" ht="11.25">
      <c r="B260" s="303"/>
      <c r="C260" s="391"/>
      <c r="D260" s="391"/>
      <c r="E260" s="391"/>
      <c r="F260" s="391"/>
      <c r="G260" s="391"/>
      <c r="H260" s="409"/>
      <c r="I260" s="306"/>
      <c r="J260" s="306"/>
      <c r="K260" s="409"/>
      <c r="L260" s="391"/>
      <c r="M260" s="391"/>
      <c r="N260" s="488"/>
      <c r="O260" s="489"/>
      <c r="P260" s="489"/>
      <c r="Q260" s="303"/>
      <c r="R260" s="303"/>
      <c r="S260" s="303"/>
      <c r="T260" s="382"/>
      <c r="U260" s="382"/>
      <c r="V260" s="382"/>
      <c r="W260" s="382"/>
      <c r="X260" s="382"/>
      <c r="Y260" s="382"/>
      <c r="Z260" s="382"/>
      <c r="AA260" s="382"/>
      <c r="AB260" s="382"/>
      <c r="AC260" s="382"/>
      <c r="AD260" s="382"/>
      <c r="AE260" s="382"/>
      <c r="AF260" s="382"/>
      <c r="AG260" s="382"/>
      <c r="AH260" s="382"/>
      <c r="AI260" s="382"/>
      <c r="AJ260" s="382"/>
      <c r="AK260" s="382"/>
      <c r="AL260" s="382"/>
      <c r="AM260" s="382"/>
      <c r="AN260" s="382"/>
      <c r="AO260" s="382"/>
      <c r="AP260" s="382"/>
      <c r="AQ260" s="382"/>
      <c r="AR260" s="382"/>
      <c r="AS260" s="382"/>
      <c r="AT260" s="382"/>
      <c r="AU260" s="382"/>
      <c r="AV260" s="382"/>
      <c r="AW260" s="382"/>
      <c r="AX260" s="382"/>
      <c r="AY260" s="382"/>
      <c r="AZ260" s="382"/>
      <c r="BA260" s="382"/>
      <c r="BB260" s="382"/>
      <c r="BC260" s="382"/>
      <c r="BD260" s="382"/>
      <c r="BE260" s="382"/>
      <c r="BF260" s="382"/>
      <c r="BG260" s="382"/>
      <c r="BH260" s="382"/>
      <c r="BI260" s="382"/>
      <c r="BJ260" s="382"/>
      <c r="BK260" s="382"/>
      <c r="BL260" s="382"/>
      <c r="BM260" s="382"/>
      <c r="BN260" s="382"/>
      <c r="BO260" s="382"/>
      <c r="BP260" s="382"/>
      <c r="BQ260" s="382"/>
      <c r="BR260" s="382"/>
    </row>
    <row r="261" spans="2:70" s="485" customFormat="1" ht="11.25">
      <c r="B261" s="303"/>
      <c r="C261" s="391"/>
      <c r="D261" s="391"/>
      <c r="E261" s="391"/>
      <c r="F261" s="391"/>
      <c r="G261" s="391"/>
      <c r="H261" s="409"/>
      <c r="I261" s="306"/>
      <c r="J261" s="306"/>
      <c r="K261" s="409"/>
      <c r="L261" s="391"/>
      <c r="M261" s="391"/>
      <c r="N261" s="488"/>
      <c r="O261" s="490"/>
      <c r="P261" s="489"/>
      <c r="Q261" s="303"/>
      <c r="R261" s="303"/>
      <c r="S261" s="303"/>
      <c r="T261" s="382"/>
      <c r="U261" s="382"/>
      <c r="V261" s="382"/>
      <c r="W261" s="382"/>
      <c r="X261" s="382"/>
      <c r="Y261" s="382"/>
      <c r="Z261" s="382"/>
      <c r="AA261" s="382"/>
      <c r="AB261" s="382"/>
      <c r="AC261" s="382"/>
      <c r="AD261" s="382"/>
      <c r="AE261" s="382"/>
      <c r="AF261" s="382"/>
      <c r="AG261" s="382"/>
      <c r="AH261" s="382"/>
      <c r="AI261" s="382"/>
      <c r="AJ261" s="382"/>
      <c r="AK261" s="382"/>
      <c r="AL261" s="382"/>
      <c r="AM261" s="382"/>
      <c r="AN261" s="382"/>
      <c r="AO261" s="382"/>
      <c r="AP261" s="382"/>
      <c r="AQ261" s="382"/>
      <c r="AR261" s="382"/>
      <c r="AS261" s="382"/>
      <c r="AT261" s="382"/>
      <c r="AU261" s="382"/>
      <c r="AV261" s="382"/>
      <c r="AW261" s="382"/>
      <c r="AX261" s="382"/>
      <c r="AY261" s="382"/>
      <c r="AZ261" s="382"/>
      <c r="BA261" s="382"/>
      <c r="BB261" s="382"/>
      <c r="BC261" s="382"/>
      <c r="BD261" s="382"/>
      <c r="BE261" s="382"/>
      <c r="BF261" s="382"/>
      <c r="BG261" s="382"/>
      <c r="BH261" s="382"/>
      <c r="BI261" s="382"/>
      <c r="BJ261" s="382"/>
      <c r="BK261" s="382"/>
      <c r="BL261" s="382"/>
      <c r="BM261" s="382"/>
      <c r="BN261" s="382"/>
      <c r="BO261" s="382"/>
      <c r="BP261" s="382"/>
      <c r="BQ261" s="382"/>
      <c r="BR261" s="382"/>
    </row>
    <row r="262" spans="2:70" s="382" customFormat="1" ht="11.25">
      <c r="B262" s="303"/>
      <c r="C262" s="391"/>
      <c r="D262" s="409"/>
      <c r="E262" s="409"/>
      <c r="F262" s="409"/>
      <c r="G262" s="391"/>
      <c r="H262" s="409"/>
      <c r="I262" s="306"/>
      <c r="J262" s="409"/>
      <c r="K262" s="409"/>
      <c r="L262" s="391"/>
      <c r="M262" s="391"/>
      <c r="N262" s="488"/>
      <c r="O262" s="490"/>
      <c r="P262" s="490"/>
      <c r="Q262" s="303"/>
      <c r="R262" s="303"/>
      <c r="S262" s="303"/>
    </row>
    <row r="263" spans="2:70" s="382" customFormat="1" ht="11.25">
      <c r="B263" s="303"/>
      <c r="C263" s="391"/>
      <c r="D263" s="391"/>
      <c r="E263" s="391"/>
      <c r="F263" s="360"/>
      <c r="G263" s="360"/>
      <c r="H263" s="391"/>
      <c r="I263" s="306"/>
      <c r="J263" s="306"/>
      <c r="K263" s="409"/>
      <c r="L263" s="391"/>
      <c r="M263" s="391"/>
      <c r="N263" s="488"/>
      <c r="O263" s="489"/>
      <c r="P263" s="489"/>
      <c r="Q263" s="303"/>
      <c r="R263" s="303"/>
      <c r="S263" s="303"/>
    </row>
    <row r="264" spans="2:70" s="382" customFormat="1" ht="11.25">
      <c r="B264" s="303"/>
      <c r="C264" s="391"/>
      <c r="D264" s="391"/>
      <c r="E264" s="391"/>
      <c r="F264" s="360"/>
      <c r="G264" s="360"/>
      <c r="H264" s="391"/>
      <c r="I264" s="306"/>
      <c r="J264" s="306"/>
      <c r="K264" s="409"/>
      <c r="L264" s="391"/>
      <c r="M264" s="391"/>
      <c r="N264" s="488"/>
      <c r="O264" s="490"/>
      <c r="P264" s="489"/>
      <c r="Q264" s="303"/>
      <c r="R264" s="303"/>
      <c r="S264" s="303"/>
    </row>
    <row r="265" spans="2:70" s="382" customFormat="1" ht="11.25">
      <c r="B265" s="408"/>
      <c r="C265" s="303"/>
      <c r="D265" s="303"/>
      <c r="E265" s="303"/>
      <c r="F265" s="303"/>
      <c r="G265" s="303"/>
      <c r="H265" s="303"/>
      <c r="I265" s="306"/>
      <c r="J265" s="306"/>
      <c r="K265" s="409"/>
      <c r="L265" s="391"/>
      <c r="M265" s="391"/>
      <c r="N265" s="303"/>
      <c r="O265" s="303"/>
      <c r="P265" s="303"/>
      <c r="Q265" s="303"/>
      <c r="R265" s="303"/>
      <c r="S265" s="303"/>
    </row>
    <row r="266" spans="2:70">
      <c r="B266" s="293"/>
      <c r="C266" s="293"/>
      <c r="D266" s="293"/>
      <c r="E266" s="293"/>
      <c r="F266" s="293"/>
      <c r="G266" s="293"/>
      <c r="H266" s="293"/>
      <c r="I266" s="293"/>
      <c r="J266" s="293"/>
      <c r="K266" s="293"/>
      <c r="L266" s="293"/>
      <c r="M266" s="293"/>
      <c r="N266" s="293"/>
      <c r="O266" s="293"/>
      <c r="P266" s="293"/>
      <c r="Q266" s="293"/>
      <c r="R266" s="293"/>
      <c r="S266" s="293"/>
      <c r="T266" s="356"/>
      <c r="U266" s="356"/>
      <c r="V266" s="356"/>
      <c r="W266" s="356"/>
      <c r="X266" s="356"/>
      <c r="Y266" s="356"/>
      <c r="Z266" s="356"/>
      <c r="AA266" s="356"/>
      <c r="AB266" s="356"/>
      <c r="AC266" s="356"/>
      <c r="AD266" s="356"/>
      <c r="AE266" s="356"/>
      <c r="AF266" s="356"/>
      <c r="AG266" s="356"/>
      <c r="AH266" s="356"/>
      <c r="AI266" s="356"/>
      <c r="AJ266" s="356"/>
      <c r="AK266" s="356"/>
      <c r="AL266" s="356"/>
      <c r="AM266" s="356"/>
      <c r="AN266" s="356"/>
      <c r="AO266" s="356"/>
    </row>
    <row r="267" spans="2:70">
      <c r="B267" s="293"/>
      <c r="C267" s="293"/>
      <c r="D267" s="293"/>
      <c r="E267" s="293"/>
      <c r="F267" s="293"/>
      <c r="G267" s="293"/>
      <c r="H267" s="293"/>
      <c r="I267" s="491"/>
      <c r="J267" s="293"/>
      <c r="K267" s="293"/>
      <c r="L267" s="491"/>
      <c r="M267" s="293"/>
      <c r="N267" s="293"/>
      <c r="O267" s="293"/>
      <c r="P267" s="293"/>
      <c r="Q267" s="293"/>
      <c r="R267" s="293"/>
      <c r="S267" s="293"/>
      <c r="T267" s="356"/>
      <c r="U267" s="356"/>
      <c r="V267" s="356"/>
      <c r="W267" s="356"/>
      <c r="X267" s="356"/>
      <c r="Y267" s="356"/>
      <c r="Z267" s="356"/>
      <c r="AA267" s="356"/>
      <c r="AB267" s="356"/>
      <c r="AC267" s="356"/>
      <c r="AD267" s="356"/>
      <c r="AE267" s="356"/>
      <c r="AF267" s="356"/>
      <c r="AG267" s="356"/>
      <c r="AH267" s="356"/>
      <c r="AI267" s="356"/>
      <c r="AJ267" s="356"/>
      <c r="AK267" s="356"/>
      <c r="AL267" s="356"/>
      <c r="AM267" s="356"/>
      <c r="AN267" s="356"/>
      <c r="AO267" s="356"/>
    </row>
    <row r="268" spans="2:70">
      <c r="B268" s="293"/>
      <c r="C268" s="293"/>
      <c r="D268" s="293"/>
      <c r="E268" s="491"/>
      <c r="F268" s="293"/>
      <c r="G268" s="293"/>
      <c r="H268" s="293"/>
      <c r="I268" s="293"/>
      <c r="J268" s="293"/>
      <c r="K268" s="293"/>
      <c r="L268" s="293"/>
      <c r="M268" s="293"/>
      <c r="N268" s="293"/>
      <c r="O268" s="293"/>
      <c r="P268" s="293"/>
      <c r="Q268" s="293"/>
      <c r="R268" s="293"/>
      <c r="S268" s="293"/>
      <c r="T268" s="356"/>
      <c r="U268" s="356"/>
      <c r="V268" s="356"/>
      <c r="W268" s="356"/>
      <c r="X268" s="356"/>
      <c r="Y268" s="356"/>
      <c r="Z268" s="356"/>
      <c r="AA268" s="356"/>
      <c r="AB268" s="356"/>
      <c r="AC268" s="356"/>
      <c r="AD268" s="356"/>
      <c r="AE268" s="356"/>
      <c r="AF268" s="356"/>
      <c r="AG268" s="356"/>
      <c r="AH268" s="356"/>
      <c r="AI268" s="356"/>
      <c r="AJ268" s="356"/>
      <c r="AK268" s="356"/>
      <c r="AL268" s="356"/>
      <c r="AM268" s="356"/>
      <c r="AN268" s="356"/>
      <c r="AO268" s="356"/>
    </row>
    <row r="269" spans="2:70" s="485" customFormat="1">
      <c r="B269" s="492"/>
      <c r="C269" s="493"/>
      <c r="D269" s="494"/>
      <c r="E269" s="382"/>
      <c r="F269" s="382"/>
      <c r="G269" s="382"/>
      <c r="H269" s="382"/>
      <c r="I269" s="382"/>
      <c r="J269" s="382"/>
      <c r="K269" s="382"/>
      <c r="L269" s="382"/>
      <c r="M269" s="382"/>
      <c r="N269" s="382"/>
      <c r="O269" s="382"/>
      <c r="P269" s="382"/>
      <c r="Q269" s="382"/>
      <c r="R269" s="382"/>
      <c r="S269" s="382"/>
      <c r="T269" s="382"/>
      <c r="U269" s="382"/>
      <c r="V269" s="382"/>
      <c r="W269" s="382"/>
      <c r="X269" s="382"/>
      <c r="Y269" s="382"/>
      <c r="Z269" s="382"/>
      <c r="AA269" s="382"/>
      <c r="AB269" s="382"/>
      <c r="AC269" s="382"/>
      <c r="AD269" s="382"/>
      <c r="AE269" s="382"/>
      <c r="AF269" s="382"/>
      <c r="AG269" s="382"/>
      <c r="AH269" s="382"/>
      <c r="AI269" s="382"/>
      <c r="AJ269" s="382"/>
      <c r="AK269" s="382"/>
      <c r="AL269" s="382"/>
      <c r="AM269" s="382"/>
      <c r="AN269" s="382"/>
      <c r="AO269" s="382"/>
    </row>
    <row r="270" spans="2:70" s="497" customFormat="1" ht="11.25">
      <c r="B270" s="495"/>
      <c r="C270" s="496"/>
      <c r="D270" s="496"/>
      <c r="E270" s="382"/>
      <c r="F270" s="382"/>
      <c r="G270" s="382"/>
      <c r="H270" s="382"/>
      <c r="I270" s="382"/>
      <c r="J270" s="382"/>
      <c r="K270" s="382"/>
      <c r="L270" s="382"/>
      <c r="M270" s="382"/>
      <c r="N270" s="382"/>
      <c r="O270" s="382"/>
      <c r="P270" s="382"/>
      <c r="Q270" s="382"/>
      <c r="R270" s="382"/>
      <c r="S270" s="382"/>
      <c r="T270" s="382"/>
      <c r="U270" s="382"/>
      <c r="V270" s="382"/>
      <c r="W270" s="382"/>
      <c r="X270" s="382"/>
      <c r="Y270" s="382"/>
      <c r="Z270" s="382"/>
      <c r="AA270" s="382"/>
      <c r="AB270" s="382"/>
      <c r="AC270" s="382"/>
      <c r="AD270" s="382"/>
      <c r="AE270" s="382"/>
      <c r="AF270" s="382"/>
      <c r="AG270" s="382"/>
      <c r="AH270" s="382"/>
      <c r="AI270" s="382"/>
      <c r="AJ270" s="382"/>
      <c r="AK270" s="382"/>
      <c r="AL270" s="382"/>
      <c r="AM270" s="382"/>
      <c r="AN270" s="382"/>
      <c r="AO270" s="382"/>
    </row>
    <row r="271" spans="2:70" s="497" customFormat="1" ht="11.25">
      <c r="B271" s="495"/>
      <c r="C271" s="498"/>
      <c r="D271" s="382"/>
      <c r="E271" s="382"/>
      <c r="F271" s="495"/>
      <c r="G271" s="382"/>
      <c r="H271" s="382"/>
      <c r="I271" s="382"/>
      <c r="J271" s="382"/>
      <c r="K271" s="382"/>
      <c r="L271" s="382"/>
      <c r="M271" s="382"/>
      <c r="N271" s="382"/>
      <c r="O271" s="382"/>
      <c r="P271" s="382"/>
      <c r="Q271" s="382"/>
      <c r="R271" s="382"/>
      <c r="S271" s="382"/>
      <c r="T271" s="382"/>
      <c r="U271" s="382"/>
      <c r="V271" s="382"/>
      <c r="W271" s="382"/>
      <c r="X271" s="382"/>
      <c r="Y271" s="382"/>
      <c r="Z271" s="382"/>
      <c r="AA271" s="382"/>
      <c r="AB271" s="382"/>
      <c r="AC271" s="382"/>
      <c r="AD271" s="382"/>
      <c r="AE271" s="382"/>
      <c r="AF271" s="382"/>
      <c r="AG271" s="382"/>
      <c r="AH271" s="382"/>
      <c r="AI271" s="382"/>
      <c r="AJ271" s="382"/>
      <c r="AK271" s="382"/>
      <c r="AL271" s="382"/>
      <c r="AM271" s="382"/>
      <c r="AN271" s="382"/>
      <c r="AO271" s="382"/>
    </row>
    <row r="272" spans="2:70" s="497" customFormat="1" ht="11.25">
      <c r="B272" s="495"/>
      <c r="C272" s="499"/>
      <c r="D272" s="382"/>
      <c r="E272" s="500"/>
      <c r="F272" s="500"/>
      <c r="G272" s="500"/>
      <c r="H272" s="500"/>
      <c r="I272" s="382"/>
      <c r="J272" s="501"/>
      <c r="K272" s="382"/>
      <c r="L272" s="382"/>
      <c r="M272" s="382"/>
      <c r="N272" s="382"/>
      <c r="O272" s="382"/>
      <c r="P272" s="382"/>
      <c r="Q272" s="382"/>
      <c r="R272" s="382"/>
      <c r="S272" s="382"/>
      <c r="T272" s="382"/>
      <c r="U272" s="382"/>
      <c r="V272" s="382"/>
      <c r="W272" s="382"/>
      <c r="X272" s="382"/>
      <c r="Y272" s="382"/>
      <c r="Z272" s="382"/>
      <c r="AA272" s="382"/>
      <c r="AB272" s="382"/>
      <c r="AC272" s="382"/>
      <c r="AD272" s="382"/>
      <c r="AE272" s="382"/>
      <c r="AF272" s="382"/>
      <c r="AG272" s="382"/>
      <c r="AH272" s="382"/>
      <c r="AI272" s="382"/>
      <c r="AJ272" s="382"/>
      <c r="AK272" s="382"/>
      <c r="AL272" s="382"/>
      <c r="AM272" s="382"/>
      <c r="AN272" s="382"/>
      <c r="AO272" s="382"/>
    </row>
    <row r="273" spans="2:41" s="497" customFormat="1" ht="11.25">
      <c r="B273" s="495"/>
      <c r="C273" s="498"/>
      <c r="D273" s="382"/>
      <c r="E273" s="382"/>
      <c r="F273" s="495"/>
      <c r="G273" s="382"/>
      <c r="H273" s="382"/>
      <c r="I273" s="382"/>
      <c r="J273" s="382"/>
      <c r="K273" s="495"/>
      <c r="L273" s="382"/>
      <c r="M273" s="382"/>
      <c r="N273" s="382"/>
      <c r="O273" s="382"/>
      <c r="P273" s="382"/>
      <c r="Q273" s="382"/>
      <c r="R273" s="382"/>
      <c r="S273" s="382"/>
      <c r="T273" s="382"/>
      <c r="U273" s="382"/>
      <c r="V273" s="382"/>
      <c r="W273" s="382"/>
      <c r="X273" s="382"/>
      <c r="Y273" s="382"/>
      <c r="Z273" s="382"/>
      <c r="AA273" s="382"/>
      <c r="AB273" s="382"/>
      <c r="AC273" s="382"/>
      <c r="AD273" s="382"/>
      <c r="AE273" s="382"/>
      <c r="AF273" s="382"/>
      <c r="AG273" s="382"/>
      <c r="AH273" s="382"/>
      <c r="AI273" s="382"/>
      <c r="AJ273" s="382"/>
      <c r="AK273" s="382"/>
      <c r="AL273" s="382"/>
      <c r="AM273" s="382"/>
      <c r="AN273" s="382"/>
      <c r="AO273" s="382"/>
    </row>
    <row r="274" spans="2:41" s="497" customFormat="1" ht="11.25">
      <c r="B274" s="495"/>
      <c r="C274" s="499"/>
      <c r="D274" s="382"/>
      <c r="E274" s="500"/>
      <c r="F274" s="500"/>
      <c r="G274" s="500"/>
      <c r="H274" s="500"/>
      <c r="I274" s="382"/>
      <c r="J274" s="501"/>
      <c r="K274" s="502"/>
      <c r="L274" s="382"/>
      <c r="M274" s="382"/>
      <c r="N274" s="382"/>
      <c r="O274" s="382"/>
      <c r="P274" s="382"/>
      <c r="Q274" s="382"/>
      <c r="R274" s="382"/>
      <c r="S274" s="382"/>
      <c r="T274" s="382"/>
      <c r="U274" s="382"/>
      <c r="V274" s="382"/>
      <c r="W274" s="382"/>
      <c r="X274" s="382"/>
      <c r="Y274" s="382"/>
      <c r="Z274" s="382"/>
      <c r="AA274" s="382"/>
      <c r="AB274" s="382"/>
      <c r="AC274" s="382"/>
      <c r="AD274" s="382"/>
      <c r="AE274" s="382"/>
      <c r="AF274" s="382"/>
      <c r="AG274" s="382"/>
      <c r="AH274" s="382"/>
      <c r="AI274" s="382"/>
      <c r="AJ274" s="382"/>
      <c r="AK274" s="382"/>
      <c r="AL274" s="382"/>
      <c r="AM274" s="382"/>
      <c r="AN274" s="382"/>
      <c r="AO274" s="382"/>
    </row>
    <row r="275" spans="2:41" s="497" customFormat="1" ht="11.25">
      <c r="B275" s="495"/>
      <c r="C275" s="499"/>
      <c r="D275" s="503"/>
      <c r="E275" s="500"/>
      <c r="F275" s="500"/>
      <c r="G275" s="500"/>
      <c r="H275" s="500"/>
      <c r="I275" s="495"/>
      <c r="J275" s="495"/>
      <c r="K275" s="502"/>
      <c r="L275" s="382"/>
      <c r="M275" s="382"/>
      <c r="N275" s="382"/>
      <c r="O275" s="382"/>
      <c r="P275" s="382"/>
      <c r="Q275" s="382"/>
      <c r="R275" s="382"/>
      <c r="S275" s="382"/>
      <c r="T275" s="382"/>
      <c r="U275" s="382"/>
      <c r="V275" s="382"/>
      <c r="W275" s="382"/>
      <c r="X275" s="382"/>
      <c r="Y275" s="382"/>
      <c r="Z275" s="382"/>
      <c r="AA275" s="382"/>
      <c r="AB275" s="382"/>
      <c r="AC275" s="382"/>
      <c r="AD275" s="382"/>
      <c r="AE275" s="382"/>
      <c r="AF275" s="382"/>
      <c r="AG275" s="382"/>
      <c r="AH275" s="382"/>
      <c r="AI275" s="382"/>
      <c r="AJ275" s="382"/>
      <c r="AK275" s="382"/>
      <c r="AL275" s="382"/>
      <c r="AM275" s="382"/>
      <c r="AN275" s="382"/>
      <c r="AO275" s="382"/>
    </row>
    <row r="276" spans="2:41" s="497" customFormat="1" ht="11.25">
      <c r="B276" s="499"/>
      <c r="C276" s="382"/>
      <c r="D276" s="504"/>
      <c r="E276" s="500"/>
      <c r="F276" s="505"/>
      <c r="G276" s="506"/>
      <c r="H276" s="500"/>
      <c r="I276" s="502"/>
      <c r="J276" s="502"/>
      <c r="K276" s="502"/>
      <c r="L276" s="382"/>
      <c r="M276" s="382"/>
      <c r="N276" s="382"/>
      <c r="O276" s="382"/>
      <c r="P276" s="382"/>
      <c r="Q276" s="382"/>
      <c r="R276" s="382"/>
      <c r="S276" s="382"/>
      <c r="T276" s="382"/>
      <c r="U276" s="382"/>
      <c r="V276" s="382"/>
      <c r="W276" s="382"/>
      <c r="X276" s="382"/>
      <c r="Y276" s="382"/>
      <c r="Z276" s="382"/>
      <c r="AA276" s="382"/>
      <c r="AB276" s="382"/>
      <c r="AC276" s="382"/>
      <c r="AD276" s="382"/>
      <c r="AE276" s="382"/>
      <c r="AF276" s="382"/>
      <c r="AG276" s="382"/>
      <c r="AH276" s="382"/>
      <c r="AI276" s="382"/>
      <c r="AJ276" s="382"/>
      <c r="AK276" s="382"/>
      <c r="AL276" s="382"/>
      <c r="AM276" s="382"/>
      <c r="AN276" s="382"/>
      <c r="AO276" s="382"/>
    </row>
    <row r="277" spans="2:41" s="497" customFormat="1" ht="11.25">
      <c r="B277" s="499"/>
      <c r="C277" s="382"/>
      <c r="D277" s="504"/>
      <c r="E277" s="500"/>
      <c r="F277" s="500"/>
      <c r="G277" s="500"/>
      <c r="H277" s="500"/>
      <c r="I277" s="502"/>
      <c r="J277" s="502"/>
      <c r="K277" s="502"/>
      <c r="L277" s="382"/>
      <c r="M277" s="382"/>
      <c r="N277" s="382"/>
      <c r="O277" s="382"/>
      <c r="P277" s="382"/>
      <c r="Q277" s="382"/>
      <c r="R277" s="382"/>
      <c r="S277" s="382"/>
      <c r="T277" s="382"/>
      <c r="U277" s="382"/>
      <c r="V277" s="382"/>
      <c r="W277" s="382"/>
      <c r="X277" s="382"/>
      <c r="Y277" s="382"/>
      <c r="Z277" s="382"/>
      <c r="AA277" s="382"/>
      <c r="AB277" s="382"/>
      <c r="AC277" s="382"/>
      <c r="AD277" s="382"/>
      <c r="AE277" s="382"/>
      <c r="AF277" s="382"/>
      <c r="AG277" s="382"/>
      <c r="AH277" s="382"/>
      <c r="AI277" s="382"/>
      <c r="AJ277" s="382"/>
      <c r="AK277" s="382"/>
      <c r="AL277" s="382"/>
      <c r="AM277" s="382"/>
      <c r="AN277" s="382"/>
      <c r="AO277" s="382"/>
    </row>
    <row r="278" spans="2:41" s="497" customFormat="1" ht="11.25">
      <c r="B278" s="499"/>
      <c r="C278" s="382"/>
      <c r="D278" s="504"/>
      <c r="E278" s="500"/>
      <c r="F278" s="500"/>
      <c r="G278" s="500"/>
      <c r="H278" s="500"/>
      <c r="I278" s="502"/>
      <c r="J278" s="502"/>
      <c r="K278" s="502"/>
      <c r="L278" s="382"/>
      <c r="M278" s="382"/>
      <c r="N278" s="382"/>
      <c r="O278" s="382"/>
      <c r="P278" s="382"/>
      <c r="Q278" s="382"/>
      <c r="R278" s="382"/>
      <c r="S278" s="382"/>
      <c r="T278" s="382"/>
      <c r="U278" s="382"/>
      <c r="V278" s="382"/>
      <c r="W278" s="382"/>
      <c r="X278" s="382"/>
      <c r="Y278" s="382"/>
      <c r="Z278" s="382"/>
      <c r="AA278" s="382"/>
      <c r="AB278" s="382"/>
      <c r="AC278" s="382"/>
      <c r="AD278" s="382"/>
      <c r="AE278" s="382"/>
      <c r="AF278" s="382"/>
      <c r="AG278" s="382"/>
      <c r="AH278" s="382"/>
      <c r="AI278" s="382"/>
      <c r="AJ278" s="382"/>
      <c r="AK278" s="382"/>
      <c r="AL278" s="382"/>
      <c r="AM278" s="382"/>
      <c r="AN278" s="382"/>
      <c r="AO278" s="382"/>
    </row>
    <row r="279" spans="2:41" s="497" customFormat="1" ht="11.25">
      <c r="B279" s="499"/>
      <c r="C279" s="382"/>
      <c r="D279" s="504"/>
      <c r="E279" s="500"/>
      <c r="F279" s="500"/>
      <c r="G279" s="500"/>
      <c r="H279" s="500"/>
      <c r="I279" s="502"/>
      <c r="J279" s="502"/>
      <c r="K279" s="502"/>
      <c r="L279" s="382"/>
      <c r="M279" s="382"/>
      <c r="N279" s="382"/>
      <c r="O279" s="382"/>
      <c r="P279" s="382"/>
      <c r="Q279" s="382"/>
      <c r="R279" s="382"/>
      <c r="S279" s="382"/>
      <c r="T279" s="382"/>
      <c r="U279" s="382"/>
      <c r="V279" s="382"/>
      <c r="W279" s="382"/>
      <c r="X279" s="382"/>
      <c r="Y279" s="382"/>
      <c r="Z279" s="382"/>
      <c r="AA279" s="382"/>
      <c r="AB279" s="382"/>
      <c r="AC279" s="382"/>
      <c r="AD279" s="382"/>
      <c r="AE279" s="382"/>
      <c r="AF279" s="382"/>
      <c r="AG279" s="382"/>
      <c r="AH279" s="382"/>
      <c r="AI279" s="382"/>
      <c r="AJ279" s="382"/>
      <c r="AK279" s="382"/>
      <c r="AL279" s="382"/>
      <c r="AM279" s="382"/>
      <c r="AN279" s="382"/>
      <c r="AO279" s="382"/>
    </row>
    <row r="280" spans="2:41" s="497" customFormat="1" ht="11.25">
      <c r="B280" s="499"/>
      <c r="C280" s="382"/>
      <c r="D280" s="504"/>
      <c r="E280" s="500"/>
      <c r="F280" s="500"/>
      <c r="G280" s="500"/>
      <c r="H280" s="500"/>
      <c r="I280" s="502"/>
      <c r="J280" s="502"/>
      <c r="K280" s="502"/>
      <c r="L280" s="382"/>
      <c r="M280" s="382"/>
      <c r="N280" s="382"/>
      <c r="O280" s="382"/>
      <c r="P280" s="382"/>
      <c r="Q280" s="382"/>
      <c r="R280" s="382"/>
      <c r="S280" s="382"/>
      <c r="T280" s="382"/>
      <c r="U280" s="382"/>
      <c r="V280" s="382"/>
      <c r="W280" s="382"/>
      <c r="X280" s="382"/>
      <c r="Y280" s="382"/>
      <c r="Z280" s="382"/>
      <c r="AA280" s="382"/>
      <c r="AB280" s="382"/>
      <c r="AC280" s="382"/>
      <c r="AD280" s="382"/>
      <c r="AE280" s="382"/>
      <c r="AF280" s="382"/>
      <c r="AG280" s="382"/>
      <c r="AH280" s="382"/>
      <c r="AI280" s="382"/>
      <c r="AJ280" s="382"/>
      <c r="AK280" s="382"/>
      <c r="AL280" s="382"/>
      <c r="AM280" s="382"/>
      <c r="AN280" s="382"/>
      <c r="AO280" s="382"/>
    </row>
    <row r="281" spans="2:41" s="497" customFormat="1" ht="11.25">
      <c r="B281" s="499"/>
      <c r="C281" s="382"/>
      <c r="D281" s="504"/>
      <c r="E281" s="500"/>
      <c r="F281" s="500"/>
      <c r="G281" s="500"/>
      <c r="H281" s="500"/>
      <c r="I281" s="502"/>
      <c r="J281" s="502"/>
      <c r="K281" s="502"/>
      <c r="L281" s="382"/>
      <c r="M281" s="382"/>
      <c r="N281" s="382"/>
      <c r="O281" s="382"/>
      <c r="P281" s="382"/>
      <c r="Q281" s="382"/>
      <c r="R281" s="382"/>
      <c r="S281" s="382"/>
      <c r="T281" s="382"/>
      <c r="U281" s="382"/>
      <c r="V281" s="382"/>
      <c r="W281" s="382"/>
      <c r="X281" s="382"/>
      <c r="Y281" s="382"/>
      <c r="Z281" s="382"/>
      <c r="AA281" s="382"/>
      <c r="AB281" s="382"/>
      <c r="AC281" s="382"/>
      <c r="AD281" s="382"/>
      <c r="AE281" s="382"/>
      <c r="AF281" s="382"/>
      <c r="AG281" s="382"/>
      <c r="AH281" s="382"/>
      <c r="AI281" s="382"/>
      <c r="AJ281" s="382"/>
      <c r="AK281" s="382"/>
      <c r="AL281" s="382"/>
      <c r="AM281" s="382"/>
      <c r="AN281" s="382"/>
      <c r="AO281" s="382"/>
    </row>
    <row r="282" spans="2:41" s="497" customFormat="1" ht="11.25">
      <c r="B282" s="499"/>
      <c r="C282" s="382"/>
      <c r="D282" s="504"/>
      <c r="E282" s="500"/>
      <c r="F282" s="500"/>
      <c r="G282" s="500"/>
      <c r="H282" s="500"/>
      <c r="I282" s="502"/>
      <c r="J282" s="502"/>
      <c r="K282" s="502"/>
      <c r="L282" s="382"/>
      <c r="M282" s="382"/>
      <c r="N282" s="382"/>
      <c r="O282" s="382"/>
      <c r="P282" s="382"/>
      <c r="Q282" s="382"/>
      <c r="R282" s="382"/>
      <c r="S282" s="382"/>
      <c r="T282" s="382"/>
      <c r="U282" s="382"/>
      <c r="V282" s="382"/>
      <c r="W282" s="382"/>
      <c r="X282" s="382"/>
      <c r="Y282" s="382"/>
      <c r="Z282" s="382"/>
      <c r="AA282" s="382"/>
      <c r="AB282" s="382"/>
      <c r="AC282" s="382"/>
      <c r="AD282" s="382"/>
      <c r="AE282" s="382"/>
      <c r="AF282" s="382"/>
      <c r="AG282" s="382"/>
      <c r="AH282" s="382"/>
      <c r="AI282" s="382"/>
      <c r="AJ282" s="382"/>
      <c r="AK282" s="382"/>
      <c r="AL282" s="382"/>
      <c r="AM282" s="382"/>
      <c r="AN282" s="382"/>
      <c r="AO282" s="382"/>
    </row>
    <row r="283" spans="2:41" s="497" customFormat="1" ht="11.25">
      <c r="B283" s="499"/>
      <c r="C283" s="382"/>
      <c r="D283" s="504"/>
      <c r="E283" s="500"/>
      <c r="F283" s="500"/>
      <c r="G283" s="500"/>
      <c r="H283" s="500"/>
      <c r="I283" s="502"/>
      <c r="J283" s="502"/>
      <c r="K283" s="502"/>
      <c r="L283" s="382"/>
      <c r="M283" s="382"/>
      <c r="N283" s="382"/>
      <c r="O283" s="382"/>
      <c r="P283" s="382"/>
      <c r="Q283" s="382"/>
      <c r="R283" s="382"/>
      <c r="S283" s="382"/>
      <c r="T283" s="382"/>
      <c r="U283" s="382"/>
      <c r="V283" s="382"/>
      <c r="W283" s="382"/>
      <c r="X283" s="382"/>
      <c r="Y283" s="382"/>
      <c r="Z283" s="382"/>
      <c r="AA283" s="382"/>
      <c r="AB283" s="382"/>
      <c r="AC283" s="382"/>
      <c r="AD283" s="382"/>
      <c r="AE283" s="382"/>
      <c r="AF283" s="382"/>
      <c r="AG283" s="382"/>
      <c r="AH283" s="382"/>
      <c r="AI283" s="382"/>
      <c r="AJ283" s="382"/>
      <c r="AK283" s="382"/>
      <c r="AL283" s="382"/>
      <c r="AM283" s="382"/>
      <c r="AN283" s="382"/>
      <c r="AO283" s="382"/>
    </row>
    <row r="284" spans="2:41" s="497" customFormat="1" ht="11.25">
      <c r="B284" s="499"/>
      <c r="C284" s="382"/>
      <c r="D284" s="504"/>
      <c r="E284" s="507"/>
      <c r="F284" s="500"/>
      <c r="G284" s="500"/>
      <c r="H284" s="505"/>
      <c r="I284" s="502"/>
      <c r="J284" s="502"/>
      <c r="K284" s="502"/>
      <c r="L284" s="382"/>
      <c r="M284" s="382"/>
      <c r="N284" s="382"/>
      <c r="O284" s="382"/>
      <c r="P284" s="382"/>
      <c r="Q284" s="382"/>
      <c r="R284" s="382"/>
      <c r="S284" s="382"/>
      <c r="T284" s="382"/>
      <c r="U284" s="382"/>
      <c r="V284" s="382"/>
      <c r="W284" s="382"/>
      <c r="X284" s="382"/>
      <c r="Y284" s="382"/>
      <c r="Z284" s="382"/>
      <c r="AA284" s="382"/>
      <c r="AB284" s="382"/>
      <c r="AC284" s="382"/>
      <c r="AD284" s="382"/>
      <c r="AE284" s="382"/>
      <c r="AF284" s="382"/>
      <c r="AG284" s="382"/>
      <c r="AH284" s="382"/>
      <c r="AI284" s="382"/>
      <c r="AJ284" s="382"/>
      <c r="AK284" s="382"/>
      <c r="AL284" s="382"/>
      <c r="AM284" s="382"/>
      <c r="AN284" s="382"/>
      <c r="AO284" s="382"/>
    </row>
    <row r="285" spans="2:41" s="497" customFormat="1" ht="11.25">
      <c r="B285" s="499"/>
      <c r="C285" s="382"/>
      <c r="D285" s="504"/>
      <c r="E285" s="507"/>
      <c r="F285" s="505"/>
      <c r="G285" s="500"/>
      <c r="H285" s="505"/>
      <c r="I285" s="502"/>
      <c r="J285" s="502"/>
      <c r="K285" s="502"/>
      <c r="L285" s="382"/>
      <c r="M285" s="382"/>
      <c r="N285" s="382"/>
      <c r="O285" s="382"/>
      <c r="P285" s="382"/>
      <c r="Q285" s="382"/>
      <c r="R285" s="382"/>
      <c r="S285" s="382"/>
      <c r="T285" s="382"/>
      <c r="U285" s="382"/>
      <c r="V285" s="382"/>
      <c r="W285" s="382"/>
      <c r="X285" s="382"/>
      <c r="Y285" s="382"/>
      <c r="Z285" s="382"/>
      <c r="AA285" s="382"/>
      <c r="AB285" s="382"/>
      <c r="AC285" s="382"/>
      <c r="AD285" s="382"/>
      <c r="AE285" s="382"/>
      <c r="AF285" s="382"/>
      <c r="AG285" s="382"/>
      <c r="AH285" s="382"/>
      <c r="AI285" s="382"/>
      <c r="AJ285" s="382"/>
      <c r="AK285" s="382"/>
      <c r="AL285" s="382"/>
      <c r="AM285" s="382"/>
      <c r="AN285" s="382"/>
      <c r="AO285" s="382"/>
    </row>
    <row r="286" spans="2:41" s="497" customFormat="1" ht="11.25">
      <c r="B286" s="382"/>
      <c r="C286" s="382"/>
      <c r="D286" s="504"/>
      <c r="E286" s="507"/>
      <c r="F286" s="505"/>
      <c r="G286" s="500"/>
      <c r="H286" s="505"/>
      <c r="I286" s="502"/>
      <c r="J286" s="502"/>
      <c r="K286" s="382"/>
      <c r="L286" s="382"/>
      <c r="M286" s="382"/>
      <c r="N286" s="382"/>
      <c r="O286" s="382"/>
      <c r="P286" s="382"/>
      <c r="Q286" s="382"/>
      <c r="R286" s="382"/>
      <c r="S286" s="382"/>
      <c r="T286" s="382"/>
      <c r="U286" s="382"/>
      <c r="V286" s="382"/>
      <c r="W286" s="382"/>
      <c r="X286" s="382"/>
      <c r="Y286" s="382"/>
      <c r="Z286" s="382"/>
      <c r="AA286" s="382"/>
      <c r="AB286" s="382"/>
      <c r="AC286" s="382"/>
      <c r="AD286" s="382"/>
      <c r="AE286" s="382"/>
      <c r="AF286" s="382"/>
      <c r="AG286" s="382"/>
      <c r="AH286" s="382"/>
      <c r="AI286" s="382"/>
      <c r="AJ286" s="382"/>
      <c r="AK286" s="382"/>
      <c r="AL286" s="382"/>
      <c r="AM286" s="382"/>
      <c r="AN286" s="382"/>
      <c r="AO286" s="382"/>
    </row>
    <row r="287" spans="2:41">
      <c r="B287" s="499"/>
      <c r="C287" s="382"/>
      <c r="D287" s="504"/>
      <c r="E287" s="500"/>
      <c r="F287" s="500"/>
      <c r="G287" s="500"/>
      <c r="H287" s="500"/>
      <c r="I287" s="502"/>
      <c r="J287" s="502"/>
      <c r="K287" s="356"/>
      <c r="L287" s="356"/>
      <c r="M287" s="356"/>
      <c r="N287" s="356"/>
      <c r="O287" s="356"/>
      <c r="P287" s="356"/>
      <c r="Q287" s="356"/>
      <c r="R287" s="356"/>
      <c r="S287" s="356"/>
    </row>
    <row r="288" spans="2:41">
      <c r="B288" s="382"/>
      <c r="C288" s="382"/>
      <c r="D288" s="508"/>
      <c r="E288" s="509"/>
      <c r="F288" s="500"/>
      <c r="G288" s="382"/>
      <c r="H288" s="382"/>
      <c r="I288" s="382"/>
      <c r="J288" s="382"/>
      <c r="K288" s="356"/>
      <c r="L288" s="356"/>
      <c r="M288" s="356"/>
      <c r="N288" s="356"/>
      <c r="O288" s="356"/>
      <c r="P288" s="356"/>
      <c r="Q288" s="356"/>
      <c r="R288" s="356"/>
      <c r="S288" s="356"/>
    </row>
    <row r="289" spans="2:19">
      <c r="B289" s="494"/>
      <c r="C289" s="494"/>
      <c r="D289" s="494"/>
      <c r="E289" s="494"/>
      <c r="F289" s="494"/>
      <c r="G289" s="494"/>
      <c r="H289" s="494"/>
      <c r="I289" s="494"/>
      <c r="J289" s="494"/>
      <c r="K289" s="356"/>
      <c r="L289" s="356"/>
      <c r="M289" s="356"/>
      <c r="N289" s="356"/>
      <c r="O289" s="356"/>
      <c r="P289" s="356"/>
      <c r="Q289" s="356"/>
      <c r="R289" s="356"/>
      <c r="S289" s="356"/>
    </row>
    <row r="290" spans="2:19">
      <c r="B290" s="494"/>
      <c r="C290" s="494"/>
      <c r="D290" s="494"/>
      <c r="E290" s="494"/>
      <c r="F290" s="494"/>
      <c r="G290" s="494"/>
      <c r="H290" s="494"/>
      <c r="I290" s="494"/>
      <c r="J290" s="494"/>
      <c r="K290" s="356"/>
      <c r="L290" s="356"/>
      <c r="M290" s="356"/>
      <c r="N290" s="356"/>
      <c r="O290" s="356"/>
      <c r="P290" s="356"/>
      <c r="Q290" s="356"/>
      <c r="R290" s="356"/>
      <c r="S290" s="356"/>
    </row>
    <row r="291" spans="2:19">
      <c r="B291" s="494"/>
      <c r="C291" s="494"/>
      <c r="D291" s="494"/>
      <c r="E291" s="494"/>
      <c r="F291" s="494"/>
      <c r="G291" s="494"/>
      <c r="H291" s="494"/>
      <c r="I291" s="494"/>
      <c r="J291" s="494"/>
      <c r="K291" s="356"/>
      <c r="L291" s="356"/>
      <c r="M291" s="356"/>
      <c r="N291" s="356"/>
      <c r="O291" s="356"/>
      <c r="P291" s="356"/>
      <c r="Q291" s="356"/>
      <c r="R291" s="356"/>
      <c r="S291" s="356"/>
    </row>
    <row r="292" spans="2:19">
      <c r="B292" s="494"/>
      <c r="C292" s="494"/>
      <c r="D292" s="494"/>
      <c r="E292" s="494"/>
      <c r="F292" s="494"/>
      <c r="G292" s="494"/>
      <c r="H292" s="494"/>
      <c r="I292" s="494"/>
      <c r="J292" s="494"/>
      <c r="K292" s="356"/>
      <c r="L292" s="356"/>
      <c r="M292" s="356"/>
      <c r="N292" s="356"/>
      <c r="O292" s="356"/>
      <c r="P292" s="356"/>
      <c r="Q292" s="356"/>
      <c r="R292" s="356"/>
      <c r="S292" s="356"/>
    </row>
    <row r="293" spans="2:19">
      <c r="B293" s="494"/>
      <c r="C293" s="494"/>
      <c r="D293" s="494"/>
      <c r="E293" s="494"/>
      <c r="F293" s="494"/>
      <c r="G293" s="494"/>
      <c r="H293" s="494"/>
      <c r="I293" s="494"/>
      <c r="J293" s="494"/>
      <c r="K293" s="356"/>
      <c r="L293" s="356"/>
      <c r="M293" s="356"/>
      <c r="N293" s="356"/>
      <c r="O293" s="356"/>
      <c r="P293" s="356"/>
      <c r="Q293" s="356"/>
      <c r="R293" s="356"/>
      <c r="S293" s="356"/>
    </row>
    <row r="294" spans="2:19">
      <c r="B294" s="494"/>
      <c r="C294" s="494"/>
      <c r="D294" s="494"/>
      <c r="E294" s="494"/>
      <c r="F294" s="494"/>
      <c r="G294" s="494"/>
      <c r="H294" s="494"/>
      <c r="I294" s="494"/>
      <c r="J294" s="494"/>
      <c r="K294" s="356"/>
      <c r="L294" s="356"/>
      <c r="M294" s="356"/>
      <c r="N294" s="356"/>
      <c r="O294" s="356"/>
      <c r="P294" s="356"/>
      <c r="Q294" s="356"/>
      <c r="R294" s="356"/>
      <c r="S294" s="356"/>
    </row>
    <row r="295" spans="2:19">
      <c r="B295" s="356"/>
      <c r="C295" s="356"/>
      <c r="D295" s="356"/>
      <c r="E295" s="356"/>
      <c r="F295" s="356"/>
      <c r="G295" s="356"/>
      <c r="H295" s="356"/>
      <c r="I295" s="356"/>
      <c r="J295" s="356"/>
      <c r="K295" s="356"/>
      <c r="L295" s="356"/>
      <c r="M295" s="356"/>
      <c r="N295" s="356"/>
      <c r="O295" s="356"/>
      <c r="P295" s="356"/>
      <c r="Q295" s="356"/>
      <c r="R295" s="356"/>
      <c r="S295" s="356"/>
    </row>
    <row r="296" spans="2:19">
      <c r="B296" s="356"/>
      <c r="C296" s="356"/>
      <c r="D296" s="356"/>
      <c r="E296" s="356"/>
      <c r="F296" s="356"/>
      <c r="G296" s="356"/>
      <c r="H296" s="356"/>
      <c r="I296" s="356"/>
      <c r="J296" s="356"/>
      <c r="K296" s="356"/>
      <c r="L296" s="356"/>
      <c r="M296" s="356"/>
      <c r="N296" s="356"/>
      <c r="O296" s="356"/>
      <c r="P296" s="356"/>
      <c r="Q296" s="356"/>
      <c r="R296" s="356"/>
      <c r="S296" s="356"/>
    </row>
    <row r="297" spans="2:19">
      <c r="B297" s="356"/>
      <c r="C297" s="356"/>
      <c r="D297" s="356"/>
      <c r="E297" s="356"/>
      <c r="F297" s="356"/>
      <c r="G297" s="356"/>
      <c r="H297" s="356"/>
      <c r="I297" s="356"/>
      <c r="J297" s="356"/>
      <c r="K297" s="356"/>
      <c r="L297" s="356"/>
      <c r="M297" s="356"/>
      <c r="N297" s="356"/>
      <c r="O297" s="356"/>
      <c r="P297" s="356"/>
      <c r="Q297" s="356"/>
      <c r="R297" s="356"/>
      <c r="S297" s="356"/>
    </row>
    <row r="298" spans="2:19">
      <c r="B298" s="356"/>
      <c r="C298" s="356"/>
      <c r="D298" s="356"/>
      <c r="E298" s="356"/>
      <c r="F298" s="356"/>
      <c r="G298" s="356"/>
      <c r="H298" s="356"/>
      <c r="I298" s="356"/>
      <c r="J298" s="356"/>
      <c r="K298" s="356"/>
      <c r="L298" s="356"/>
      <c r="M298" s="356"/>
      <c r="N298" s="356"/>
      <c r="O298" s="356"/>
      <c r="P298" s="356"/>
      <c r="Q298" s="356"/>
      <c r="R298" s="356"/>
      <c r="S298" s="356"/>
    </row>
    <row r="299" spans="2:19">
      <c r="B299" s="356"/>
      <c r="C299" s="356"/>
      <c r="D299" s="356"/>
      <c r="E299" s="356"/>
      <c r="F299" s="356"/>
      <c r="G299" s="356"/>
      <c r="H299" s="356"/>
      <c r="I299" s="356"/>
      <c r="J299" s="356"/>
      <c r="K299" s="356"/>
      <c r="L299" s="356"/>
      <c r="M299" s="356"/>
      <c r="N299" s="356"/>
      <c r="O299" s="356"/>
      <c r="P299" s="356"/>
      <c r="Q299" s="356"/>
      <c r="R299" s="356"/>
      <c r="S299" s="356"/>
    </row>
    <row r="300" spans="2:19">
      <c r="B300" s="356"/>
      <c r="C300" s="356"/>
      <c r="D300" s="356"/>
      <c r="E300" s="356"/>
      <c r="F300" s="356"/>
      <c r="G300" s="356"/>
      <c r="H300" s="356"/>
      <c r="I300" s="356"/>
      <c r="J300" s="356"/>
      <c r="K300" s="356"/>
      <c r="L300" s="356"/>
      <c r="M300" s="356"/>
      <c r="N300" s="356"/>
      <c r="O300" s="356"/>
      <c r="P300" s="356"/>
      <c r="Q300" s="356"/>
      <c r="R300" s="356"/>
      <c r="S300" s="356"/>
    </row>
    <row r="301" spans="2:19">
      <c r="B301" s="356"/>
      <c r="C301" s="356"/>
      <c r="D301" s="356"/>
      <c r="E301" s="356"/>
      <c r="F301" s="356"/>
      <c r="G301" s="356"/>
      <c r="H301" s="356"/>
      <c r="I301" s="356"/>
      <c r="J301" s="356"/>
      <c r="K301" s="356"/>
      <c r="L301" s="356"/>
      <c r="M301" s="356"/>
      <c r="N301" s="356"/>
      <c r="O301" s="356"/>
      <c r="P301" s="356"/>
      <c r="Q301" s="356"/>
      <c r="R301" s="356"/>
      <c r="S301" s="356"/>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2"/>
      <c r="B1" s="52"/>
      <c r="C1" s="52"/>
      <c r="D1" s="52"/>
      <c r="E1" s="52"/>
      <c r="F1" s="52"/>
      <c r="G1" s="52"/>
      <c r="H1" s="52"/>
      <c r="I1" s="52"/>
      <c r="J1" s="52"/>
      <c r="K1" s="52"/>
      <c r="L1" s="46"/>
      <c r="M1" s="52"/>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74"/>
      <c r="E4" s="1"/>
      <c r="F4" s="1"/>
      <c r="G4" s="1"/>
      <c r="H4" s="1"/>
      <c r="I4" s="1"/>
      <c r="J4" s="1"/>
      <c r="K4" s="1"/>
      <c r="L4" s="1"/>
      <c r="M4" s="1"/>
      <c r="N4" s="1"/>
      <c r="O4" s="1"/>
      <c r="P4" s="1"/>
      <c r="Q4" s="1"/>
      <c r="R4" s="1"/>
      <c r="S4" s="1"/>
      <c r="T4" s="1"/>
      <c r="U4" s="1"/>
    </row>
    <row r="5" spans="1:70">
      <c r="B5" s="142"/>
      <c r="C5" s="142"/>
      <c r="D5" s="142"/>
      <c r="E5" s="142"/>
      <c r="F5" s="142"/>
      <c r="G5" s="142"/>
      <c r="H5" s="142"/>
      <c r="I5" s="142"/>
      <c r="J5" s="142"/>
      <c r="K5" s="142"/>
      <c r="L5" s="142"/>
      <c r="M5" s="142"/>
      <c r="N5" s="142"/>
      <c r="O5" s="142"/>
      <c r="P5" s="143"/>
      <c r="Q5" s="142"/>
      <c r="R5" s="142"/>
      <c r="S5" s="142"/>
      <c r="T5" s="142"/>
      <c r="U5" s="142"/>
      <c r="V5" s="142"/>
      <c r="W5" s="142"/>
      <c r="X5" s="1"/>
    </row>
    <row r="6" spans="1:70" ht="18">
      <c r="A6" s="235">
        <v>1</v>
      </c>
      <c r="B6" s="232" t="s">
        <v>362</v>
      </c>
      <c r="C6" s="233"/>
      <c r="D6" s="234"/>
      <c r="E6" s="234"/>
      <c r="F6" s="234"/>
      <c r="G6" s="234"/>
      <c r="H6" s="231"/>
      <c r="I6" s="18"/>
      <c r="J6" s="132"/>
      <c r="K6" s="18"/>
      <c r="L6" s="18"/>
      <c r="M6" s="18"/>
      <c r="N6" s="56"/>
      <c r="O6" s="14"/>
      <c r="P6" s="14"/>
      <c r="Q6" s="18"/>
      <c r="R6" s="18"/>
      <c r="S6" s="143"/>
      <c r="T6" s="142"/>
      <c r="U6" s="142"/>
      <c r="V6" s="142"/>
      <c r="W6" s="142"/>
      <c r="X6" s="1"/>
    </row>
    <row r="7" spans="1:70" s="14" customFormat="1">
      <c r="A7" s="73"/>
      <c r="B7" s="13"/>
      <c r="C7" s="72"/>
      <c r="D7" s="151"/>
      <c r="E7" s="1571" t="s">
        <v>189</v>
      </c>
      <c r="F7" s="1572"/>
      <c r="G7" s="1573"/>
      <c r="H7" s="158"/>
      <c r="M7" s="1574"/>
      <c r="N7" s="1574"/>
      <c r="O7" s="1574"/>
      <c r="P7" s="79"/>
      <c r="Q7" s="18"/>
      <c r="R7" s="18"/>
      <c r="S7" s="18"/>
      <c r="T7" s="18"/>
      <c r="U7" s="18"/>
      <c r="V7" s="18"/>
      <c r="W7" s="18"/>
      <c r="X7" s="18"/>
      <c r="Y7" s="18"/>
    </row>
    <row r="8" spans="1:70" s="79" customFormat="1">
      <c r="A8" s="25"/>
      <c r="B8" s="162"/>
      <c r="C8" s="162"/>
      <c r="D8" s="244"/>
      <c r="E8" s="245" t="s">
        <v>433</v>
      </c>
      <c r="F8" s="161" t="s">
        <v>64</v>
      </c>
      <c r="G8" s="246" t="s">
        <v>63</v>
      </c>
      <c r="H8" s="247" t="s">
        <v>369</v>
      </c>
      <c r="I8" s="161" t="s">
        <v>351</v>
      </c>
      <c r="J8" s="161" t="s">
        <v>639</v>
      </c>
      <c r="K8" s="161" t="s">
        <v>70</v>
      </c>
      <c r="L8" s="161" t="s">
        <v>70</v>
      </c>
      <c r="M8" s="161" t="s">
        <v>347</v>
      </c>
      <c r="N8" s="161" t="s">
        <v>640</v>
      </c>
      <c r="O8" s="54"/>
      <c r="P8" s="54"/>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79" customFormat="1">
      <c r="A9" s="25"/>
      <c r="B9" s="156" t="s">
        <v>66</v>
      </c>
      <c r="C9" s="160" t="s">
        <v>432</v>
      </c>
      <c r="D9" s="238" t="s">
        <v>346</v>
      </c>
      <c r="E9" s="248" t="s">
        <v>354</v>
      </c>
      <c r="F9" s="157" t="s">
        <v>354</v>
      </c>
      <c r="G9" s="243" t="s">
        <v>354</v>
      </c>
      <c r="H9" s="249" t="s">
        <v>354</v>
      </c>
      <c r="I9" s="157" t="s">
        <v>350</v>
      </c>
      <c r="J9" s="157"/>
      <c r="K9" s="157" t="s">
        <v>352</v>
      </c>
      <c r="L9" s="157" t="s">
        <v>452</v>
      </c>
      <c r="M9" s="157" t="s">
        <v>353</v>
      </c>
      <c r="N9" s="157" t="s">
        <v>353</v>
      </c>
      <c r="O9" s="54"/>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79" customFormat="1">
      <c r="A10" s="25"/>
      <c r="B10" s="144" t="s">
        <v>584</v>
      </c>
      <c r="C10" s="54" t="s">
        <v>410</v>
      </c>
      <c r="D10" s="144" t="s">
        <v>69</v>
      </c>
      <c r="E10" s="155">
        <v>0.28000000000000003</v>
      </c>
      <c r="F10" s="155">
        <v>0.1</v>
      </c>
      <c r="G10" s="155">
        <v>0.15</v>
      </c>
      <c r="H10" s="250">
        <v>4</v>
      </c>
      <c r="I10" s="283">
        <v>1</v>
      </c>
      <c r="J10" s="54">
        <v>0.8</v>
      </c>
      <c r="K10" s="54">
        <v>1.05</v>
      </c>
      <c r="L10" s="54"/>
      <c r="M10" s="54"/>
      <c r="N10" s="54"/>
      <c r="O10" s="54"/>
      <c r="P10" s="62"/>
      <c r="Q10" s="68"/>
      <c r="R10" s="62"/>
      <c r="S10" s="62"/>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79" customFormat="1">
      <c r="A11" s="25"/>
      <c r="B11" s="18" t="s">
        <v>585</v>
      </c>
      <c r="C11" s="54" t="s">
        <v>410</v>
      </c>
      <c r="D11" s="144" t="s">
        <v>68</v>
      </c>
      <c r="E11" s="155">
        <v>0.28000000000000003</v>
      </c>
      <c r="F11" s="155">
        <v>0.1</v>
      </c>
      <c r="G11" s="155">
        <v>0.15</v>
      </c>
      <c r="H11" s="250">
        <v>4</v>
      </c>
      <c r="I11" s="283">
        <v>1</v>
      </c>
      <c r="J11" s="54">
        <v>0.8</v>
      </c>
      <c r="K11" s="54">
        <v>1.05</v>
      </c>
      <c r="L11" s="54"/>
      <c r="M11" s="54"/>
      <c r="N11" s="54"/>
      <c r="O11" s="54"/>
      <c r="P11" s="67"/>
      <c r="Q11" s="62"/>
      <c r="R11" s="62"/>
      <c r="S11" s="62"/>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79" customFormat="1">
      <c r="A12" s="25"/>
      <c r="B12" s="18" t="s">
        <v>586</v>
      </c>
      <c r="C12" s="54" t="s">
        <v>410</v>
      </c>
      <c r="D12" s="135" t="s">
        <v>434</v>
      </c>
      <c r="E12" s="155">
        <v>0.25</v>
      </c>
      <c r="F12" s="155">
        <v>0.1</v>
      </c>
      <c r="G12" s="155">
        <v>0.15</v>
      </c>
      <c r="H12" s="250">
        <v>3.5</v>
      </c>
      <c r="I12" s="283">
        <v>1</v>
      </c>
      <c r="J12" s="54">
        <v>0.8</v>
      </c>
      <c r="K12" s="54">
        <v>1.05</v>
      </c>
      <c r="L12" s="54"/>
      <c r="M12" s="54"/>
      <c r="N12" s="54"/>
      <c r="O12" s="18"/>
      <c r="P12" s="64"/>
      <c r="Q12" s="63"/>
      <c r="R12" s="63"/>
      <c r="S12" s="62"/>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79" customFormat="1">
      <c r="A13" s="25"/>
      <c r="B13" s="18" t="s">
        <v>587</v>
      </c>
      <c r="C13" s="54" t="s">
        <v>410</v>
      </c>
      <c r="D13" s="135" t="s">
        <v>435</v>
      </c>
      <c r="E13" s="155">
        <v>0.25</v>
      </c>
      <c r="F13" s="155">
        <v>0.1</v>
      </c>
      <c r="G13" s="155">
        <v>0.15</v>
      </c>
      <c r="H13" s="250">
        <v>3.5</v>
      </c>
      <c r="I13" s="283">
        <v>1</v>
      </c>
      <c r="J13" s="54">
        <v>0.8</v>
      </c>
      <c r="K13" s="54">
        <v>1.05</v>
      </c>
      <c r="L13" s="54"/>
      <c r="M13" s="54"/>
      <c r="N13" s="54"/>
      <c r="O13" s="18"/>
      <c r="P13" s="64"/>
      <c r="Q13" s="65"/>
      <c r="R13" s="65"/>
      <c r="S13" s="62"/>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79" customFormat="1">
      <c r="A14" s="25"/>
      <c r="B14" s="18" t="s">
        <v>588</v>
      </c>
      <c r="C14" s="54" t="s">
        <v>410</v>
      </c>
      <c r="D14" s="135" t="s">
        <v>436</v>
      </c>
      <c r="E14" s="155">
        <v>0.25</v>
      </c>
      <c r="F14" s="155">
        <v>0.1</v>
      </c>
      <c r="G14" s="155">
        <v>0.15</v>
      </c>
      <c r="H14" s="250">
        <v>3.5</v>
      </c>
      <c r="I14" s="283">
        <v>1</v>
      </c>
      <c r="J14" s="54">
        <v>0.8</v>
      </c>
      <c r="K14" s="54">
        <v>1.05</v>
      </c>
      <c r="L14" s="54"/>
      <c r="M14" s="54"/>
      <c r="N14" s="54"/>
      <c r="O14" s="18"/>
      <c r="P14" s="64"/>
      <c r="Q14" s="65"/>
      <c r="R14" s="65"/>
      <c r="S14" s="62"/>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79" customFormat="1">
      <c r="A15" s="25"/>
      <c r="B15" s="18" t="s">
        <v>589</v>
      </c>
      <c r="C15" s="54" t="s">
        <v>410</v>
      </c>
      <c r="D15" s="135" t="s">
        <v>437</v>
      </c>
      <c r="E15" s="155">
        <v>0.25</v>
      </c>
      <c r="F15" s="155">
        <v>0.1</v>
      </c>
      <c r="G15" s="155">
        <v>0.15</v>
      </c>
      <c r="H15" s="250">
        <v>3.5</v>
      </c>
      <c r="I15" s="283">
        <v>1</v>
      </c>
      <c r="J15" s="54">
        <v>0.8</v>
      </c>
      <c r="K15" s="54">
        <v>1.05</v>
      </c>
      <c r="L15" s="54"/>
      <c r="M15" s="54"/>
      <c r="N15" s="54"/>
      <c r="O15" s="18"/>
      <c r="P15" s="64"/>
      <c r="Q15" s="65"/>
      <c r="R15" s="65"/>
      <c r="S15" s="62"/>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79" customFormat="1">
      <c r="A16" s="25"/>
      <c r="B16" s="18" t="s">
        <v>590</v>
      </c>
      <c r="C16" s="54" t="s">
        <v>411</v>
      </c>
      <c r="D16" s="135" t="s">
        <v>69</v>
      </c>
      <c r="E16" s="155">
        <v>0.28000000000000003</v>
      </c>
      <c r="F16" s="155">
        <v>0.8</v>
      </c>
      <c r="G16" s="155">
        <v>0.13</v>
      </c>
      <c r="H16" s="250">
        <v>1.25</v>
      </c>
      <c r="I16" s="283">
        <v>124</v>
      </c>
      <c r="J16" s="54">
        <v>0.8</v>
      </c>
      <c r="K16" s="54">
        <v>130.80000000000001</v>
      </c>
      <c r="L16" s="54">
        <v>160.5</v>
      </c>
      <c r="M16" s="54" t="s">
        <v>349</v>
      </c>
      <c r="N16" s="54">
        <v>16</v>
      </c>
      <c r="O16" s="18"/>
      <c r="P16" s="64"/>
      <c r="Q16" s="65"/>
      <c r="R16" s="65"/>
      <c r="S16" s="62"/>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79" customFormat="1">
      <c r="A17" s="25"/>
      <c r="B17" s="18" t="s">
        <v>591</v>
      </c>
      <c r="C17" s="54" t="s">
        <v>411</v>
      </c>
      <c r="D17" s="135" t="s">
        <v>68</v>
      </c>
      <c r="E17" s="155">
        <v>0.28000000000000003</v>
      </c>
      <c r="F17" s="155">
        <v>0.8</v>
      </c>
      <c r="G17" s="155">
        <v>0.13</v>
      </c>
      <c r="H17" s="250">
        <v>1.28</v>
      </c>
      <c r="I17" s="283">
        <v>124</v>
      </c>
      <c r="J17" s="54">
        <v>0.8</v>
      </c>
      <c r="K17" s="54">
        <v>130.80000000000001</v>
      </c>
      <c r="L17" s="54">
        <v>160.5</v>
      </c>
      <c r="M17" s="54">
        <v>23.3</v>
      </c>
      <c r="N17" s="54">
        <v>16</v>
      </c>
      <c r="O17" s="18"/>
      <c r="P17" s="64"/>
      <c r="Q17" s="65"/>
      <c r="R17" s="65"/>
      <c r="S17" s="62"/>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79" customFormat="1">
      <c r="A18" s="25"/>
      <c r="B18" s="18" t="s">
        <v>592</v>
      </c>
      <c r="C18" s="54" t="s">
        <v>410</v>
      </c>
      <c r="D18" s="135" t="s">
        <v>447</v>
      </c>
      <c r="E18" s="155">
        <v>0.26500000000000001</v>
      </c>
      <c r="F18" s="155">
        <v>9.9999999999999992E-2</v>
      </c>
      <c r="G18" s="155">
        <v>0.14500000000000002</v>
      </c>
      <c r="H18" s="250">
        <v>3</v>
      </c>
      <c r="I18" s="283">
        <v>1</v>
      </c>
      <c r="J18" s="54">
        <v>1</v>
      </c>
      <c r="K18" s="54"/>
      <c r="L18" s="54"/>
      <c r="M18" s="54"/>
      <c r="N18" s="54"/>
      <c r="O18" s="18"/>
      <c r="P18" s="64"/>
      <c r="Q18" s="65"/>
      <c r="R18" s="65"/>
      <c r="S18" s="62"/>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520"/>
      <c r="F19" s="520"/>
      <c r="G19" s="520"/>
      <c r="H19" s="521"/>
      <c r="I19" s="522"/>
      <c r="J19" s="520"/>
      <c r="K19" s="520"/>
      <c r="L19" s="520"/>
      <c r="M19" s="520"/>
      <c r="N19" s="520"/>
    </row>
    <row r="20" spans="1:70">
      <c r="B20" s="9"/>
      <c r="C20" s="9"/>
      <c r="D20" s="9"/>
      <c r="E20" s="520"/>
      <c r="F20" s="520"/>
      <c r="G20" s="520"/>
      <c r="H20" s="521"/>
      <c r="I20" s="522"/>
      <c r="J20" s="520"/>
      <c r="K20" s="520"/>
      <c r="L20" s="520"/>
      <c r="M20" s="520"/>
      <c r="N20" s="520"/>
    </row>
    <row r="21" spans="1:70">
      <c r="B21" s="9"/>
      <c r="C21" s="9"/>
      <c r="D21" s="9"/>
      <c r="E21" s="520"/>
      <c r="F21" s="520"/>
      <c r="G21" s="520"/>
      <c r="H21" s="521"/>
      <c r="I21" s="522"/>
      <c r="J21" s="520"/>
      <c r="K21" s="520"/>
      <c r="L21" s="520"/>
      <c r="M21" s="520"/>
      <c r="N21" s="520"/>
    </row>
    <row r="22" spans="1:70">
      <c r="B22" s="9"/>
      <c r="C22" s="9"/>
      <c r="D22" s="9"/>
      <c r="E22" s="520"/>
      <c r="F22" s="520"/>
      <c r="G22" s="520"/>
      <c r="H22" s="521"/>
      <c r="I22" s="522"/>
      <c r="J22" s="520"/>
      <c r="K22" s="520"/>
      <c r="L22" s="520"/>
      <c r="M22" s="520"/>
      <c r="N22" s="520"/>
    </row>
    <row r="23" spans="1:70">
      <c r="B23" s="9"/>
      <c r="C23" s="9"/>
      <c r="D23" s="9"/>
      <c r="E23" s="520"/>
      <c r="F23" s="520"/>
      <c r="G23" s="520"/>
      <c r="H23" s="520"/>
      <c r="I23" s="522"/>
      <c r="J23" s="520"/>
      <c r="K23" s="520"/>
      <c r="L23" s="520"/>
      <c r="M23" s="520"/>
      <c r="N23" s="520"/>
    </row>
    <row r="24" spans="1:70">
      <c r="B24" s="9"/>
      <c r="C24" s="9"/>
      <c r="D24" s="9"/>
      <c r="E24" s="520"/>
      <c r="F24" s="520"/>
      <c r="G24" s="520"/>
      <c r="H24" s="520"/>
      <c r="I24" s="522"/>
      <c r="J24" s="520"/>
      <c r="K24" s="520"/>
      <c r="L24" s="520"/>
      <c r="M24" s="520"/>
      <c r="N24" s="520"/>
    </row>
    <row r="25" spans="1:70">
      <c r="B25" s="9"/>
      <c r="C25" s="9"/>
      <c r="D25" s="9"/>
      <c r="E25" s="520"/>
      <c r="F25" s="520"/>
      <c r="G25" s="520"/>
      <c r="H25" s="520"/>
      <c r="I25" s="520"/>
      <c r="J25" s="520"/>
      <c r="K25" s="520"/>
      <c r="L25" s="520"/>
      <c r="M25" s="520"/>
      <c r="N25" s="520"/>
    </row>
    <row r="26" spans="1:70">
      <c r="B26" s="9"/>
      <c r="C26" s="9"/>
      <c r="D26" s="9"/>
      <c r="E26" s="520"/>
      <c r="F26" s="520"/>
      <c r="G26" s="520"/>
      <c r="H26" s="520"/>
      <c r="I26" s="520"/>
      <c r="J26" s="520"/>
      <c r="K26" s="520"/>
      <c r="L26" s="520"/>
      <c r="M26" s="520"/>
      <c r="N26" s="520"/>
    </row>
    <row r="27" spans="1:70">
      <c r="B27" s="9"/>
      <c r="C27" s="9"/>
      <c r="D27" s="9"/>
      <c r="E27" s="520"/>
      <c r="F27" s="520"/>
      <c r="G27" s="520"/>
      <c r="H27" s="520"/>
      <c r="I27" s="520"/>
      <c r="J27" s="520"/>
      <c r="K27" s="520"/>
      <c r="L27" s="520"/>
      <c r="M27" s="520"/>
      <c r="N27" s="520"/>
    </row>
    <row r="28" spans="1:70">
      <c r="E28" s="520"/>
      <c r="F28" s="520"/>
      <c r="G28" s="520"/>
      <c r="H28" s="520"/>
      <c r="I28" s="520"/>
      <c r="J28" s="520"/>
      <c r="K28" s="520"/>
      <c r="L28" s="520"/>
      <c r="M28" s="520"/>
      <c r="N28" s="520"/>
    </row>
    <row r="29" spans="1:70">
      <c r="E29" s="520"/>
      <c r="F29" s="520"/>
      <c r="G29" s="520"/>
      <c r="H29" s="520"/>
      <c r="I29" s="520"/>
      <c r="J29" s="520"/>
      <c r="K29" s="520"/>
      <c r="L29" s="520"/>
      <c r="M29" s="520"/>
      <c r="N29" s="520"/>
    </row>
    <row r="30" spans="1:70">
      <c r="E30" s="520"/>
      <c r="F30" s="520"/>
      <c r="G30" s="520"/>
      <c r="H30" s="520"/>
      <c r="I30" s="520"/>
      <c r="J30" s="520"/>
      <c r="K30" s="520"/>
      <c r="L30" s="520"/>
      <c r="M30" s="520"/>
      <c r="N30" s="520"/>
    </row>
    <row r="31" spans="1:70">
      <c r="E31" s="520"/>
      <c r="F31" s="520"/>
      <c r="G31" s="520"/>
      <c r="H31" s="520"/>
      <c r="I31" s="520"/>
      <c r="J31" s="520"/>
      <c r="K31" s="520"/>
      <c r="L31" s="520"/>
      <c r="M31" s="520"/>
      <c r="N31" s="520"/>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155" activePane="bottomLeft" state="frozen"/>
      <selection activeCell="D50" sqref="D50"/>
      <selection pane="bottomLeft" activeCell="L214" sqref="L214"/>
    </sheetView>
  </sheetViews>
  <sheetFormatPr defaultColWidth="9.140625" defaultRowHeight="12.75"/>
  <cols>
    <col min="1" max="4" width="9.140625" style="22"/>
    <col min="5" max="5" width="11.5703125" style="22" bestFit="1" customWidth="1"/>
    <col min="6" max="6" width="9.140625" style="22"/>
    <col min="7" max="7" width="10.5703125" style="22" bestFit="1" customWidth="1"/>
    <col min="8" max="8" width="9.140625" style="22"/>
    <col min="9" max="9" width="9.85546875" style="22" bestFit="1" customWidth="1"/>
    <col min="10" max="10" width="9.140625" style="22"/>
    <col min="11" max="11" width="10.5703125" style="22" bestFit="1" customWidth="1"/>
    <col min="12" max="12" width="9.140625" style="22"/>
    <col min="13" max="13" width="10.85546875" style="22" bestFit="1" customWidth="1"/>
    <col min="14" max="14" width="9.140625" style="22"/>
    <col min="15" max="15" width="10" style="22" customWidth="1"/>
    <col min="16" max="16384" width="9.140625" style="22"/>
  </cols>
  <sheetData>
    <row r="1" spans="1:70" s="292" customFormat="1" ht="32.1" customHeight="1">
      <c r="A1" s="440"/>
      <c r="B1" s="440"/>
      <c r="C1" s="440"/>
      <c r="D1" s="440"/>
      <c r="E1" s="440"/>
      <c r="F1" s="440"/>
      <c r="G1" s="440"/>
      <c r="H1" s="440"/>
      <c r="I1" s="440"/>
      <c r="J1" s="440"/>
      <c r="K1" s="440"/>
      <c r="L1" s="293"/>
      <c r="M1" s="440"/>
      <c r="Q1" s="293"/>
      <c r="R1" s="293"/>
      <c r="S1" s="293"/>
      <c r="T1" s="293"/>
      <c r="U1" s="293"/>
      <c r="V1" s="293"/>
      <c r="W1" s="293"/>
      <c r="X1" s="293"/>
      <c r="Y1" s="293"/>
    </row>
    <row r="2" spans="1:70" s="292" customFormat="1" ht="41.25" customHeight="1">
      <c r="L2" s="293"/>
      <c r="Q2" s="293"/>
      <c r="R2" s="293"/>
      <c r="S2" s="293"/>
      <c r="T2" s="293"/>
      <c r="U2" s="293"/>
      <c r="V2" s="293"/>
      <c r="W2" s="293"/>
      <c r="X2" s="293"/>
      <c r="Y2" s="293"/>
    </row>
    <row r="3" spans="1:70" s="292" customFormat="1" ht="12.75" customHeight="1">
      <c r="Q3" s="293"/>
      <c r="R3" s="293"/>
      <c r="S3" s="293"/>
      <c r="T3" s="293"/>
      <c r="U3" s="293"/>
      <c r="V3" s="293"/>
      <c r="W3" s="293"/>
      <c r="X3" s="293"/>
      <c r="Y3" s="293"/>
    </row>
    <row r="4" spans="1:70">
      <c r="A4" s="292"/>
      <c r="B4" s="292"/>
      <c r="C4" s="292"/>
      <c r="D4" s="292"/>
      <c r="E4" s="292"/>
      <c r="F4" s="292"/>
      <c r="G4" s="292"/>
      <c r="H4" s="292"/>
      <c r="I4" s="292"/>
      <c r="J4" s="292"/>
      <c r="K4" s="292"/>
      <c r="L4" s="292"/>
      <c r="M4" s="292"/>
      <c r="N4" s="292"/>
      <c r="O4" s="292"/>
      <c r="P4" s="292"/>
      <c r="Q4" s="292"/>
      <c r="R4" s="292"/>
      <c r="S4" s="292"/>
      <c r="T4" s="292"/>
    </row>
    <row r="5" spans="1:70">
      <c r="A5" s="367"/>
      <c r="B5" s="367"/>
      <c r="C5" s="367"/>
      <c r="D5" s="367"/>
      <c r="E5" s="367"/>
      <c r="F5" s="367"/>
      <c r="G5" s="367"/>
      <c r="H5" s="367"/>
      <c r="I5" s="367"/>
      <c r="J5" s="367"/>
      <c r="K5" s="367"/>
      <c r="L5" s="367"/>
      <c r="M5" s="367"/>
      <c r="N5" s="367"/>
      <c r="O5" s="373"/>
      <c r="P5" s="367"/>
      <c r="Q5" s="367"/>
      <c r="R5" s="367"/>
      <c r="S5" s="367"/>
      <c r="T5" s="367"/>
      <c r="U5" s="368"/>
      <c r="V5" s="368"/>
    </row>
    <row r="6" spans="1:70" ht="15.75">
      <c r="A6" s="375">
        <v>1</v>
      </c>
      <c r="B6" s="376" t="s">
        <v>659</v>
      </c>
      <c r="C6" s="376"/>
      <c r="D6" s="376"/>
      <c r="E6" s="376"/>
      <c r="F6" s="379"/>
      <c r="G6" s="303"/>
      <c r="H6" s="303"/>
      <c r="I6" s="381"/>
      <c r="J6" s="303"/>
      <c r="K6" s="303"/>
      <c r="L6" s="303"/>
      <c r="M6" s="360"/>
      <c r="N6" s="300"/>
      <c r="O6" s="300"/>
      <c r="P6" s="303"/>
      <c r="Q6" s="303"/>
      <c r="R6" s="373"/>
      <c r="S6" s="367"/>
      <c r="T6" s="367"/>
      <c r="U6" s="368"/>
      <c r="V6" s="368"/>
    </row>
    <row r="7" spans="1:70" s="300" customFormat="1">
      <c r="A7" s="345"/>
      <c r="B7" s="361"/>
      <c r="C7" s="383"/>
      <c r="D7" s="361"/>
      <c r="K7" s="303"/>
      <c r="L7" s="303"/>
      <c r="M7" s="303"/>
      <c r="O7" s="301"/>
      <c r="P7" s="301"/>
      <c r="Q7" s="303"/>
      <c r="R7" s="303"/>
      <c r="S7" s="303"/>
      <c r="T7" s="303"/>
      <c r="U7" s="303"/>
      <c r="V7" s="303"/>
      <c r="W7" s="303"/>
      <c r="X7" s="303"/>
      <c r="Y7" s="303"/>
    </row>
    <row r="8" spans="1:70" s="300" customFormat="1">
      <c r="A8" s="345"/>
      <c r="B8" s="361"/>
      <c r="C8" s="383"/>
      <c r="D8" s="384"/>
      <c r="E8" s="1453" t="s">
        <v>189</v>
      </c>
      <c r="F8" s="1454"/>
      <c r="G8" s="1455"/>
      <c r="H8" s="323"/>
      <c r="M8" s="1456"/>
      <c r="N8" s="1456"/>
      <c r="O8" s="1456"/>
      <c r="P8" s="301"/>
      <c r="Q8" s="303"/>
      <c r="R8" s="303"/>
      <c r="S8" s="303"/>
      <c r="T8" s="303"/>
      <c r="U8" s="303"/>
      <c r="V8" s="303"/>
      <c r="W8" s="303"/>
      <c r="X8" s="303"/>
      <c r="Y8" s="303"/>
    </row>
    <row r="9" spans="1:70" s="301" customFormat="1">
      <c r="A9" s="38"/>
      <c r="B9" s="1352"/>
      <c r="C9" s="1352"/>
      <c r="D9" s="1353"/>
      <c r="E9" s="387" t="s">
        <v>433</v>
      </c>
      <c r="F9" s="388" t="s">
        <v>64</v>
      </c>
      <c r="G9" s="389" t="s">
        <v>63</v>
      </c>
      <c r="H9" s="1354" t="s">
        <v>369</v>
      </c>
      <c r="I9" s="1293" t="s">
        <v>351</v>
      </c>
      <c r="J9" s="388" t="s">
        <v>639</v>
      </c>
      <c r="K9" s="1293" t="s">
        <v>70</v>
      </c>
      <c r="L9" s="1293" t="s">
        <v>70</v>
      </c>
      <c r="M9" s="1293" t="s">
        <v>347</v>
      </c>
      <c r="N9" s="1293" t="s">
        <v>640</v>
      </c>
      <c r="O9" s="391"/>
      <c r="P9" s="391"/>
      <c r="Q9" s="303"/>
      <c r="R9" s="303"/>
      <c r="S9" s="303"/>
      <c r="T9" s="303"/>
      <c r="U9" s="303"/>
      <c r="V9" s="303"/>
      <c r="W9" s="303"/>
      <c r="X9" s="303"/>
      <c r="Y9" s="303"/>
      <c r="Z9" s="303"/>
      <c r="AA9" s="303"/>
      <c r="AB9" s="303"/>
      <c r="AC9" s="303"/>
      <c r="AD9" s="303"/>
      <c r="AE9" s="303"/>
      <c r="AF9" s="303"/>
      <c r="AG9" s="303"/>
      <c r="AH9" s="303"/>
      <c r="AI9" s="303"/>
      <c r="AJ9" s="303"/>
      <c r="AK9" s="303"/>
      <c r="AL9" s="303"/>
      <c r="AM9" s="303"/>
      <c r="AN9" s="303"/>
      <c r="AO9" s="303"/>
      <c r="AP9" s="303"/>
      <c r="AQ9" s="303"/>
      <c r="AR9" s="303"/>
      <c r="AS9" s="303"/>
      <c r="AT9" s="303"/>
      <c r="AU9" s="303"/>
      <c r="AV9" s="303"/>
      <c r="AW9" s="303"/>
      <c r="AX9" s="303"/>
      <c r="AY9" s="303"/>
      <c r="AZ9" s="303"/>
      <c r="BA9" s="303"/>
      <c r="BB9" s="303"/>
      <c r="BC9" s="303"/>
      <c r="BD9" s="303"/>
      <c r="BE9" s="303"/>
      <c r="BF9" s="303"/>
      <c r="BG9" s="303"/>
      <c r="BH9" s="303"/>
      <c r="BI9" s="303"/>
      <c r="BJ9" s="303"/>
      <c r="BK9" s="303"/>
      <c r="BL9" s="303"/>
      <c r="BM9" s="303"/>
      <c r="BN9" s="303"/>
      <c r="BO9" s="303"/>
      <c r="BP9" s="303"/>
      <c r="BQ9" s="303"/>
      <c r="BR9" s="303"/>
    </row>
    <row r="10" spans="1:70" s="301" customFormat="1">
      <c r="A10" s="38"/>
      <c r="B10" s="357" t="s">
        <v>66</v>
      </c>
      <c r="C10" s="392" t="s">
        <v>432</v>
      </c>
      <c r="D10" s="393" t="s">
        <v>346</v>
      </c>
      <c r="E10" s="394" t="s">
        <v>354</v>
      </c>
      <c r="F10" s="395" t="s">
        <v>354</v>
      </c>
      <c r="G10" s="396" t="s">
        <v>354</v>
      </c>
      <c r="H10" s="397" t="s">
        <v>354</v>
      </c>
      <c r="I10" s="395" t="s">
        <v>350</v>
      </c>
      <c r="J10" s="395"/>
      <c r="K10" s="395" t="s">
        <v>352</v>
      </c>
      <c r="L10" s="395" t="s">
        <v>452</v>
      </c>
      <c r="M10" s="395" t="s">
        <v>353</v>
      </c>
      <c r="N10" s="395" t="s">
        <v>353</v>
      </c>
      <c r="O10" s="391"/>
      <c r="P10" s="303"/>
      <c r="Q10" s="303"/>
      <c r="R10" s="303"/>
      <c r="S10" s="303"/>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row>
    <row r="11" spans="1:70" s="301" customFormat="1">
      <c r="A11" s="38"/>
      <c r="B11" s="303" t="s">
        <v>584</v>
      </c>
      <c r="C11" s="391" t="s">
        <v>410</v>
      </c>
      <c r="D11" s="332" t="s">
        <v>69</v>
      </c>
      <c r="E11" s="1018">
        <v>0.36</v>
      </c>
      <c r="F11" s="1018">
        <v>0.24</v>
      </c>
      <c r="G11" s="1018">
        <v>0.33</v>
      </c>
      <c r="H11" s="689">
        <v>4.49</v>
      </c>
      <c r="I11" s="391">
        <v>1</v>
      </c>
      <c r="J11" s="640">
        <v>0.8</v>
      </c>
      <c r="K11" s="391">
        <v>1.05</v>
      </c>
      <c r="L11" s="391">
        <v>1.3</v>
      </c>
      <c r="M11" s="391">
        <v>0</v>
      </c>
      <c r="N11" s="391">
        <v>0</v>
      </c>
      <c r="O11" s="391"/>
      <c r="P11" s="402"/>
      <c r="Q11" s="403"/>
      <c r="R11" s="402"/>
      <c r="S11" s="402"/>
      <c r="T11" s="303"/>
      <c r="U11" s="303"/>
      <c r="V11" s="303"/>
      <c r="W11" s="303"/>
      <c r="X11" s="303"/>
      <c r="Y11" s="303"/>
      <c r="Z11" s="303"/>
      <c r="AA11" s="303"/>
      <c r="AB11" s="303"/>
      <c r="AC11" s="303"/>
      <c r="AD11" s="303"/>
      <c r="AE11" s="303"/>
      <c r="AF11" s="303"/>
      <c r="AG11" s="303"/>
      <c r="AH11" s="303"/>
      <c r="AI11" s="303"/>
      <c r="AJ11" s="303"/>
      <c r="AK11" s="303"/>
      <c r="AL11" s="303"/>
      <c r="AM11" s="303"/>
      <c r="AN11" s="303"/>
      <c r="AO11" s="303"/>
      <c r="AP11" s="303"/>
      <c r="AQ11" s="303"/>
      <c r="AR11" s="303"/>
      <c r="AS11" s="303"/>
      <c r="AT11" s="303"/>
      <c r="AU11" s="303"/>
      <c r="AV11" s="303"/>
      <c r="AW11" s="303"/>
      <c r="AX11" s="303"/>
      <c r="AY11" s="303"/>
      <c r="AZ11" s="303"/>
      <c r="BA11" s="303"/>
      <c r="BB11" s="303"/>
      <c r="BC11" s="303"/>
      <c r="BD11" s="303"/>
      <c r="BE11" s="303"/>
      <c r="BF11" s="303"/>
      <c r="BG11" s="303"/>
      <c r="BH11" s="303"/>
      <c r="BI11" s="303"/>
      <c r="BJ11" s="303"/>
      <c r="BK11" s="303"/>
      <c r="BL11" s="303"/>
      <c r="BM11" s="303"/>
      <c r="BN11" s="303"/>
      <c r="BO11" s="303"/>
      <c r="BP11" s="303"/>
      <c r="BQ11" s="303"/>
      <c r="BR11" s="303"/>
    </row>
    <row r="12" spans="1:70" s="301" customFormat="1">
      <c r="A12" s="38"/>
      <c r="B12" s="303" t="s">
        <v>585</v>
      </c>
      <c r="C12" s="391" t="s">
        <v>410</v>
      </c>
      <c r="D12" s="332" t="s">
        <v>68</v>
      </c>
      <c r="E12" s="1018">
        <v>0.4</v>
      </c>
      <c r="F12" s="1018">
        <v>0.24</v>
      </c>
      <c r="G12" s="1018">
        <v>0.33</v>
      </c>
      <c r="H12" s="689">
        <v>6.99</v>
      </c>
      <c r="I12" s="391">
        <v>1</v>
      </c>
      <c r="J12" s="640">
        <v>0.8</v>
      </c>
      <c r="K12" s="391">
        <v>1.05</v>
      </c>
      <c r="L12" s="391">
        <v>1.3</v>
      </c>
      <c r="M12" s="391">
        <v>0</v>
      </c>
      <c r="N12" s="391">
        <v>0</v>
      </c>
      <c r="O12" s="391"/>
      <c r="P12" s="404"/>
      <c r="Q12" s="402"/>
      <c r="R12" s="402"/>
      <c r="S12" s="402"/>
      <c r="T12" s="303"/>
      <c r="U12" s="303"/>
      <c r="V12" s="303"/>
      <c r="W12" s="303"/>
      <c r="X12" s="303"/>
      <c r="Y12" s="303"/>
      <c r="Z12" s="303"/>
      <c r="AA12" s="303"/>
      <c r="AB12" s="303"/>
      <c r="AC12" s="303"/>
      <c r="AD12" s="303"/>
      <c r="AE12" s="303"/>
      <c r="AF12" s="303"/>
      <c r="AG12" s="303"/>
      <c r="AH12" s="303"/>
      <c r="AI12" s="303"/>
      <c r="AJ12" s="303"/>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row>
    <row r="13" spans="1:70" s="301" customFormat="1">
      <c r="A13" s="38"/>
      <c r="B13" s="303" t="s">
        <v>586</v>
      </c>
      <c r="C13" s="391" t="s">
        <v>410</v>
      </c>
      <c r="D13" s="332" t="s">
        <v>434</v>
      </c>
      <c r="E13" s="1018">
        <v>0.37</v>
      </c>
      <c r="F13" s="1018">
        <v>0.24</v>
      </c>
      <c r="G13" s="1018">
        <v>0.33</v>
      </c>
      <c r="H13" s="689">
        <v>5.49</v>
      </c>
      <c r="I13" s="391">
        <v>1</v>
      </c>
      <c r="J13" s="640">
        <v>0.5</v>
      </c>
      <c r="K13" s="391">
        <v>1.05</v>
      </c>
      <c r="L13" s="391">
        <v>1.3</v>
      </c>
      <c r="M13" s="391">
        <v>0</v>
      </c>
      <c r="N13" s="391">
        <v>0</v>
      </c>
      <c r="O13" s="303"/>
      <c r="P13" s="405"/>
      <c r="Q13" s="406"/>
      <c r="R13" s="406"/>
      <c r="S13" s="402"/>
      <c r="T13" s="303"/>
      <c r="U13" s="303"/>
      <c r="V13" s="303"/>
      <c r="W13" s="303"/>
      <c r="X13" s="303"/>
      <c r="Y13" s="303"/>
      <c r="Z13" s="303"/>
      <c r="AA13" s="303"/>
      <c r="AB13" s="303"/>
      <c r="AC13" s="303"/>
      <c r="AD13" s="303"/>
      <c r="AE13" s="303"/>
      <c r="AF13" s="303"/>
      <c r="AG13" s="303"/>
      <c r="AH13" s="303"/>
      <c r="AI13" s="303"/>
      <c r="AJ13" s="303"/>
      <c r="AK13" s="303"/>
      <c r="AL13" s="303"/>
      <c r="AM13" s="303"/>
      <c r="AN13" s="303"/>
      <c r="AO13" s="303"/>
      <c r="AP13" s="303"/>
      <c r="AQ13" s="303"/>
      <c r="AR13" s="303"/>
      <c r="AS13" s="303"/>
      <c r="AT13" s="303"/>
      <c r="AU13" s="303"/>
      <c r="AV13" s="303"/>
      <c r="AW13" s="303"/>
      <c r="AX13" s="303"/>
      <c r="AY13" s="303"/>
      <c r="AZ13" s="303"/>
      <c r="BA13" s="303"/>
      <c r="BB13" s="303"/>
      <c r="BC13" s="303"/>
      <c r="BD13" s="303"/>
      <c r="BE13" s="303"/>
      <c r="BF13" s="303"/>
      <c r="BG13" s="303"/>
      <c r="BH13" s="303"/>
      <c r="BI13" s="303"/>
      <c r="BJ13" s="303"/>
      <c r="BK13" s="303"/>
      <c r="BL13" s="303"/>
      <c r="BM13" s="303"/>
      <c r="BN13" s="303"/>
      <c r="BO13" s="303"/>
      <c r="BP13" s="303"/>
      <c r="BQ13" s="303"/>
      <c r="BR13" s="303"/>
    </row>
    <row r="14" spans="1:70" s="301" customFormat="1">
      <c r="A14" s="38"/>
      <c r="B14" s="303" t="s">
        <v>587</v>
      </c>
      <c r="C14" s="391" t="s">
        <v>410</v>
      </c>
      <c r="D14" s="332" t="s">
        <v>435</v>
      </c>
      <c r="E14" s="1018">
        <v>0.38</v>
      </c>
      <c r="F14" s="1018">
        <v>0.24</v>
      </c>
      <c r="G14" s="1018">
        <v>0.33</v>
      </c>
      <c r="H14" s="689">
        <v>6.99</v>
      </c>
      <c r="I14" s="391">
        <v>1</v>
      </c>
      <c r="J14" s="640">
        <v>0.55000000000000004</v>
      </c>
      <c r="K14" s="391">
        <v>1.05</v>
      </c>
      <c r="L14" s="391">
        <v>1.3</v>
      </c>
      <c r="M14" s="391">
        <v>0</v>
      </c>
      <c r="N14" s="391">
        <v>0</v>
      </c>
      <c r="O14" s="303"/>
      <c r="P14" s="405"/>
      <c r="Q14" s="407"/>
      <c r="R14" s="407"/>
      <c r="S14" s="402"/>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row>
    <row r="15" spans="1:70" s="301" customFormat="1">
      <c r="A15" s="38"/>
      <c r="B15" s="303" t="s">
        <v>588</v>
      </c>
      <c r="C15" s="391" t="s">
        <v>410</v>
      </c>
      <c r="D15" s="332" t="s">
        <v>436</v>
      </c>
      <c r="E15" s="1018">
        <v>0.37</v>
      </c>
      <c r="F15" s="1018">
        <v>0.24</v>
      </c>
      <c r="G15" s="1018">
        <v>0.33</v>
      </c>
      <c r="H15" s="689">
        <v>5.99</v>
      </c>
      <c r="I15" s="391">
        <v>1</v>
      </c>
      <c r="J15" s="640">
        <v>0.55000000000000004</v>
      </c>
      <c r="K15" s="391">
        <v>1.05</v>
      </c>
      <c r="L15" s="391">
        <v>1.3</v>
      </c>
      <c r="M15" s="391">
        <v>0</v>
      </c>
      <c r="N15" s="391">
        <v>0</v>
      </c>
      <c r="O15" s="303"/>
      <c r="P15" s="405"/>
      <c r="Q15" s="407"/>
      <c r="R15" s="407"/>
      <c r="S15" s="402"/>
      <c r="T15" s="303"/>
      <c r="U15" s="303"/>
      <c r="V15" s="303"/>
      <c r="W15" s="303"/>
      <c r="X15" s="303"/>
      <c r="Y15" s="303"/>
      <c r="Z15" s="303"/>
      <c r="AA15" s="303"/>
      <c r="AB15" s="303"/>
      <c r="AC15" s="303"/>
      <c r="AD15" s="303"/>
      <c r="AE15" s="303"/>
      <c r="AF15" s="303"/>
      <c r="AG15" s="303"/>
      <c r="AH15" s="303"/>
      <c r="AI15" s="303"/>
      <c r="AJ15" s="303"/>
      <c r="AK15" s="303"/>
      <c r="AL15" s="303"/>
      <c r="AM15" s="303"/>
      <c r="AN15" s="303"/>
      <c r="AO15" s="303"/>
      <c r="AP15" s="303"/>
      <c r="AQ15" s="303"/>
      <c r="AR15" s="303"/>
      <c r="AS15" s="303"/>
      <c r="AT15" s="303"/>
      <c r="AU15" s="303"/>
      <c r="AV15" s="303"/>
      <c r="AW15" s="303"/>
      <c r="AX15" s="303"/>
      <c r="AY15" s="303"/>
      <c r="AZ15" s="303"/>
      <c r="BA15" s="303"/>
      <c r="BB15" s="303"/>
      <c r="BC15" s="303"/>
      <c r="BD15" s="303"/>
      <c r="BE15" s="303"/>
      <c r="BF15" s="303"/>
      <c r="BG15" s="303"/>
      <c r="BH15" s="303"/>
      <c r="BI15" s="303"/>
      <c r="BJ15" s="303"/>
      <c r="BK15" s="303"/>
      <c r="BL15" s="303"/>
      <c r="BM15" s="303"/>
      <c r="BN15" s="303"/>
      <c r="BO15" s="303"/>
      <c r="BP15" s="303"/>
      <c r="BQ15" s="303"/>
      <c r="BR15" s="303"/>
    </row>
    <row r="16" spans="1:70" s="301" customFormat="1">
      <c r="A16" s="38"/>
      <c r="B16" s="303" t="s">
        <v>589</v>
      </c>
      <c r="C16" s="391" t="s">
        <v>410</v>
      </c>
      <c r="D16" s="332" t="s">
        <v>437</v>
      </c>
      <c r="E16" s="1018">
        <v>0.37</v>
      </c>
      <c r="F16" s="1018">
        <v>0.24</v>
      </c>
      <c r="G16" s="1018">
        <v>0.33</v>
      </c>
      <c r="H16" s="689">
        <v>5.99</v>
      </c>
      <c r="I16" s="391">
        <v>1</v>
      </c>
      <c r="J16" s="640">
        <v>0.55000000000000004</v>
      </c>
      <c r="K16" s="391">
        <v>1.05</v>
      </c>
      <c r="L16" s="391">
        <v>1.3</v>
      </c>
      <c r="M16" s="391">
        <v>0</v>
      </c>
      <c r="N16" s="391">
        <v>0</v>
      </c>
      <c r="O16" s="303"/>
      <c r="P16" s="405"/>
      <c r="Q16" s="407"/>
      <c r="R16" s="407"/>
      <c r="S16" s="402"/>
      <c r="T16" s="303"/>
      <c r="U16" s="303"/>
      <c r="V16" s="303"/>
      <c r="W16" s="303"/>
      <c r="X16" s="303"/>
      <c r="Y16" s="303"/>
      <c r="Z16" s="303"/>
      <c r="AA16" s="303"/>
      <c r="AB16" s="303"/>
      <c r="AC16" s="303"/>
      <c r="AD16" s="303"/>
      <c r="AE16" s="303"/>
      <c r="AF16" s="303"/>
      <c r="AG16" s="303"/>
      <c r="AH16" s="303"/>
      <c r="AI16" s="303"/>
      <c r="AJ16" s="303"/>
      <c r="AK16" s="303"/>
      <c r="AL16" s="303"/>
      <c r="AM16" s="303"/>
      <c r="AN16" s="303"/>
      <c r="AO16" s="303"/>
      <c r="AP16" s="303"/>
      <c r="AQ16" s="303"/>
      <c r="AR16" s="303"/>
      <c r="AS16" s="303"/>
      <c r="AT16" s="303"/>
      <c r="AU16" s="303"/>
      <c r="AV16" s="303"/>
      <c r="AW16" s="303"/>
      <c r="AX16" s="303"/>
      <c r="AY16" s="303"/>
      <c r="AZ16" s="303"/>
      <c r="BA16" s="303"/>
      <c r="BB16" s="303"/>
      <c r="BC16" s="303"/>
      <c r="BD16" s="303"/>
      <c r="BE16" s="303"/>
      <c r="BF16" s="303"/>
      <c r="BG16" s="303"/>
      <c r="BH16" s="303"/>
      <c r="BI16" s="303"/>
      <c r="BJ16" s="303"/>
      <c r="BK16" s="303"/>
      <c r="BL16" s="303"/>
      <c r="BM16" s="303"/>
      <c r="BN16" s="303"/>
      <c r="BO16" s="303"/>
      <c r="BP16" s="303"/>
      <c r="BQ16" s="303"/>
      <c r="BR16" s="303"/>
    </row>
    <row r="17" spans="1:70" s="301" customFormat="1">
      <c r="A17" s="38"/>
      <c r="B17" s="303" t="s">
        <v>590</v>
      </c>
      <c r="C17" s="391" t="s">
        <v>411</v>
      </c>
      <c r="D17" s="332" t="s">
        <v>69</v>
      </c>
      <c r="E17" s="1018">
        <v>0.36</v>
      </c>
      <c r="F17" s="1018">
        <v>0.24</v>
      </c>
      <c r="G17" s="1018">
        <v>0.33</v>
      </c>
      <c r="H17" s="689">
        <v>2.4500000000000002</v>
      </c>
      <c r="I17" s="391">
        <v>124</v>
      </c>
      <c r="J17" s="640">
        <v>0.8</v>
      </c>
      <c r="K17" s="391">
        <v>130.80000000000001</v>
      </c>
      <c r="L17" s="391">
        <v>160.5</v>
      </c>
      <c r="M17" s="391" t="s">
        <v>349</v>
      </c>
      <c r="N17" s="391">
        <v>16</v>
      </c>
      <c r="O17" s="689"/>
      <c r="P17" s="405"/>
      <c r="Q17" s="407"/>
      <c r="R17" s="407"/>
      <c r="S17" s="402"/>
      <c r="T17" s="303"/>
      <c r="U17" s="303"/>
      <c r="V17" s="303"/>
      <c r="W17" s="303"/>
      <c r="X17" s="303"/>
      <c r="Y17" s="303"/>
      <c r="Z17" s="303"/>
      <c r="AA17" s="303"/>
      <c r="AB17" s="303"/>
      <c r="AC17" s="303"/>
      <c r="AD17" s="303"/>
      <c r="AE17" s="303"/>
      <c r="AF17" s="303"/>
      <c r="AG17" s="303"/>
      <c r="AH17" s="303"/>
      <c r="AI17" s="303"/>
      <c r="AJ17" s="303"/>
      <c r="AK17" s="303"/>
      <c r="AL17" s="303"/>
      <c r="AM17" s="303"/>
      <c r="AN17" s="303"/>
      <c r="AO17" s="303"/>
      <c r="AP17" s="303"/>
      <c r="AQ17" s="303"/>
      <c r="AR17" s="303"/>
      <c r="AS17" s="303"/>
      <c r="AT17" s="303"/>
      <c r="AU17" s="303"/>
      <c r="AV17" s="303"/>
      <c r="AW17" s="303"/>
      <c r="AX17" s="303"/>
      <c r="AY17" s="303"/>
      <c r="AZ17" s="303"/>
      <c r="BA17" s="303"/>
      <c r="BB17" s="303"/>
      <c r="BC17" s="303"/>
      <c r="BD17" s="303"/>
      <c r="BE17" s="303"/>
      <c r="BF17" s="303"/>
      <c r="BG17" s="303"/>
      <c r="BH17" s="303"/>
      <c r="BI17" s="303"/>
      <c r="BJ17" s="303"/>
      <c r="BK17" s="303"/>
      <c r="BL17" s="303"/>
      <c r="BM17" s="303"/>
      <c r="BN17" s="303"/>
      <c r="BO17" s="303"/>
      <c r="BP17" s="303"/>
      <c r="BQ17" s="303"/>
      <c r="BR17" s="303"/>
    </row>
    <row r="18" spans="1:70" s="301" customFormat="1">
      <c r="A18" s="38"/>
      <c r="B18" s="303" t="s">
        <v>591</v>
      </c>
      <c r="C18" s="391" t="s">
        <v>411</v>
      </c>
      <c r="D18" s="332" t="s">
        <v>68</v>
      </c>
      <c r="E18" s="1018">
        <v>0.4</v>
      </c>
      <c r="F18" s="1018">
        <v>0.24</v>
      </c>
      <c r="G18" s="1018">
        <v>0.33</v>
      </c>
      <c r="H18" s="689">
        <v>2.99</v>
      </c>
      <c r="I18" s="391">
        <v>124</v>
      </c>
      <c r="J18" s="640">
        <v>0.8</v>
      </c>
      <c r="K18" s="391">
        <v>130.80000000000001</v>
      </c>
      <c r="L18" s="391">
        <v>160.5</v>
      </c>
      <c r="M18" s="391">
        <v>23.3</v>
      </c>
      <c r="N18" s="391">
        <v>16</v>
      </c>
      <c r="O18" s="689"/>
      <c r="P18" s="405"/>
      <c r="Q18" s="407"/>
      <c r="R18" s="407"/>
      <c r="S18" s="402"/>
      <c r="T18" s="303"/>
      <c r="U18" s="303"/>
      <c r="V18" s="303"/>
      <c r="W18" s="303"/>
      <c r="X18" s="303"/>
      <c r="Y18" s="303"/>
      <c r="Z18" s="303"/>
      <c r="AA18" s="303"/>
      <c r="AB18" s="303"/>
      <c r="AC18" s="303"/>
      <c r="AD18" s="303"/>
      <c r="AE18" s="303"/>
      <c r="AF18" s="303"/>
      <c r="AG18" s="303"/>
      <c r="AH18" s="303"/>
      <c r="AI18" s="303"/>
      <c r="AJ18" s="303"/>
      <c r="AK18" s="303"/>
      <c r="AL18" s="303"/>
      <c r="AM18" s="303"/>
      <c r="AN18" s="303"/>
      <c r="AO18" s="303"/>
      <c r="AP18" s="303"/>
      <c r="AQ18" s="303"/>
      <c r="AR18" s="303"/>
      <c r="AS18" s="303"/>
      <c r="AT18" s="303"/>
      <c r="AU18" s="303"/>
      <c r="AV18" s="303"/>
      <c r="AW18" s="303"/>
      <c r="AX18" s="303"/>
      <c r="AY18" s="303"/>
      <c r="AZ18" s="303"/>
      <c r="BA18" s="303"/>
      <c r="BB18" s="303"/>
      <c r="BC18" s="303"/>
      <c r="BD18" s="303"/>
      <c r="BE18" s="303"/>
      <c r="BF18" s="303"/>
      <c r="BG18" s="303"/>
      <c r="BH18" s="303"/>
      <c r="BI18" s="303"/>
      <c r="BJ18" s="303"/>
      <c r="BK18" s="303"/>
      <c r="BL18" s="303"/>
      <c r="BM18" s="303"/>
      <c r="BN18" s="303"/>
      <c r="BO18" s="303"/>
      <c r="BP18" s="303"/>
      <c r="BQ18" s="303"/>
      <c r="BR18" s="303"/>
    </row>
    <row r="19" spans="1:70" s="301" customFormat="1">
      <c r="A19" s="38"/>
      <c r="B19" s="303" t="s">
        <v>592</v>
      </c>
      <c r="C19" s="391" t="s">
        <v>410</v>
      </c>
      <c r="D19" s="332" t="s">
        <v>447</v>
      </c>
      <c r="E19" s="1018">
        <v>0.37</v>
      </c>
      <c r="F19" s="1018">
        <v>0.24</v>
      </c>
      <c r="G19" s="1018">
        <v>0.33</v>
      </c>
      <c r="H19" s="689">
        <v>1.99</v>
      </c>
      <c r="I19" s="391">
        <v>1</v>
      </c>
      <c r="J19" s="640">
        <v>1</v>
      </c>
      <c r="K19" s="391">
        <v>1.05</v>
      </c>
      <c r="L19" s="391">
        <v>1.3</v>
      </c>
      <c r="M19" s="391">
        <v>0</v>
      </c>
      <c r="N19" s="391">
        <v>0</v>
      </c>
      <c r="O19" s="689"/>
      <c r="P19" s="405"/>
      <c r="Q19" s="407"/>
      <c r="R19" s="407"/>
      <c r="S19" s="402"/>
      <c r="T19" s="303"/>
      <c r="U19" s="303"/>
      <c r="V19" s="303"/>
      <c r="W19" s="303"/>
      <c r="X19" s="303"/>
      <c r="Y19" s="303"/>
      <c r="Z19" s="303"/>
      <c r="AA19" s="303"/>
      <c r="AB19" s="303"/>
      <c r="AC19" s="303"/>
      <c r="AD19" s="303"/>
      <c r="AE19" s="303"/>
      <c r="AF19" s="303"/>
      <c r="AG19" s="303"/>
      <c r="AH19" s="303"/>
      <c r="AI19" s="303"/>
      <c r="AJ19" s="303"/>
      <c r="AK19" s="303"/>
      <c r="AL19" s="303"/>
      <c r="AM19" s="303"/>
      <c r="AN19" s="303"/>
      <c r="AO19" s="303"/>
      <c r="AP19" s="303"/>
      <c r="AQ19" s="303"/>
      <c r="AR19" s="303"/>
      <c r="AS19" s="303"/>
      <c r="AT19" s="303"/>
      <c r="AU19" s="303"/>
      <c r="AV19" s="303"/>
      <c r="AW19" s="303"/>
      <c r="AX19" s="303"/>
      <c r="AY19" s="303"/>
      <c r="AZ19" s="303"/>
      <c r="BA19" s="303"/>
      <c r="BB19" s="303"/>
      <c r="BC19" s="303"/>
      <c r="BD19" s="303"/>
      <c r="BE19" s="303"/>
      <c r="BF19" s="303"/>
      <c r="BG19" s="303"/>
      <c r="BH19" s="303"/>
      <c r="BI19" s="303"/>
      <c r="BJ19" s="303"/>
      <c r="BK19" s="303"/>
      <c r="BL19" s="303"/>
      <c r="BM19" s="303"/>
      <c r="BN19" s="303"/>
      <c r="BO19" s="303"/>
      <c r="BP19" s="303"/>
      <c r="BQ19" s="303"/>
      <c r="BR19" s="303"/>
    </row>
    <row r="20" spans="1:70" s="301" customFormat="1">
      <c r="A20" s="38"/>
      <c r="B20" s="303"/>
      <c r="C20" s="360"/>
      <c r="D20" s="391"/>
      <c r="E20" s="391"/>
      <c r="F20" s="391"/>
      <c r="G20" s="391"/>
      <c r="H20" s="391"/>
      <c r="I20" s="391"/>
      <c r="J20" s="391"/>
      <c r="K20" s="391"/>
      <c r="L20" s="391"/>
      <c r="M20" s="391"/>
      <c r="N20" s="391"/>
      <c r="O20" s="391"/>
      <c r="P20" s="405"/>
      <c r="Q20" s="406"/>
      <c r="R20" s="407"/>
      <c r="S20" s="402"/>
      <c r="T20" s="303"/>
      <c r="U20" s="303"/>
      <c r="V20" s="303"/>
      <c r="W20" s="303"/>
      <c r="X20" s="303"/>
      <c r="Y20" s="303"/>
      <c r="Z20" s="303"/>
      <c r="AA20" s="303"/>
      <c r="AB20" s="303"/>
      <c r="AC20" s="303"/>
      <c r="AD20" s="303"/>
      <c r="AE20" s="303"/>
      <c r="AF20" s="303"/>
      <c r="AG20" s="303"/>
      <c r="AH20" s="303"/>
      <c r="AI20" s="303"/>
      <c r="AJ20" s="303"/>
      <c r="AK20" s="303"/>
      <c r="AL20" s="303"/>
      <c r="AM20" s="303"/>
      <c r="AN20" s="303"/>
      <c r="AO20" s="303"/>
      <c r="AP20" s="303"/>
      <c r="AQ20" s="303"/>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R20" s="303"/>
    </row>
    <row r="21" spans="1:70" s="369" customFormat="1" ht="15.75">
      <c r="A21" s="349">
        <v>2</v>
      </c>
      <c r="B21" s="376" t="s">
        <v>632</v>
      </c>
      <c r="C21" s="1336"/>
      <c r="D21" s="349"/>
      <c r="E21" s="349"/>
      <c r="F21" s="349"/>
      <c r="G21" s="349"/>
      <c r="H21" s="1337"/>
      <c r="I21" s="1337"/>
      <c r="J21" s="1338"/>
      <c r="K21" s="367"/>
      <c r="L21" s="364"/>
      <c r="M21" s="483"/>
      <c r="N21" s="483"/>
      <c r="O21" s="483"/>
      <c r="P21" s="483"/>
      <c r="Q21" s="367"/>
      <c r="R21" s="367"/>
      <c r="S21" s="367"/>
      <c r="T21" s="367"/>
      <c r="U21" s="368"/>
      <c r="V21" s="368"/>
    </row>
    <row r="22" spans="1:70" s="303" customFormat="1" ht="11.25">
      <c r="A22" s="416"/>
      <c r="B22" s="385"/>
      <c r="C22" s="388"/>
      <c r="D22" s="418"/>
      <c r="E22" s="419" t="s">
        <v>35</v>
      </c>
      <c r="F22" s="420"/>
      <c r="G22" s="421"/>
      <c r="H22" s="418"/>
      <c r="I22" s="419" t="s">
        <v>34</v>
      </c>
      <c r="J22" s="420"/>
      <c r="K22" s="421"/>
      <c r="L22" s="418"/>
      <c r="M22" s="419" t="s">
        <v>33</v>
      </c>
      <c r="N22" s="422"/>
      <c r="O22" s="421"/>
      <c r="P22" s="417"/>
    </row>
    <row r="23" spans="1:70" s="303" customFormat="1" ht="11.25">
      <c r="A23" s="416"/>
      <c r="B23" s="385"/>
      <c r="C23" s="423" t="s">
        <v>410</v>
      </c>
      <c r="D23" s="424">
        <f>SUM(D26:D36)</f>
        <v>1</v>
      </c>
      <c r="E23" s="425">
        <v>100514.72914560002</v>
      </c>
      <c r="F23" s="426"/>
      <c r="G23" s="427"/>
      <c r="H23" s="424">
        <f>SUM(H26:H36)</f>
        <v>1</v>
      </c>
      <c r="I23" s="425">
        <v>106999.55038080004</v>
      </c>
      <c r="J23" s="426"/>
      <c r="K23" s="427"/>
      <c r="L23" s="424">
        <f>SUM(L26:L36)</f>
        <v>1</v>
      </c>
      <c r="M23" s="425">
        <v>110583.26737920001</v>
      </c>
      <c r="N23" s="428"/>
      <c r="O23" s="427"/>
      <c r="P23" s="417"/>
    </row>
    <row r="24" spans="1:70" s="303" customFormat="1" ht="11.25">
      <c r="A24" s="416"/>
      <c r="B24" s="385"/>
      <c r="C24" s="426" t="s">
        <v>411</v>
      </c>
      <c r="D24" s="429"/>
      <c r="E24" s="427"/>
      <c r="F24" s="430">
        <f>SUM(F26:F36)</f>
        <v>1</v>
      </c>
      <c r="G24" s="431">
        <v>163997.71597440002</v>
      </c>
      <c r="H24" s="429"/>
      <c r="I24" s="427"/>
      <c r="J24" s="430">
        <f>SUM(J26:J36)</f>
        <v>1</v>
      </c>
      <c r="K24" s="431">
        <v>174578.21377920004</v>
      </c>
      <c r="L24" s="429"/>
      <c r="M24" s="427"/>
      <c r="N24" s="430">
        <f>SUM(N26:N36)</f>
        <v>1</v>
      </c>
      <c r="O24" s="431">
        <v>196592.47534080004</v>
      </c>
      <c r="P24" s="417"/>
    </row>
    <row r="25" spans="1:70" s="303" customFormat="1" ht="11.25">
      <c r="A25" s="416"/>
      <c r="B25" s="357" t="s">
        <v>66</v>
      </c>
      <c r="C25" s="392" t="s">
        <v>432</v>
      </c>
      <c r="D25" s="432"/>
      <c r="E25" s="396"/>
      <c r="F25" s="357"/>
      <c r="G25" s="433"/>
      <c r="H25" s="432"/>
      <c r="I25" s="396"/>
      <c r="J25" s="357"/>
      <c r="K25" s="433"/>
      <c r="L25" s="432"/>
      <c r="M25" s="396"/>
      <c r="N25" s="434"/>
      <c r="O25" s="433"/>
      <c r="P25" s="417"/>
    </row>
    <row r="26" spans="1:70" s="303" customFormat="1" ht="11.25">
      <c r="A26" s="416"/>
      <c r="B26" s="303" t="str">
        <f>B11</f>
        <v>BR01-01</v>
      </c>
      <c r="C26" s="391" t="str">
        <f>C11</f>
        <v>[retail]</v>
      </c>
      <c r="D26" s="1349">
        <v>0.11</v>
      </c>
      <c r="E26" s="515">
        <f t="shared" ref="E26:E34" si="0">IF(C26="[retail]",VLOOKUP(C26, retail_wholesale_oper,3,FALSE)*D26,"")</f>
        <v>11056.620206016003</v>
      </c>
      <c r="F26" s="391"/>
      <c r="G26" s="516" t="str">
        <f t="shared" ref="G26:G34" si="1">IF(C26="[wholesale]",F26*VLOOKUP(C26,retail_wholesale_oper,5,FALSE),"")</f>
        <v/>
      </c>
      <c r="H26" s="1349">
        <v>0.11</v>
      </c>
      <c r="I26" s="515">
        <f t="shared" ref="I26:I34" si="2">IF(C26="[retail]",VLOOKUP(C26,retail_wholesale_oper,7,FALSE)*H26,"")</f>
        <v>11769.950541888003</v>
      </c>
      <c r="J26" s="391"/>
      <c r="K26" s="463" t="str">
        <f t="shared" ref="K26:K34" si="3">IF(C26="[wholesale]",VLOOKUP(C26,retail_wholesale_oper,9,FALSE)*J26,"")</f>
        <v/>
      </c>
      <c r="L26" s="1349">
        <v>0.11</v>
      </c>
      <c r="M26" s="515">
        <f t="shared" ref="M26:M34" si="4">IF(C26="[retail]",VLOOKUP(C26,retail_wholesale_oper,11,FALSE)*L26,"")</f>
        <v>12164.159411712002</v>
      </c>
      <c r="N26" s="417"/>
      <c r="O26" s="515" t="str">
        <f t="shared" ref="O26:O34" si="5">IF(C26="[wholesale]",VLOOKUP(C26,retail_wholesale_oper,13,FALSE)*N26,"")</f>
        <v/>
      </c>
      <c r="P26" s="417"/>
    </row>
    <row r="27" spans="1:70" s="303" customFormat="1" ht="11.25">
      <c r="A27" s="416"/>
      <c r="B27" s="303" t="str">
        <f t="shared" ref="B27:C34" si="6">B12</f>
        <v>BR01-02</v>
      </c>
      <c r="C27" s="391" t="str">
        <f t="shared" si="6"/>
        <v>[retail]</v>
      </c>
      <c r="D27" s="1350">
        <v>0.11</v>
      </c>
      <c r="E27" s="515">
        <f t="shared" si="0"/>
        <v>11056.620206016003</v>
      </c>
      <c r="F27" s="391"/>
      <c r="G27" s="516" t="str">
        <f t="shared" si="1"/>
        <v/>
      </c>
      <c r="H27" s="1350">
        <v>0.11</v>
      </c>
      <c r="I27" s="515">
        <f t="shared" si="2"/>
        <v>11769.950541888003</v>
      </c>
      <c r="J27" s="391"/>
      <c r="K27" s="463" t="str">
        <f t="shared" si="3"/>
        <v/>
      </c>
      <c r="L27" s="1350">
        <v>0.11</v>
      </c>
      <c r="M27" s="515">
        <f t="shared" si="4"/>
        <v>12164.159411712002</v>
      </c>
      <c r="N27" s="417"/>
      <c r="O27" s="515" t="str">
        <f t="shared" si="5"/>
        <v/>
      </c>
      <c r="P27" s="417"/>
    </row>
    <row r="28" spans="1:70" s="303" customFormat="1" ht="11.25">
      <c r="A28" s="416"/>
      <c r="B28" s="303" t="str">
        <f t="shared" si="6"/>
        <v>BR01-03</v>
      </c>
      <c r="C28" s="391" t="str">
        <f t="shared" si="6"/>
        <v>[retail]</v>
      </c>
      <c r="D28" s="1350">
        <v>0.09</v>
      </c>
      <c r="E28" s="515">
        <f t="shared" si="0"/>
        <v>9046.3256231040014</v>
      </c>
      <c r="F28" s="391"/>
      <c r="G28" s="516" t="str">
        <f t="shared" si="1"/>
        <v/>
      </c>
      <c r="H28" s="1350">
        <v>0.09</v>
      </c>
      <c r="I28" s="515">
        <f t="shared" si="2"/>
        <v>9629.9595342720022</v>
      </c>
      <c r="J28" s="391"/>
      <c r="K28" s="463" t="str">
        <f t="shared" si="3"/>
        <v/>
      </c>
      <c r="L28" s="1350">
        <v>0.09</v>
      </c>
      <c r="M28" s="515">
        <f t="shared" si="4"/>
        <v>9952.4940641280009</v>
      </c>
      <c r="N28" s="417"/>
      <c r="O28" s="515" t="str">
        <f t="shared" si="5"/>
        <v/>
      </c>
      <c r="P28" s="417"/>
    </row>
    <row r="29" spans="1:70" s="303" customFormat="1" ht="11.25">
      <c r="A29" s="416"/>
      <c r="B29" s="303" t="str">
        <f t="shared" si="6"/>
        <v>BR01-04</v>
      </c>
      <c r="C29" s="391" t="str">
        <f t="shared" si="6"/>
        <v>[retail]</v>
      </c>
      <c r="D29" s="1350">
        <v>0.23</v>
      </c>
      <c r="E29" s="515">
        <f t="shared" si="0"/>
        <v>23118.387703488006</v>
      </c>
      <c r="F29" s="391"/>
      <c r="G29" s="516" t="str">
        <f t="shared" si="1"/>
        <v/>
      </c>
      <c r="H29" s="1350">
        <v>0.23</v>
      </c>
      <c r="I29" s="515">
        <f t="shared" si="2"/>
        <v>24609.896587584008</v>
      </c>
      <c r="J29" s="391"/>
      <c r="K29" s="463" t="str">
        <f t="shared" si="3"/>
        <v/>
      </c>
      <c r="L29" s="1350">
        <v>0.23</v>
      </c>
      <c r="M29" s="515">
        <f t="shared" si="4"/>
        <v>25434.151497216004</v>
      </c>
      <c r="N29" s="417"/>
      <c r="O29" s="515" t="str">
        <f t="shared" si="5"/>
        <v/>
      </c>
      <c r="P29" s="417"/>
    </row>
    <row r="30" spans="1:70" s="303" customFormat="1" ht="11.25">
      <c r="A30" s="416"/>
      <c r="B30" s="303" t="str">
        <f t="shared" si="6"/>
        <v>BR01-05</v>
      </c>
      <c r="C30" s="391" t="str">
        <f t="shared" si="6"/>
        <v>[retail]</v>
      </c>
      <c r="D30" s="1350">
        <v>0.23</v>
      </c>
      <c r="E30" s="515">
        <f t="shared" si="0"/>
        <v>23118.387703488006</v>
      </c>
      <c r="F30" s="391"/>
      <c r="G30" s="516" t="str">
        <f t="shared" si="1"/>
        <v/>
      </c>
      <c r="H30" s="1350">
        <v>0.23</v>
      </c>
      <c r="I30" s="515">
        <f t="shared" si="2"/>
        <v>24609.896587584008</v>
      </c>
      <c r="J30" s="391"/>
      <c r="K30" s="463" t="str">
        <f t="shared" si="3"/>
        <v/>
      </c>
      <c r="L30" s="1350">
        <v>0.23</v>
      </c>
      <c r="M30" s="515">
        <f t="shared" si="4"/>
        <v>25434.151497216004</v>
      </c>
      <c r="N30" s="417"/>
      <c r="O30" s="515" t="str">
        <f t="shared" si="5"/>
        <v/>
      </c>
      <c r="P30" s="417"/>
    </row>
    <row r="31" spans="1:70" s="303" customFormat="1" ht="11.25">
      <c r="A31" s="416"/>
      <c r="B31" s="303" t="str">
        <f t="shared" si="6"/>
        <v>BR01-06</v>
      </c>
      <c r="C31" s="391" t="str">
        <f t="shared" si="6"/>
        <v>[retail]</v>
      </c>
      <c r="D31" s="1351">
        <v>0.23</v>
      </c>
      <c r="E31" s="515">
        <f t="shared" si="0"/>
        <v>23118.387703488006</v>
      </c>
      <c r="F31" s="391"/>
      <c r="G31" s="516" t="str">
        <f t="shared" si="1"/>
        <v/>
      </c>
      <c r="H31" s="1351">
        <v>0.23</v>
      </c>
      <c r="I31" s="515">
        <f t="shared" si="2"/>
        <v>24609.896587584008</v>
      </c>
      <c r="J31" s="391"/>
      <c r="K31" s="463" t="str">
        <f t="shared" si="3"/>
        <v/>
      </c>
      <c r="L31" s="1351">
        <v>0.23</v>
      </c>
      <c r="M31" s="515">
        <f t="shared" si="4"/>
        <v>25434.151497216004</v>
      </c>
      <c r="N31" s="417"/>
      <c r="O31" s="515" t="str">
        <f t="shared" si="5"/>
        <v/>
      </c>
      <c r="P31" s="417"/>
    </row>
    <row r="32" spans="1:70" s="303" customFormat="1" ht="11.25">
      <c r="A32" s="416"/>
      <c r="B32" s="303" t="str">
        <f t="shared" si="6"/>
        <v>BR01-07</v>
      </c>
      <c r="C32" s="391" t="str">
        <f t="shared" si="6"/>
        <v>[wholesale]</v>
      </c>
      <c r="D32" s="391"/>
      <c r="E32" s="515" t="str">
        <f t="shared" si="0"/>
        <v/>
      </c>
      <c r="F32" s="1350">
        <v>0.45</v>
      </c>
      <c r="G32" s="516">
        <f t="shared" si="1"/>
        <v>73798.972188480009</v>
      </c>
      <c r="H32" s="391"/>
      <c r="I32" s="515" t="str">
        <f t="shared" si="2"/>
        <v/>
      </c>
      <c r="J32" s="1350">
        <v>0.48</v>
      </c>
      <c r="K32" s="463">
        <f t="shared" si="3"/>
        <v>83797.542614016013</v>
      </c>
      <c r="L32" s="391"/>
      <c r="M32" s="515" t="str">
        <f t="shared" si="4"/>
        <v/>
      </c>
      <c r="N32" s="761">
        <v>0.5</v>
      </c>
      <c r="O32" s="515">
        <f t="shared" si="5"/>
        <v>98296.23767040002</v>
      </c>
      <c r="P32" s="417"/>
    </row>
    <row r="33" spans="1:48" s="303" customFormat="1" ht="11.25">
      <c r="A33" s="416"/>
      <c r="B33" s="303" t="str">
        <f t="shared" si="6"/>
        <v>BR01-08</v>
      </c>
      <c r="C33" s="391" t="str">
        <f t="shared" si="6"/>
        <v>[wholesale]</v>
      </c>
      <c r="D33" s="391"/>
      <c r="E33" s="515" t="str">
        <f t="shared" si="0"/>
        <v/>
      </c>
      <c r="F33" s="1351">
        <v>0.55000000000000004</v>
      </c>
      <c r="G33" s="516">
        <f t="shared" si="1"/>
        <v>90198.743785920014</v>
      </c>
      <c r="H33" s="391"/>
      <c r="I33" s="515" t="str">
        <f t="shared" si="2"/>
        <v/>
      </c>
      <c r="J33" s="1351">
        <v>0.52</v>
      </c>
      <c r="K33" s="463">
        <f t="shared" si="3"/>
        <v>90780.671165184031</v>
      </c>
      <c r="L33" s="391"/>
      <c r="M33" s="515" t="str">
        <f t="shared" si="4"/>
        <v/>
      </c>
      <c r="N33" s="763">
        <v>0.5</v>
      </c>
      <c r="O33" s="515">
        <f t="shared" si="5"/>
        <v>98296.23767040002</v>
      </c>
      <c r="P33" s="417"/>
    </row>
    <row r="34" spans="1:48" s="303" customFormat="1" ht="11.25">
      <c r="A34" s="416"/>
      <c r="B34" s="303" t="str">
        <f t="shared" si="6"/>
        <v>BR01-09</v>
      </c>
      <c r="C34" s="391" t="str">
        <f>C19</f>
        <v>[retail]</v>
      </c>
      <c r="D34" s="401">
        <v>0</v>
      </c>
      <c r="E34" s="515">
        <f t="shared" si="0"/>
        <v>0</v>
      </c>
      <c r="F34" s="1339"/>
      <c r="G34" s="516" t="str">
        <f t="shared" si="1"/>
        <v/>
      </c>
      <c r="H34" s="401">
        <v>0</v>
      </c>
      <c r="I34" s="515">
        <f t="shared" si="2"/>
        <v>0</v>
      </c>
      <c r="J34" s="1339"/>
      <c r="K34" s="463" t="str">
        <f t="shared" si="3"/>
        <v/>
      </c>
      <c r="L34" s="401">
        <v>0</v>
      </c>
      <c r="M34" s="515">
        <f t="shared" si="4"/>
        <v>0</v>
      </c>
      <c r="N34" s="697"/>
      <c r="O34" s="515" t="str">
        <f t="shared" si="5"/>
        <v/>
      </c>
      <c r="P34" s="417"/>
    </row>
    <row r="35" spans="1:48" s="369" customFormat="1" ht="12">
      <c r="B35" s="408"/>
      <c r="C35" s="303"/>
      <c r="D35" s="391"/>
      <c r="E35" s="1002"/>
      <c r="F35" s="391"/>
      <c r="G35" s="1002"/>
      <c r="H35" s="391"/>
      <c r="I35" s="1002"/>
      <c r="J35" s="391"/>
      <c r="K35" s="1002"/>
      <c r="L35" s="391"/>
      <c r="M35" s="1340"/>
      <c r="N35" s="1307"/>
      <c r="O35" s="1340"/>
      <c r="P35" s="304"/>
      <c r="Q35" s="304"/>
      <c r="R35" s="299"/>
      <c r="S35" s="403"/>
      <c r="T35" s="367"/>
      <c r="U35" s="367"/>
      <c r="V35" s="368"/>
      <c r="W35" s="368"/>
    </row>
    <row r="36" spans="1:48">
      <c r="B36" s="354"/>
      <c r="C36" s="354"/>
      <c r="D36" s="354"/>
      <c r="E36" s="1341"/>
      <c r="F36" s="354"/>
      <c r="G36" s="1341"/>
      <c r="H36" s="354"/>
      <c r="I36" s="1341"/>
      <c r="J36" s="354"/>
      <c r="K36" s="1341"/>
      <c r="L36" s="354"/>
      <c r="M36" s="1341"/>
      <c r="N36" s="354"/>
      <c r="O36" s="1341"/>
      <c r="P36" s="354"/>
      <c r="Q36" s="483"/>
      <c r="R36" s="483"/>
      <c r="S36" s="483"/>
      <c r="T36" s="483"/>
      <c r="U36" s="293"/>
      <c r="V36" s="356"/>
      <c r="W36" s="356"/>
    </row>
    <row r="37" spans="1:48" ht="15.75">
      <c r="A37" s="349">
        <v>3</v>
      </c>
      <c r="B37" s="436" t="s">
        <v>633</v>
      </c>
      <c r="C37" s="352"/>
      <c r="D37" s="349"/>
      <c r="E37" s="1342"/>
      <c r="F37" s="1342"/>
      <c r="G37" s="352"/>
      <c r="H37" s="352"/>
      <c r="I37" s="352"/>
      <c r="J37" s="352"/>
      <c r="K37" s="354"/>
      <c r="L37" s="354"/>
      <c r="M37" s="354"/>
      <c r="N37" s="354"/>
      <c r="O37" s="354"/>
      <c r="P37" s="354"/>
      <c r="Q37" s="483"/>
      <c r="R37" s="483"/>
      <c r="S37" s="483"/>
      <c r="T37" s="293"/>
      <c r="U37" s="356"/>
      <c r="V37" s="356"/>
    </row>
    <row r="38" spans="1:48">
      <c r="B38" s="354"/>
      <c r="C38" s="354"/>
      <c r="D38" s="354"/>
      <c r="E38" s="354"/>
      <c r="F38" s="364"/>
      <c r="G38" s="364"/>
      <c r="H38" s="364"/>
      <c r="I38" s="365"/>
      <c r="J38" s="365"/>
      <c r="K38" s="366"/>
      <c r="L38" s="367"/>
      <c r="M38" s="367"/>
      <c r="N38" s="367"/>
      <c r="O38" s="367"/>
      <c r="P38" s="367"/>
      <c r="Q38" s="367"/>
      <c r="R38" s="367"/>
      <c r="S38" s="367"/>
      <c r="T38" s="367"/>
      <c r="U38" s="293"/>
      <c r="V38" s="356"/>
      <c r="W38" s="356"/>
    </row>
    <row r="39" spans="1:48" s="444" customFormat="1">
      <c r="A39" s="441"/>
      <c r="B39" s="442" t="s">
        <v>438</v>
      </c>
      <c r="C39" s="442"/>
      <c r="D39" s="393" t="str">
        <f>B11</f>
        <v>BR01-01</v>
      </c>
      <c r="E39" s="395" t="str">
        <f>IF(B12="","",B12)</f>
        <v>BR01-02</v>
      </c>
      <c r="F39" s="395" t="str">
        <f>IF(B13="","",B13)</f>
        <v>BR01-03</v>
      </c>
      <c r="G39" s="395" t="str">
        <f>IF(B14="","",B14)</f>
        <v>BR01-04</v>
      </c>
      <c r="H39" s="357" t="str">
        <f>IF(B15="","",B15)</f>
        <v>BR01-05</v>
      </c>
      <c r="I39" s="357" t="str">
        <f>IF(B16="","",B16)</f>
        <v>BR01-06</v>
      </c>
      <c r="J39" s="357" t="str">
        <f>IF(B17="","",B17)</f>
        <v>BR01-07</v>
      </c>
      <c r="K39" s="357" t="str">
        <f>IFERROR(IF(B18="","",B18),"")</f>
        <v>BR01-08</v>
      </c>
      <c r="L39" s="357" t="str">
        <f>IFERROR(IF(B19="","",B19),"")</f>
        <v>BR01-09</v>
      </c>
      <c r="M39" s="293"/>
      <c r="N39" s="293"/>
      <c r="O39" s="293"/>
      <c r="P39" s="293"/>
      <c r="Q39" s="293"/>
      <c r="R39" s="293"/>
      <c r="S39" s="293"/>
      <c r="T39" s="293"/>
      <c r="U39" s="293"/>
      <c r="V39" s="293"/>
      <c r="W39" s="293"/>
      <c r="X39" s="293"/>
      <c r="Y39" s="29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row>
    <row r="40" spans="1:48" s="444" customFormat="1">
      <c r="A40" s="441"/>
      <c r="B40" s="442"/>
      <c r="C40" s="442"/>
      <c r="D40" s="395" t="str">
        <f>C11</f>
        <v>[retail]</v>
      </c>
      <c r="E40" s="395" t="str">
        <f>C12</f>
        <v>[retail]</v>
      </c>
      <c r="F40" s="395" t="str">
        <f>C13</f>
        <v>[retail]</v>
      </c>
      <c r="G40" s="395" t="str">
        <f>C14</f>
        <v>[retail]</v>
      </c>
      <c r="H40" s="395" t="str">
        <f>C15</f>
        <v>[retail]</v>
      </c>
      <c r="I40" s="395" t="str">
        <f>C16</f>
        <v>[retail]</v>
      </c>
      <c r="J40" s="395" t="str">
        <f>C17</f>
        <v>[wholesale]</v>
      </c>
      <c r="K40" s="395" t="str">
        <f>IFERROR(C18,"")</f>
        <v>[wholesale]</v>
      </c>
      <c r="L40" s="395" t="str">
        <f>IFERROR(C19,"")</f>
        <v>[retail]</v>
      </c>
      <c r="M40" s="293"/>
      <c r="N40" s="293"/>
      <c r="O40" s="293"/>
      <c r="P40" s="293"/>
      <c r="Q40" s="293"/>
      <c r="R40" s="293"/>
      <c r="S40" s="293"/>
      <c r="T40" s="293"/>
      <c r="U40" s="293"/>
      <c r="V40" s="293"/>
      <c r="W40" s="293"/>
      <c r="X40" s="293"/>
      <c r="Y40" s="29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row>
    <row r="41" spans="1:48" s="444" customFormat="1">
      <c r="A41" s="441"/>
      <c r="B41" s="445" t="s">
        <v>35</v>
      </c>
      <c r="C41" s="445"/>
      <c r="D41" s="446" t="s">
        <v>412</v>
      </c>
      <c r="E41" s="445"/>
      <c r="F41" s="445"/>
      <c r="G41" s="445"/>
      <c r="H41" s="445"/>
      <c r="I41" s="445"/>
      <c r="J41" s="445"/>
      <c r="K41" s="445"/>
      <c r="L41" s="293"/>
      <c r="M41" s="293"/>
      <c r="N41" s="293"/>
      <c r="O41" s="293"/>
      <c r="P41" s="293"/>
      <c r="Q41" s="293"/>
      <c r="R41" s="293"/>
      <c r="S41" s="293"/>
      <c r="T41" s="293"/>
      <c r="U41" s="293"/>
      <c r="V41" s="293"/>
      <c r="W41" s="293"/>
      <c r="X41" s="293"/>
      <c r="Y41" s="29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row>
    <row r="42" spans="1:48" s="444" customFormat="1">
      <c r="A42" s="447"/>
      <c r="B42" s="448" t="s">
        <v>47</v>
      </c>
      <c r="C42" s="442"/>
      <c r="D42" s="239">
        <v>0.04</v>
      </c>
      <c r="E42" s="239">
        <v>0.06</v>
      </c>
      <c r="F42" s="239">
        <v>0.02</v>
      </c>
      <c r="G42" s="239">
        <v>0.05</v>
      </c>
      <c r="H42" s="239">
        <v>0.05</v>
      </c>
      <c r="I42" s="239">
        <v>0.05</v>
      </c>
      <c r="J42" s="239">
        <v>0.03</v>
      </c>
      <c r="K42" s="239">
        <v>0.03</v>
      </c>
      <c r="L42" s="293"/>
      <c r="M42" s="293"/>
      <c r="N42" s="293"/>
      <c r="O42" s="293"/>
      <c r="P42" s="293"/>
      <c r="Q42" s="293"/>
      <c r="R42" s="293"/>
      <c r="S42" s="293"/>
      <c r="T42" s="293"/>
      <c r="U42" s="293"/>
      <c r="V42" s="293"/>
      <c r="W42" s="293"/>
      <c r="X42" s="293"/>
      <c r="Y42" s="29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row>
    <row r="43" spans="1:48" s="444" customFormat="1">
      <c r="A43" s="450"/>
      <c r="B43" s="448" t="s">
        <v>46</v>
      </c>
      <c r="C43" s="442"/>
      <c r="D43" s="239">
        <v>0.04</v>
      </c>
      <c r="E43" s="239">
        <v>0.05</v>
      </c>
      <c r="F43" s="239">
        <v>0.03</v>
      </c>
      <c r="G43" s="239">
        <v>0.05</v>
      </c>
      <c r="H43" s="239">
        <v>0.05</v>
      </c>
      <c r="I43" s="239">
        <v>0.05</v>
      </c>
      <c r="J43" s="239">
        <v>0.03</v>
      </c>
      <c r="K43" s="239">
        <v>0.03</v>
      </c>
      <c r="L43" s="293"/>
      <c r="M43" s="293"/>
      <c r="N43" s="293"/>
      <c r="O43" s="293"/>
      <c r="P43" s="293"/>
      <c r="Q43" s="293"/>
      <c r="R43" s="293"/>
      <c r="S43" s="293"/>
      <c r="T43" s="293"/>
      <c r="U43" s="293"/>
      <c r="V43" s="293"/>
      <c r="W43" s="293"/>
      <c r="X43" s="293"/>
      <c r="Y43" s="29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row>
    <row r="44" spans="1:48" s="444" customFormat="1">
      <c r="A44" s="442"/>
      <c r="B44" s="451" t="s">
        <v>45</v>
      </c>
      <c r="C44" s="442"/>
      <c r="D44" s="239">
        <v>0.04</v>
      </c>
      <c r="E44" s="239">
        <v>0.06</v>
      </c>
      <c r="F44" s="239">
        <v>0.03</v>
      </c>
      <c r="G44" s="239">
        <v>0.06</v>
      </c>
      <c r="H44" s="239">
        <v>0.06</v>
      </c>
      <c r="I44" s="239">
        <v>0.06</v>
      </c>
      <c r="J44" s="239">
        <v>0.03</v>
      </c>
      <c r="K44" s="239">
        <v>0.03</v>
      </c>
      <c r="L44" s="293"/>
      <c r="M44" s="293"/>
      <c r="N44" s="293"/>
      <c r="O44" s="293"/>
      <c r="P44" s="293"/>
      <c r="Q44" s="293"/>
      <c r="R44" s="293"/>
      <c r="S44" s="293"/>
      <c r="T44" s="293"/>
      <c r="U44" s="293"/>
      <c r="V44" s="293"/>
      <c r="W44" s="293"/>
      <c r="X44" s="293"/>
      <c r="Y44" s="29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row>
    <row r="45" spans="1:48" s="442" customFormat="1">
      <c r="B45" s="451" t="s">
        <v>44</v>
      </c>
      <c r="D45" s="239">
        <v>0.04</v>
      </c>
      <c r="E45" s="239">
        <v>0.06</v>
      </c>
      <c r="F45" s="239">
        <v>0.04</v>
      </c>
      <c r="G45" s="239">
        <v>7.0000000000000007E-2</v>
      </c>
      <c r="H45" s="239">
        <v>7.0000000000000007E-2</v>
      </c>
      <c r="I45" s="239">
        <v>7.0000000000000007E-2</v>
      </c>
      <c r="J45" s="239">
        <v>0.11</v>
      </c>
      <c r="K45" s="239">
        <v>0.11</v>
      </c>
      <c r="L45" s="293"/>
      <c r="M45" s="293"/>
      <c r="N45" s="293"/>
      <c r="O45" s="293"/>
      <c r="P45" s="293"/>
      <c r="Q45" s="293"/>
      <c r="R45" s="293"/>
      <c r="S45" s="293"/>
      <c r="T45" s="293"/>
      <c r="U45" s="293"/>
      <c r="V45" s="293"/>
      <c r="W45" s="293"/>
      <c r="X45" s="293"/>
      <c r="Y45" s="29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row>
    <row r="46" spans="1:48" s="442" customFormat="1">
      <c r="B46" s="451" t="s">
        <v>43</v>
      </c>
      <c r="D46" s="239">
        <v>0.12</v>
      </c>
      <c r="E46" s="239">
        <v>0.11</v>
      </c>
      <c r="F46" s="239">
        <v>0.11</v>
      </c>
      <c r="G46" s="239">
        <v>0.08</v>
      </c>
      <c r="H46" s="239">
        <v>0.08</v>
      </c>
      <c r="I46" s="239">
        <v>0.08</v>
      </c>
      <c r="J46" s="239">
        <v>0.11</v>
      </c>
      <c r="K46" s="239">
        <v>0.11</v>
      </c>
      <c r="L46" s="293"/>
      <c r="M46" s="293"/>
      <c r="N46" s="293"/>
      <c r="O46" s="293"/>
      <c r="P46" s="293"/>
      <c r="Q46" s="293"/>
      <c r="R46" s="293"/>
      <c r="S46" s="293"/>
      <c r="T46" s="293"/>
      <c r="U46" s="293"/>
      <c r="V46" s="293"/>
      <c r="W46" s="293"/>
      <c r="X46" s="293"/>
      <c r="Y46" s="29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row>
    <row r="47" spans="1:48" s="442" customFormat="1">
      <c r="A47" s="293"/>
      <c r="B47" s="451" t="s">
        <v>42</v>
      </c>
      <c r="D47" s="239">
        <v>0.12</v>
      </c>
      <c r="E47" s="239">
        <v>0.11</v>
      </c>
      <c r="F47" s="239">
        <v>0.12</v>
      </c>
      <c r="G47" s="239">
        <v>0.1</v>
      </c>
      <c r="H47" s="239">
        <v>0.1</v>
      </c>
      <c r="I47" s="239">
        <v>0.1</v>
      </c>
      <c r="J47" s="239">
        <v>0.14000000000000001</v>
      </c>
      <c r="K47" s="239">
        <v>0.14000000000000001</v>
      </c>
      <c r="L47" s="293"/>
      <c r="M47" s="293"/>
      <c r="N47" s="293"/>
      <c r="O47" s="293"/>
      <c r="P47" s="293"/>
      <c r="Q47" s="293"/>
      <c r="R47" s="293"/>
      <c r="S47" s="293"/>
      <c r="T47" s="293"/>
      <c r="U47" s="293"/>
      <c r="V47" s="293"/>
      <c r="W47" s="293"/>
      <c r="X47" s="293"/>
      <c r="Y47" s="29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row>
    <row r="48" spans="1:48" s="442" customFormat="1">
      <c r="A48" s="293"/>
      <c r="B48" s="451" t="s">
        <v>41</v>
      </c>
      <c r="D48" s="239">
        <v>0.12</v>
      </c>
      <c r="E48" s="239">
        <v>0.11</v>
      </c>
      <c r="F48" s="239">
        <v>0.12</v>
      </c>
      <c r="G48" s="239">
        <v>0.1</v>
      </c>
      <c r="H48" s="239">
        <v>0.1</v>
      </c>
      <c r="I48" s="239">
        <v>0.1</v>
      </c>
      <c r="J48" s="239">
        <v>0.14000000000000001</v>
      </c>
      <c r="K48" s="239">
        <v>0.14000000000000001</v>
      </c>
      <c r="L48" s="293"/>
      <c r="M48" s="293"/>
      <c r="N48" s="293"/>
      <c r="O48" s="293"/>
      <c r="P48" s="293"/>
      <c r="Q48" s="293"/>
      <c r="R48" s="293"/>
      <c r="S48" s="293"/>
      <c r="T48" s="293"/>
      <c r="U48" s="293"/>
      <c r="V48" s="293"/>
      <c r="W48" s="293"/>
      <c r="X48" s="293"/>
      <c r="Y48" s="29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row>
    <row r="49" spans="1:48" s="442" customFormat="1">
      <c r="A49" s="293"/>
      <c r="B49" s="451" t="s">
        <v>40</v>
      </c>
      <c r="D49" s="239">
        <v>0.12</v>
      </c>
      <c r="E49" s="239">
        <v>0.11</v>
      </c>
      <c r="F49" s="239">
        <v>0.12</v>
      </c>
      <c r="G49" s="239">
        <v>0.12</v>
      </c>
      <c r="H49" s="239">
        <v>0.12</v>
      </c>
      <c r="I49" s="239">
        <v>0.12</v>
      </c>
      <c r="J49" s="239">
        <v>0.12</v>
      </c>
      <c r="K49" s="239">
        <v>0.12</v>
      </c>
      <c r="L49" s="293"/>
      <c r="M49" s="293"/>
      <c r="N49" s="293"/>
      <c r="O49" s="293"/>
      <c r="P49" s="293"/>
      <c r="Q49" s="293"/>
      <c r="R49" s="293"/>
      <c r="S49" s="293"/>
      <c r="T49" s="293"/>
      <c r="U49" s="293"/>
      <c r="V49" s="293"/>
      <c r="W49" s="293"/>
      <c r="X49" s="293"/>
      <c r="Y49" s="29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row>
    <row r="50" spans="1:48" s="442" customFormat="1">
      <c r="A50" s="293"/>
      <c r="B50" s="451" t="s">
        <v>39</v>
      </c>
      <c r="D50" s="239">
        <v>0.12</v>
      </c>
      <c r="E50" s="239">
        <v>0.11</v>
      </c>
      <c r="F50" s="239">
        <v>0.12</v>
      </c>
      <c r="G50" s="239">
        <v>0.12</v>
      </c>
      <c r="H50" s="239">
        <v>0.12</v>
      </c>
      <c r="I50" s="239">
        <v>0.12</v>
      </c>
      <c r="J50" s="239">
        <v>0.12</v>
      </c>
      <c r="K50" s="239">
        <v>0.12</v>
      </c>
      <c r="L50" s="293"/>
      <c r="M50" s="293"/>
      <c r="N50" s="293"/>
      <c r="O50" s="293"/>
      <c r="P50" s="293"/>
      <c r="Q50" s="293"/>
      <c r="R50" s="293"/>
      <c r="S50" s="293"/>
      <c r="T50" s="293"/>
      <c r="U50" s="293"/>
      <c r="V50" s="293"/>
      <c r="W50" s="293"/>
      <c r="X50" s="293"/>
      <c r="Y50" s="29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row>
    <row r="51" spans="1:48" s="442" customFormat="1">
      <c r="A51" s="293"/>
      <c r="B51" s="451" t="s">
        <v>38</v>
      </c>
      <c r="D51" s="239">
        <v>0.1</v>
      </c>
      <c r="E51" s="239">
        <v>0.11</v>
      </c>
      <c r="F51" s="239">
        <v>0.11</v>
      </c>
      <c r="G51" s="239">
        <v>0.11</v>
      </c>
      <c r="H51" s="239">
        <v>0.11</v>
      </c>
      <c r="I51" s="239">
        <v>0.11</v>
      </c>
      <c r="J51" s="239">
        <v>0.11</v>
      </c>
      <c r="K51" s="239">
        <v>0.11</v>
      </c>
      <c r="L51" s="293"/>
      <c r="M51" s="293"/>
      <c r="N51" s="293"/>
      <c r="O51" s="293"/>
      <c r="P51" s="293"/>
      <c r="Q51" s="293"/>
      <c r="R51" s="293"/>
      <c r="S51" s="293"/>
      <c r="T51" s="293"/>
      <c r="U51" s="293"/>
      <c r="V51" s="293"/>
      <c r="W51" s="293"/>
      <c r="X51" s="293"/>
      <c r="Y51" s="29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row>
    <row r="52" spans="1:48" s="442" customFormat="1">
      <c r="A52" s="293"/>
      <c r="B52" s="451" t="s">
        <v>37</v>
      </c>
      <c r="D52" s="239">
        <v>7.0000000000000007E-2</v>
      </c>
      <c r="E52" s="239">
        <v>0.06</v>
      </c>
      <c r="F52" s="239">
        <v>0.15</v>
      </c>
      <c r="G52" s="239">
        <v>7.0000000000000007E-2</v>
      </c>
      <c r="H52" s="239">
        <v>7.0000000000000007E-2</v>
      </c>
      <c r="I52" s="239">
        <v>7.0000000000000007E-2</v>
      </c>
      <c r="J52" s="239">
        <v>0.03</v>
      </c>
      <c r="K52" s="239">
        <v>0.03</v>
      </c>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row>
    <row r="53" spans="1:48" s="442" customFormat="1">
      <c r="A53" s="293"/>
      <c r="B53" s="451" t="s">
        <v>36</v>
      </c>
      <c r="D53" s="239">
        <v>7.0000000000000007E-2</v>
      </c>
      <c r="E53" s="239">
        <v>0.05</v>
      </c>
      <c r="F53" s="239">
        <v>0.03</v>
      </c>
      <c r="G53" s="239">
        <v>7.0000000000000007E-2</v>
      </c>
      <c r="H53" s="239">
        <v>7.0000000000000007E-2</v>
      </c>
      <c r="I53" s="239">
        <v>7.0000000000000007E-2</v>
      </c>
      <c r="J53" s="239">
        <v>0.03</v>
      </c>
      <c r="K53" s="239">
        <v>0.03</v>
      </c>
      <c r="L53" s="293"/>
      <c r="M53" s="293"/>
      <c r="N53" s="293"/>
      <c r="O53" s="293"/>
      <c r="P53" s="293"/>
      <c r="Q53" s="293"/>
      <c r="R53" s="293"/>
      <c r="S53" s="293"/>
      <c r="T53" s="293"/>
      <c r="U53" s="293"/>
      <c r="V53" s="293"/>
      <c r="W53" s="293"/>
      <c r="X53" s="293"/>
      <c r="Y53" s="29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row>
    <row r="54" spans="1:48" s="442" customFormat="1">
      <c r="A54" s="293"/>
      <c r="B54" s="451" t="s">
        <v>413</v>
      </c>
      <c r="D54" s="452">
        <f t="shared" ref="D54:L54" si="7">SUM(D42:D53)</f>
        <v>1</v>
      </c>
      <c r="E54" s="452">
        <f t="shared" si="7"/>
        <v>1</v>
      </c>
      <c r="F54" s="452">
        <f t="shared" si="7"/>
        <v>1</v>
      </c>
      <c r="G54" s="452">
        <f t="shared" si="7"/>
        <v>1</v>
      </c>
      <c r="H54" s="452">
        <f t="shared" si="7"/>
        <v>1</v>
      </c>
      <c r="I54" s="452">
        <f t="shared" si="7"/>
        <v>1</v>
      </c>
      <c r="J54" s="452">
        <f t="shared" si="7"/>
        <v>1</v>
      </c>
      <c r="K54" s="452">
        <f t="shared" si="7"/>
        <v>1</v>
      </c>
      <c r="L54" s="452">
        <f t="shared" si="7"/>
        <v>0</v>
      </c>
      <c r="M54" s="293"/>
      <c r="N54" s="293"/>
      <c r="O54" s="293"/>
      <c r="P54" s="293"/>
      <c r="Q54" s="293"/>
      <c r="R54" s="293"/>
      <c r="S54" s="293"/>
      <c r="T54" s="293"/>
      <c r="U54" s="293"/>
      <c r="V54" s="293"/>
      <c r="W54" s="293"/>
      <c r="AG54" s="293"/>
      <c r="AH54" s="293"/>
      <c r="AI54" s="293"/>
      <c r="AJ54" s="293"/>
      <c r="AK54" s="293"/>
      <c r="AL54" s="293"/>
      <c r="AM54" s="293"/>
      <c r="AN54" s="293"/>
      <c r="AO54" s="293"/>
      <c r="AP54" s="293"/>
      <c r="AQ54" s="293"/>
      <c r="AR54" s="293"/>
      <c r="AS54" s="293"/>
      <c r="AT54" s="293"/>
      <c r="AU54" s="293"/>
      <c r="AV54" s="293"/>
    </row>
    <row r="55" spans="1:48" s="442" customFormat="1">
      <c r="A55" s="293"/>
      <c r="B55" s="451"/>
      <c r="D55" s="453" t="s">
        <v>414</v>
      </c>
      <c r="E55" s="454"/>
      <c r="F55" s="454"/>
      <c r="G55" s="454"/>
      <c r="H55" s="454"/>
      <c r="I55" s="454"/>
      <c r="J55" s="454"/>
      <c r="K55" s="454"/>
      <c r="L55" s="454"/>
      <c r="M55" s="293"/>
      <c r="N55" s="293"/>
      <c r="O55" s="293"/>
      <c r="P55" s="293"/>
      <c r="Q55" s="293"/>
      <c r="R55" s="293"/>
      <c r="S55" s="293"/>
      <c r="T55" s="293"/>
      <c r="U55" s="293"/>
      <c r="V55" s="293"/>
      <c r="W55" s="293"/>
      <c r="AG55" s="293"/>
      <c r="AH55" s="293"/>
      <c r="AI55" s="293"/>
      <c r="AJ55" s="293"/>
      <c r="AK55" s="293"/>
      <c r="AL55" s="293"/>
      <c r="AM55" s="293"/>
      <c r="AN55" s="293"/>
      <c r="AO55" s="293"/>
      <c r="AP55" s="293"/>
      <c r="AQ55" s="293"/>
      <c r="AR55" s="293"/>
      <c r="AS55" s="293"/>
      <c r="AT55" s="293"/>
      <c r="AU55" s="293"/>
      <c r="AV55" s="293"/>
    </row>
    <row r="56" spans="1:48" s="442" customFormat="1">
      <c r="A56" s="441"/>
      <c r="B56" s="448" t="s">
        <v>47</v>
      </c>
      <c r="D56" s="455">
        <f t="shared" ref="D56:L56" si="8">D68*D42</f>
        <v>442.26480824064015</v>
      </c>
      <c r="E56" s="455">
        <f t="shared" si="8"/>
        <v>663.39721236096011</v>
      </c>
      <c r="F56" s="455">
        <f t="shared" si="8"/>
        <v>180.92651246208004</v>
      </c>
      <c r="G56" s="455">
        <f t="shared" si="8"/>
        <v>1155.9193851744003</v>
      </c>
      <c r="H56" s="455">
        <f t="shared" si="8"/>
        <v>1155.9193851744003</v>
      </c>
      <c r="I56" s="455">
        <f t="shared" si="8"/>
        <v>1155.9193851744003</v>
      </c>
      <c r="J56" s="455">
        <f t="shared" si="8"/>
        <v>2213.9691656544001</v>
      </c>
      <c r="K56" s="455">
        <f t="shared" si="8"/>
        <v>2705.9623135776005</v>
      </c>
      <c r="L56" s="455">
        <f t="shared" si="8"/>
        <v>0</v>
      </c>
      <c r="M56" s="293"/>
      <c r="N56" s="293"/>
      <c r="O56" s="293"/>
      <c r="P56" s="293"/>
      <c r="Q56" s="293"/>
      <c r="R56" s="293"/>
      <c r="S56" s="293"/>
      <c r="T56" s="293"/>
      <c r="U56" s="293"/>
      <c r="V56" s="293"/>
      <c r="W56" s="293"/>
      <c r="AG56" s="293"/>
      <c r="AH56" s="293"/>
      <c r="AI56" s="293"/>
      <c r="AJ56" s="293"/>
      <c r="AK56" s="293"/>
      <c r="AL56" s="293"/>
      <c r="AM56" s="293"/>
      <c r="AN56" s="293"/>
      <c r="AO56" s="293"/>
      <c r="AP56" s="293"/>
      <c r="AQ56" s="293"/>
      <c r="AR56" s="293"/>
      <c r="AS56" s="293"/>
      <c r="AT56" s="293"/>
      <c r="AU56" s="293"/>
      <c r="AV56" s="293"/>
    </row>
    <row r="57" spans="1:48" s="442" customFormat="1">
      <c r="A57" s="441"/>
      <c r="B57" s="448" t="s">
        <v>46</v>
      </c>
      <c r="D57" s="455">
        <f t="shared" ref="D57:L57" si="9">D68*D43</f>
        <v>442.26480824064015</v>
      </c>
      <c r="E57" s="455">
        <f t="shared" si="9"/>
        <v>552.83101030080013</v>
      </c>
      <c r="F57" s="455">
        <f t="shared" si="9"/>
        <v>271.38976869312</v>
      </c>
      <c r="G57" s="455">
        <f t="shared" si="9"/>
        <v>1155.9193851744003</v>
      </c>
      <c r="H57" s="455">
        <f t="shared" si="9"/>
        <v>1155.9193851744003</v>
      </c>
      <c r="I57" s="455">
        <f t="shared" si="9"/>
        <v>1155.9193851744003</v>
      </c>
      <c r="J57" s="455">
        <f t="shared" si="9"/>
        <v>2213.9691656544001</v>
      </c>
      <c r="K57" s="455">
        <f t="shared" si="9"/>
        <v>2705.9623135776005</v>
      </c>
      <c r="L57" s="455">
        <f t="shared" si="9"/>
        <v>0</v>
      </c>
      <c r="M57" s="293"/>
      <c r="N57" s="293"/>
      <c r="O57" s="293"/>
      <c r="P57" s="293"/>
      <c r="Q57" s="293"/>
      <c r="R57" s="293"/>
      <c r="S57" s="293"/>
      <c r="T57" s="293"/>
      <c r="U57" s="293"/>
      <c r="V57" s="293"/>
      <c r="W57" s="293"/>
      <c r="AG57" s="293"/>
      <c r="AH57" s="293"/>
      <c r="AI57" s="293"/>
      <c r="AJ57" s="293"/>
      <c r="AK57" s="293"/>
      <c r="AL57" s="293"/>
      <c r="AM57" s="293"/>
      <c r="AN57" s="293"/>
      <c r="AO57" s="293"/>
      <c r="AP57" s="293"/>
      <c r="AQ57" s="293"/>
      <c r="AR57" s="293"/>
      <c r="AS57" s="293"/>
      <c r="AT57" s="293"/>
      <c r="AU57" s="293"/>
      <c r="AV57" s="293"/>
    </row>
    <row r="58" spans="1:48" s="442" customFormat="1">
      <c r="A58" s="441"/>
      <c r="B58" s="451" t="s">
        <v>45</v>
      </c>
      <c r="D58" s="455">
        <f t="shared" ref="D58:L58" si="10">D68*D44</f>
        <v>442.26480824064015</v>
      </c>
      <c r="E58" s="455">
        <f t="shared" si="10"/>
        <v>663.39721236096011</v>
      </c>
      <c r="F58" s="455">
        <f t="shared" si="10"/>
        <v>271.38976869312</v>
      </c>
      <c r="G58" s="455">
        <f t="shared" si="10"/>
        <v>1387.1032622092803</v>
      </c>
      <c r="H58" s="455">
        <f t="shared" si="10"/>
        <v>1387.1032622092803</v>
      </c>
      <c r="I58" s="455">
        <f t="shared" si="10"/>
        <v>1387.1032622092803</v>
      </c>
      <c r="J58" s="455">
        <f t="shared" si="10"/>
        <v>2213.9691656544001</v>
      </c>
      <c r="K58" s="455">
        <f t="shared" si="10"/>
        <v>2705.9623135776005</v>
      </c>
      <c r="L58" s="455">
        <f t="shared" si="10"/>
        <v>0</v>
      </c>
      <c r="M58" s="293"/>
      <c r="N58" s="293"/>
      <c r="O58" s="293"/>
      <c r="P58" s="293"/>
      <c r="Q58" s="293"/>
      <c r="R58" s="293"/>
      <c r="S58" s="293"/>
      <c r="T58" s="293"/>
      <c r="U58" s="293"/>
      <c r="V58" s="293"/>
      <c r="W58" s="293"/>
      <c r="AG58" s="293"/>
      <c r="AH58" s="293"/>
      <c r="AI58" s="293"/>
      <c r="AJ58" s="293"/>
      <c r="AK58" s="293"/>
      <c r="AL58" s="293"/>
      <c r="AM58" s="293"/>
      <c r="AN58" s="293"/>
      <c r="AO58" s="293"/>
      <c r="AP58" s="293"/>
      <c r="AQ58" s="293"/>
      <c r="AR58" s="293"/>
      <c r="AS58" s="293"/>
      <c r="AT58" s="293"/>
      <c r="AU58" s="293"/>
      <c r="AV58" s="293"/>
    </row>
    <row r="59" spans="1:48" s="442" customFormat="1">
      <c r="A59" s="456"/>
      <c r="B59" s="451" t="s">
        <v>44</v>
      </c>
      <c r="D59" s="455">
        <f t="shared" ref="D59:L59" si="11">D68*D45</f>
        <v>442.26480824064015</v>
      </c>
      <c r="E59" s="455">
        <f t="shared" si="11"/>
        <v>663.39721236096011</v>
      </c>
      <c r="F59" s="455">
        <f t="shared" si="11"/>
        <v>361.85302492416008</v>
      </c>
      <c r="G59" s="455">
        <f t="shared" si="11"/>
        <v>1618.2871392441605</v>
      </c>
      <c r="H59" s="455">
        <f t="shared" si="11"/>
        <v>1618.2871392441605</v>
      </c>
      <c r="I59" s="455">
        <f t="shared" si="11"/>
        <v>1618.2871392441605</v>
      </c>
      <c r="J59" s="455">
        <f t="shared" si="11"/>
        <v>8117.8869407328011</v>
      </c>
      <c r="K59" s="455">
        <f t="shared" si="11"/>
        <v>9921.8618164512009</v>
      </c>
      <c r="L59" s="455">
        <f t="shared" si="11"/>
        <v>0</v>
      </c>
      <c r="M59" s="293"/>
      <c r="N59" s="293"/>
      <c r="O59" s="293"/>
      <c r="P59" s="293"/>
      <c r="Q59" s="293"/>
      <c r="R59" s="293"/>
      <c r="S59" s="293"/>
      <c r="T59" s="293"/>
      <c r="U59" s="293"/>
    </row>
    <row r="60" spans="1:48" s="442" customFormat="1">
      <c r="A60" s="441"/>
      <c r="B60" s="451" t="s">
        <v>43</v>
      </c>
      <c r="D60" s="455">
        <f t="shared" ref="D60:L60" si="12">D68*D46</f>
        <v>1326.7944247219202</v>
      </c>
      <c r="E60" s="455">
        <f t="shared" si="12"/>
        <v>1216.2282226617604</v>
      </c>
      <c r="F60" s="455">
        <f t="shared" si="12"/>
        <v>995.09581854144017</v>
      </c>
      <c r="G60" s="455">
        <f t="shared" si="12"/>
        <v>1849.4710162790404</v>
      </c>
      <c r="H60" s="455">
        <f t="shared" si="12"/>
        <v>1849.4710162790404</v>
      </c>
      <c r="I60" s="455">
        <f t="shared" si="12"/>
        <v>1849.4710162790404</v>
      </c>
      <c r="J60" s="455">
        <f t="shared" si="12"/>
        <v>8117.8869407328011</v>
      </c>
      <c r="K60" s="455">
        <f t="shared" si="12"/>
        <v>9921.8618164512009</v>
      </c>
      <c r="L60" s="455">
        <f t="shared" si="12"/>
        <v>0</v>
      </c>
      <c r="M60" s="293"/>
      <c r="N60" s="293"/>
      <c r="O60" s="293"/>
      <c r="P60" s="293"/>
      <c r="Q60" s="293"/>
      <c r="R60" s="293"/>
      <c r="S60" s="293"/>
      <c r="T60" s="293"/>
      <c r="U60" s="293"/>
    </row>
    <row r="61" spans="1:48" s="442" customFormat="1">
      <c r="A61" s="441"/>
      <c r="B61" s="451" t="s">
        <v>42</v>
      </c>
      <c r="D61" s="455">
        <f t="shared" ref="D61:L61" si="13">D68*D47</f>
        <v>1326.7944247219202</v>
      </c>
      <c r="E61" s="455">
        <f t="shared" si="13"/>
        <v>1216.2282226617604</v>
      </c>
      <c r="F61" s="455">
        <f t="shared" si="13"/>
        <v>1085.55907477248</v>
      </c>
      <c r="G61" s="455">
        <f t="shared" si="13"/>
        <v>2311.8387703488006</v>
      </c>
      <c r="H61" s="455">
        <f t="shared" si="13"/>
        <v>2311.8387703488006</v>
      </c>
      <c r="I61" s="455">
        <f t="shared" si="13"/>
        <v>2311.8387703488006</v>
      </c>
      <c r="J61" s="455">
        <f t="shared" si="13"/>
        <v>10331.856106387202</v>
      </c>
      <c r="K61" s="455">
        <f t="shared" si="13"/>
        <v>12627.824130028803</v>
      </c>
      <c r="L61" s="455">
        <f t="shared" si="13"/>
        <v>0</v>
      </c>
      <c r="M61" s="293"/>
      <c r="N61" s="293"/>
      <c r="O61" s="293"/>
      <c r="P61" s="293"/>
      <c r="Q61" s="293"/>
      <c r="R61" s="293"/>
      <c r="S61" s="293"/>
      <c r="T61" s="293"/>
      <c r="U61" s="293"/>
    </row>
    <row r="62" spans="1:48" s="442" customFormat="1">
      <c r="A62" s="441"/>
      <c r="B62" s="451" t="s">
        <v>41</v>
      </c>
      <c r="D62" s="455">
        <f t="shared" ref="D62:L62" si="14">D68*D48</f>
        <v>1326.7944247219202</v>
      </c>
      <c r="E62" s="455">
        <f t="shared" si="14"/>
        <v>1216.2282226617604</v>
      </c>
      <c r="F62" s="455">
        <f t="shared" si="14"/>
        <v>1085.55907477248</v>
      </c>
      <c r="G62" s="455">
        <f t="shared" si="14"/>
        <v>2311.8387703488006</v>
      </c>
      <c r="H62" s="455">
        <f t="shared" si="14"/>
        <v>2311.8387703488006</v>
      </c>
      <c r="I62" s="455">
        <f t="shared" si="14"/>
        <v>2311.8387703488006</v>
      </c>
      <c r="J62" s="455">
        <f t="shared" si="14"/>
        <v>10331.856106387202</v>
      </c>
      <c r="K62" s="455">
        <f t="shared" si="14"/>
        <v>12627.824130028803</v>
      </c>
      <c r="L62" s="455">
        <f t="shared" si="14"/>
        <v>0</v>
      </c>
      <c r="M62" s="293"/>
      <c r="N62" s="293"/>
      <c r="O62" s="293"/>
      <c r="P62" s="293"/>
      <c r="Q62" s="293"/>
      <c r="R62" s="293"/>
      <c r="S62" s="293"/>
      <c r="T62" s="293"/>
      <c r="U62" s="293"/>
    </row>
    <row r="63" spans="1:48" s="442" customFormat="1">
      <c r="A63" s="441"/>
      <c r="B63" s="451" t="s">
        <v>40</v>
      </c>
      <c r="D63" s="455">
        <f t="shared" ref="D63:L63" si="15">D68*D49</f>
        <v>1326.7944247219202</v>
      </c>
      <c r="E63" s="455">
        <f t="shared" si="15"/>
        <v>1216.2282226617604</v>
      </c>
      <c r="F63" s="455">
        <f t="shared" si="15"/>
        <v>1085.55907477248</v>
      </c>
      <c r="G63" s="455">
        <f t="shared" si="15"/>
        <v>2774.2065244185605</v>
      </c>
      <c r="H63" s="455">
        <f t="shared" si="15"/>
        <v>2774.2065244185605</v>
      </c>
      <c r="I63" s="455">
        <f t="shared" si="15"/>
        <v>2774.2065244185605</v>
      </c>
      <c r="J63" s="455">
        <f t="shared" si="15"/>
        <v>8855.8766626176002</v>
      </c>
      <c r="K63" s="455">
        <f t="shared" si="15"/>
        <v>10823.849254310402</v>
      </c>
      <c r="L63" s="455">
        <f t="shared" si="15"/>
        <v>0</v>
      </c>
      <c r="M63" s="293"/>
      <c r="N63" s="293"/>
      <c r="O63" s="293"/>
      <c r="P63" s="293"/>
      <c r="Q63" s="293"/>
      <c r="R63" s="293"/>
      <c r="S63" s="293"/>
      <c r="T63" s="293"/>
      <c r="U63" s="293"/>
    </row>
    <row r="64" spans="1:48" s="442" customFormat="1">
      <c r="A64" s="441"/>
      <c r="B64" s="451" t="s">
        <v>39</v>
      </c>
      <c r="D64" s="455">
        <f t="shared" ref="D64:L64" si="16">D68*D50</f>
        <v>1326.7944247219202</v>
      </c>
      <c r="E64" s="455">
        <f t="shared" si="16"/>
        <v>1216.2282226617604</v>
      </c>
      <c r="F64" s="455">
        <f t="shared" si="16"/>
        <v>1085.55907477248</v>
      </c>
      <c r="G64" s="455">
        <f t="shared" si="16"/>
        <v>2774.2065244185605</v>
      </c>
      <c r="H64" s="455">
        <f t="shared" si="16"/>
        <v>2774.2065244185605</v>
      </c>
      <c r="I64" s="455">
        <f t="shared" si="16"/>
        <v>2774.2065244185605</v>
      </c>
      <c r="J64" s="455">
        <f t="shared" si="16"/>
        <v>8855.8766626176002</v>
      </c>
      <c r="K64" s="455">
        <f t="shared" si="16"/>
        <v>10823.849254310402</v>
      </c>
      <c r="L64" s="455">
        <f t="shared" si="16"/>
        <v>0</v>
      </c>
      <c r="M64" s="293"/>
      <c r="N64" s="293"/>
      <c r="O64" s="293"/>
      <c r="P64" s="293"/>
      <c r="Q64" s="293"/>
      <c r="R64" s="293"/>
      <c r="S64" s="293"/>
      <c r="T64" s="293"/>
      <c r="U64" s="293"/>
    </row>
    <row r="65" spans="1:21" s="442" customFormat="1">
      <c r="A65" s="441"/>
      <c r="B65" s="451" t="s">
        <v>38</v>
      </c>
      <c r="D65" s="455">
        <f t="shared" ref="D65:L65" si="17">D68*D51</f>
        <v>1105.6620206016003</v>
      </c>
      <c r="E65" s="455">
        <f t="shared" si="17"/>
        <v>1216.2282226617604</v>
      </c>
      <c r="F65" s="455">
        <f t="shared" si="17"/>
        <v>995.09581854144017</v>
      </c>
      <c r="G65" s="455">
        <f t="shared" si="17"/>
        <v>2543.0226473836806</v>
      </c>
      <c r="H65" s="455">
        <f t="shared" si="17"/>
        <v>2543.0226473836806</v>
      </c>
      <c r="I65" s="455">
        <f t="shared" si="17"/>
        <v>2543.0226473836806</v>
      </c>
      <c r="J65" s="455">
        <f t="shared" si="17"/>
        <v>8117.8869407328011</v>
      </c>
      <c r="K65" s="455">
        <f t="shared" si="17"/>
        <v>9921.8618164512009</v>
      </c>
      <c r="L65" s="455">
        <f t="shared" si="17"/>
        <v>0</v>
      </c>
      <c r="M65" s="293"/>
      <c r="N65" s="293"/>
      <c r="O65" s="293"/>
      <c r="P65" s="293"/>
      <c r="Q65" s="293"/>
      <c r="R65" s="293"/>
      <c r="S65" s="293"/>
      <c r="T65" s="293"/>
      <c r="U65" s="293"/>
    </row>
    <row r="66" spans="1:21" s="442" customFormat="1">
      <c r="A66" s="441"/>
      <c r="B66" s="451" t="s">
        <v>37</v>
      </c>
      <c r="D66" s="455">
        <f t="shared" ref="D66:L66" si="18">D68*D52</f>
        <v>773.96341442112032</v>
      </c>
      <c r="E66" s="455">
        <f t="shared" si="18"/>
        <v>663.39721236096011</v>
      </c>
      <c r="F66" s="455">
        <f t="shared" si="18"/>
        <v>1356.9488434656002</v>
      </c>
      <c r="G66" s="455">
        <f t="shared" si="18"/>
        <v>1618.2871392441605</v>
      </c>
      <c r="H66" s="455">
        <f t="shared" si="18"/>
        <v>1618.2871392441605</v>
      </c>
      <c r="I66" s="455">
        <f t="shared" si="18"/>
        <v>1618.2871392441605</v>
      </c>
      <c r="J66" s="455">
        <f t="shared" si="18"/>
        <v>2213.9691656544001</v>
      </c>
      <c r="K66" s="455">
        <f t="shared" si="18"/>
        <v>2705.9623135776005</v>
      </c>
      <c r="L66" s="455">
        <f t="shared" si="18"/>
        <v>0</v>
      </c>
      <c r="M66" s="293"/>
      <c r="N66" s="293"/>
      <c r="O66" s="293"/>
      <c r="P66" s="293"/>
      <c r="Q66" s="293"/>
      <c r="R66" s="293"/>
      <c r="S66" s="293"/>
      <c r="T66" s="293"/>
      <c r="U66" s="293"/>
    </row>
    <row r="67" spans="1:21" s="442" customFormat="1">
      <c r="A67" s="441"/>
      <c r="B67" s="451" t="s">
        <v>36</v>
      </c>
      <c r="D67" s="455">
        <f t="shared" ref="D67:L67" si="19">D68*D53</f>
        <v>773.96341442112032</v>
      </c>
      <c r="E67" s="455">
        <f t="shared" si="19"/>
        <v>552.83101030080013</v>
      </c>
      <c r="F67" s="455">
        <f t="shared" si="19"/>
        <v>271.38976869312</v>
      </c>
      <c r="G67" s="455">
        <f t="shared" si="19"/>
        <v>1618.2871392441605</v>
      </c>
      <c r="H67" s="455">
        <f t="shared" si="19"/>
        <v>1618.2871392441605</v>
      </c>
      <c r="I67" s="455">
        <f t="shared" si="19"/>
        <v>1618.2871392441605</v>
      </c>
      <c r="J67" s="455">
        <f t="shared" si="19"/>
        <v>2213.9691656544001</v>
      </c>
      <c r="K67" s="455">
        <f t="shared" si="19"/>
        <v>2705.9623135776005</v>
      </c>
      <c r="L67" s="455">
        <f t="shared" si="19"/>
        <v>0</v>
      </c>
      <c r="M67" s="293"/>
      <c r="N67" s="293"/>
      <c r="O67" s="293"/>
      <c r="P67" s="293"/>
      <c r="Q67" s="293"/>
      <c r="R67" s="293"/>
      <c r="S67" s="293"/>
      <c r="T67" s="293"/>
      <c r="U67" s="293"/>
    </row>
    <row r="68" spans="1:21" s="442" customFormat="1">
      <c r="A68" s="441"/>
      <c r="B68" s="451" t="s">
        <v>413</v>
      </c>
      <c r="D68" s="455">
        <f t="shared" ref="D68:L68" si="20">VLOOKUP(D39,TargetedMSo,IF(D40="[retail]",4,6),FALSE)</f>
        <v>11056.620206016003</v>
      </c>
      <c r="E68" s="455">
        <f t="shared" si="20"/>
        <v>11056.620206016003</v>
      </c>
      <c r="F68" s="455">
        <f t="shared" si="20"/>
        <v>9046.3256231040014</v>
      </c>
      <c r="G68" s="455">
        <f t="shared" si="20"/>
        <v>23118.387703488006</v>
      </c>
      <c r="H68" s="455">
        <f t="shared" si="20"/>
        <v>23118.387703488006</v>
      </c>
      <c r="I68" s="455">
        <f t="shared" si="20"/>
        <v>23118.387703488006</v>
      </c>
      <c r="J68" s="455">
        <f t="shared" si="20"/>
        <v>73798.972188480009</v>
      </c>
      <c r="K68" s="455">
        <f t="shared" si="20"/>
        <v>90198.743785920014</v>
      </c>
      <c r="L68" s="455">
        <f t="shared" si="20"/>
        <v>0</v>
      </c>
      <c r="M68" s="293"/>
      <c r="N68" s="293"/>
      <c r="O68" s="293"/>
      <c r="P68" s="293"/>
      <c r="Q68" s="293"/>
      <c r="R68" s="293"/>
      <c r="S68" s="293"/>
      <c r="T68" s="293"/>
      <c r="U68" s="293"/>
    </row>
    <row r="69" spans="1:21" s="293" customFormat="1">
      <c r="A69" s="441"/>
      <c r="B69" s="448" t="s">
        <v>415</v>
      </c>
      <c r="D69" s="457" t="str">
        <f t="shared" ref="D69:L69" si="21">IF(D40="[wholesale]",D68/capacity,"")</f>
        <v/>
      </c>
      <c r="E69" s="457" t="str">
        <f t="shared" si="21"/>
        <v/>
      </c>
      <c r="F69" s="457" t="str">
        <f t="shared" si="21"/>
        <v/>
      </c>
      <c r="G69" s="457" t="str">
        <f t="shared" si="21"/>
        <v/>
      </c>
      <c r="H69" s="457" t="str">
        <f t="shared" si="21"/>
        <v/>
      </c>
      <c r="I69" s="457" t="str">
        <f t="shared" si="21"/>
        <v/>
      </c>
      <c r="J69" s="457">
        <f t="shared" si="21"/>
        <v>59.515300152000009</v>
      </c>
      <c r="K69" s="457">
        <f t="shared" si="21"/>
        <v>72.740922408000017</v>
      </c>
      <c r="L69" s="457" t="str">
        <f t="shared" si="21"/>
        <v/>
      </c>
    </row>
    <row r="70" spans="1:21" s="461" customFormat="1">
      <c r="A70" s="458"/>
      <c r="B70" s="459"/>
      <c r="C70" s="460" t="s">
        <v>101</v>
      </c>
      <c r="D70" s="453" t="s">
        <v>416</v>
      </c>
      <c r="E70" s="453"/>
      <c r="F70" s="453"/>
      <c r="G70" s="453"/>
      <c r="H70" s="453"/>
      <c r="I70" s="453"/>
      <c r="J70" s="453"/>
      <c r="K70" s="453"/>
      <c r="L70" s="453"/>
      <c r="O70" s="454"/>
      <c r="R70" s="454"/>
      <c r="S70" s="454"/>
    </row>
    <row r="71" spans="1:21" s="293" customFormat="1">
      <c r="A71" s="447"/>
      <c r="B71" s="448" t="s">
        <v>47</v>
      </c>
      <c r="C71" s="462">
        <f>SUM(D71:Z71)</f>
        <v>7</v>
      </c>
      <c r="D71" s="463">
        <f t="shared" ref="D71:L71" si="22">ProductionFY1o(1,D39,VLOOKUP(D39,ProductsRangeOper,3,FALSE),D56)</f>
        <v>0.33300139414459279</v>
      </c>
      <c r="E71" s="463">
        <f t="shared" si="22"/>
        <v>0.39378238341968913</v>
      </c>
      <c r="F71" s="463">
        <f t="shared" si="22"/>
        <v>0</v>
      </c>
      <c r="G71" s="463">
        <f t="shared" si="22"/>
        <v>1</v>
      </c>
      <c r="H71" s="463">
        <f t="shared" si="22"/>
        <v>1</v>
      </c>
      <c r="I71" s="463">
        <f t="shared" si="22"/>
        <v>1</v>
      </c>
      <c r="J71" s="463">
        <f t="shared" si="22"/>
        <v>1.6669986058554072</v>
      </c>
      <c r="K71" s="463">
        <f t="shared" si="22"/>
        <v>1.6062176165803108</v>
      </c>
      <c r="L71" s="463">
        <f t="shared" si="22"/>
        <v>0</v>
      </c>
      <c r="M71" s="706"/>
      <c r="N71" s="464"/>
      <c r="O71" s="465"/>
      <c r="R71" s="465"/>
      <c r="S71" s="465"/>
    </row>
    <row r="72" spans="1:21" s="293" customFormat="1">
      <c r="A72" s="450"/>
      <c r="B72" s="448" t="s">
        <v>46</v>
      </c>
      <c r="C72" s="462">
        <f t="shared" ref="C72:C82" si="23">SUM(D72:Z72)</f>
        <v>7</v>
      </c>
      <c r="D72" s="463">
        <f t="shared" ref="D72:L72" si="24">ProductionFY1o(2,D39,VLOOKUP(D39,ProductsRangeOper,3,FALSE),D57)</f>
        <v>0.33300139414459279</v>
      </c>
      <c r="E72" s="463">
        <f t="shared" si="24"/>
        <v>0.3392857142857143</v>
      </c>
      <c r="F72" s="463">
        <f t="shared" si="24"/>
        <v>0</v>
      </c>
      <c r="G72" s="463">
        <f t="shared" si="24"/>
        <v>1</v>
      </c>
      <c r="H72" s="463">
        <f t="shared" si="24"/>
        <v>1</v>
      </c>
      <c r="I72" s="463">
        <f t="shared" si="24"/>
        <v>1</v>
      </c>
      <c r="J72" s="463">
        <f t="shared" si="24"/>
        <v>1.6669986058554072</v>
      </c>
      <c r="K72" s="463">
        <f t="shared" si="24"/>
        <v>1.6607142857142856</v>
      </c>
      <c r="L72" s="463">
        <f t="shared" si="24"/>
        <v>0</v>
      </c>
      <c r="M72" s="447"/>
      <c r="O72" s="465"/>
      <c r="R72" s="465"/>
      <c r="S72" s="465"/>
    </row>
    <row r="73" spans="1:21" s="293" customFormat="1">
      <c r="A73" s="442"/>
      <c r="B73" s="451" t="s">
        <v>45</v>
      </c>
      <c r="C73" s="462">
        <f t="shared" si="23"/>
        <v>7</v>
      </c>
      <c r="D73" s="463">
        <f t="shared" ref="D73:L73" si="25">ProductionFY1o(3,D39,VLOOKUP(D39,ProductsRangeOper,3,FALSE),D58)</f>
        <v>0.33300139414459279</v>
      </c>
      <c r="E73" s="463">
        <f t="shared" si="25"/>
        <v>0.39378238341968913</v>
      </c>
      <c r="F73" s="463">
        <f t="shared" si="25"/>
        <v>0</v>
      </c>
      <c r="G73" s="463">
        <f t="shared" si="25"/>
        <v>1</v>
      </c>
      <c r="H73" s="463">
        <f t="shared" si="25"/>
        <v>1</v>
      </c>
      <c r="I73" s="463">
        <f t="shared" si="25"/>
        <v>1</v>
      </c>
      <c r="J73" s="463">
        <f t="shared" si="25"/>
        <v>1.6669986058554072</v>
      </c>
      <c r="K73" s="463">
        <f t="shared" si="25"/>
        <v>1.6062176165803108</v>
      </c>
      <c r="L73" s="463">
        <f t="shared" si="25"/>
        <v>0</v>
      </c>
      <c r="M73" s="447"/>
      <c r="O73" s="465"/>
      <c r="R73" s="465"/>
      <c r="S73" s="465"/>
    </row>
    <row r="74" spans="1:21" s="293" customFormat="1">
      <c r="A74" s="442"/>
      <c r="B74" s="451" t="s">
        <v>44</v>
      </c>
      <c r="C74" s="462">
        <f t="shared" si="23"/>
        <v>18</v>
      </c>
      <c r="D74" s="463">
        <f t="shared" ref="D74:L74" si="26">ProductionFY1o(4,D39,VLOOKUP(D39,ProductsRangeOper,3,FALSE),D59)</f>
        <v>0.36165873555404487</v>
      </c>
      <c r="E74" s="463">
        <f t="shared" si="26"/>
        <v>0.50137438152831226</v>
      </c>
      <c r="F74" s="463">
        <f t="shared" si="26"/>
        <v>0</v>
      </c>
      <c r="G74" s="463">
        <f t="shared" si="26"/>
        <v>1</v>
      </c>
      <c r="H74" s="463">
        <f t="shared" si="26"/>
        <v>1</v>
      </c>
      <c r="I74" s="463">
        <f t="shared" si="26"/>
        <v>1</v>
      </c>
      <c r="J74" s="463">
        <f t="shared" si="26"/>
        <v>6.6383412644459545</v>
      </c>
      <c r="K74" s="463">
        <f t="shared" si="26"/>
        <v>7.4986256184716877</v>
      </c>
      <c r="L74" s="463">
        <f t="shared" si="26"/>
        <v>0</v>
      </c>
      <c r="M74" s="447"/>
      <c r="O74" s="465"/>
      <c r="R74" s="465"/>
      <c r="S74" s="465"/>
    </row>
    <row r="75" spans="1:21" s="293" customFormat="1">
      <c r="A75" s="442"/>
      <c r="B75" s="451" t="s">
        <v>43</v>
      </c>
      <c r="C75" s="462">
        <f t="shared" si="23"/>
        <v>20</v>
      </c>
      <c r="D75" s="463">
        <f t="shared" ref="D75:L75" si="27">ProductionFY1o(5,D39,VLOOKUP(D39,ProductsRangeOper,3,FALSE),D60)</f>
        <v>0.9833641404805914</v>
      </c>
      <c r="E75" s="463">
        <f t="shared" si="27"/>
        <v>0.98275862068965536</v>
      </c>
      <c r="F75" s="463">
        <f t="shared" si="27"/>
        <v>1</v>
      </c>
      <c r="G75" s="463">
        <f t="shared" si="27"/>
        <v>1</v>
      </c>
      <c r="H75" s="463">
        <f t="shared" si="27"/>
        <v>1</v>
      </c>
      <c r="I75" s="463">
        <f t="shared" si="27"/>
        <v>1</v>
      </c>
      <c r="J75" s="463">
        <f t="shared" si="27"/>
        <v>6.0166358595194076</v>
      </c>
      <c r="K75" s="463">
        <f t="shared" si="27"/>
        <v>8.0172413793103452</v>
      </c>
      <c r="L75" s="463">
        <f t="shared" si="27"/>
        <v>0</v>
      </c>
      <c r="M75" s="447"/>
      <c r="O75" s="465"/>
      <c r="R75" s="465"/>
      <c r="S75" s="465"/>
    </row>
    <row r="76" spans="1:21" s="293" customFormat="1">
      <c r="B76" s="451" t="s">
        <v>42</v>
      </c>
      <c r="C76" s="462">
        <f t="shared" si="23"/>
        <v>27</v>
      </c>
      <c r="D76" s="463">
        <f t="shared" ref="D76:L76" si="28">ProductionFY1o(6,D39,VLOOKUP(D39,ProductsRangeOper,3,FALSE),D61)</f>
        <v>1.0242308739450041</v>
      </c>
      <c r="E76" s="463">
        <f t="shared" si="28"/>
        <v>0.96637242538881885</v>
      </c>
      <c r="F76" s="463">
        <f t="shared" si="28"/>
        <v>1</v>
      </c>
      <c r="G76" s="463">
        <f t="shared" si="28"/>
        <v>2</v>
      </c>
      <c r="H76" s="463">
        <f t="shared" si="28"/>
        <v>2</v>
      </c>
      <c r="I76" s="463">
        <f t="shared" si="28"/>
        <v>2</v>
      </c>
      <c r="J76" s="463">
        <f t="shared" si="28"/>
        <v>7.9757691260549963</v>
      </c>
      <c r="K76" s="463">
        <f t="shared" si="28"/>
        <v>10.033627574611181</v>
      </c>
      <c r="L76" s="463">
        <f t="shared" si="28"/>
        <v>0</v>
      </c>
      <c r="M76" s="447"/>
      <c r="O76" s="465"/>
      <c r="R76" s="465"/>
      <c r="S76" s="465"/>
    </row>
    <row r="77" spans="1:21" s="293" customFormat="1">
      <c r="B77" s="451" t="s">
        <v>41</v>
      </c>
      <c r="C77" s="462">
        <f t="shared" si="23"/>
        <v>27</v>
      </c>
      <c r="D77" s="463">
        <f t="shared" ref="D77:L77" si="29">ProductionFY1o(7,D39,VLOOKUP(D39,ProductsRangeOper,3,FALSE),D62)</f>
        <v>1.0242308739450041</v>
      </c>
      <c r="E77" s="463">
        <f t="shared" si="29"/>
        <v>0.96637242538881885</v>
      </c>
      <c r="F77" s="463">
        <f t="shared" si="29"/>
        <v>1</v>
      </c>
      <c r="G77" s="463">
        <f t="shared" si="29"/>
        <v>2</v>
      </c>
      <c r="H77" s="463">
        <f t="shared" si="29"/>
        <v>2</v>
      </c>
      <c r="I77" s="463">
        <f t="shared" si="29"/>
        <v>2</v>
      </c>
      <c r="J77" s="463">
        <f t="shared" si="29"/>
        <v>7.9757691260549963</v>
      </c>
      <c r="K77" s="463">
        <f t="shared" si="29"/>
        <v>10.033627574611181</v>
      </c>
      <c r="L77" s="463">
        <f t="shared" si="29"/>
        <v>0</v>
      </c>
      <c r="M77" s="447"/>
      <c r="O77" s="465"/>
      <c r="R77" s="465"/>
      <c r="S77" s="465"/>
    </row>
    <row r="78" spans="1:21" s="293" customFormat="1">
      <c r="B78" s="451" t="s">
        <v>40</v>
      </c>
      <c r="C78" s="462">
        <f t="shared" si="23"/>
        <v>24</v>
      </c>
      <c r="D78" s="463">
        <f t="shared" ref="D78:L78" si="30">ProductionFY1o(8,D39,VLOOKUP(D39,ProductsRangeOper,3,FALSE),D63)</f>
        <v>1.0423940149625937</v>
      </c>
      <c r="E78" s="463">
        <f t="shared" si="30"/>
        <v>0.9091348477525375</v>
      </c>
      <c r="F78" s="463">
        <f t="shared" si="30"/>
        <v>1</v>
      </c>
      <c r="G78" s="463">
        <f t="shared" si="30"/>
        <v>2</v>
      </c>
      <c r="H78" s="463">
        <f t="shared" si="30"/>
        <v>2</v>
      </c>
      <c r="I78" s="463">
        <f t="shared" si="30"/>
        <v>2</v>
      </c>
      <c r="J78" s="463">
        <f t="shared" si="30"/>
        <v>6.9576059850374063</v>
      </c>
      <c r="K78" s="463">
        <f t="shared" si="30"/>
        <v>8.0908651522474617</v>
      </c>
      <c r="L78" s="463">
        <f t="shared" si="30"/>
        <v>0</v>
      </c>
      <c r="M78" s="447"/>
      <c r="O78" s="465"/>
      <c r="R78" s="465"/>
      <c r="S78" s="465"/>
    </row>
    <row r="79" spans="1:21" s="293" customFormat="1">
      <c r="B79" s="451" t="s">
        <v>39</v>
      </c>
      <c r="C79" s="462">
        <f t="shared" si="23"/>
        <v>24</v>
      </c>
      <c r="D79" s="463">
        <f t="shared" ref="D79:L79" si="31">ProductionFY1o(9,D39,VLOOKUP(D39,ProductsRangeOper,3,FALSE),D64)</f>
        <v>1.0423940149625937</v>
      </c>
      <c r="E79" s="463">
        <f t="shared" si="31"/>
        <v>0.9091348477525375</v>
      </c>
      <c r="F79" s="463">
        <f t="shared" si="31"/>
        <v>1</v>
      </c>
      <c r="G79" s="463">
        <f t="shared" si="31"/>
        <v>2</v>
      </c>
      <c r="H79" s="463">
        <f t="shared" si="31"/>
        <v>2</v>
      </c>
      <c r="I79" s="463">
        <f t="shared" si="31"/>
        <v>2</v>
      </c>
      <c r="J79" s="463">
        <f t="shared" si="31"/>
        <v>6.9576059850374063</v>
      </c>
      <c r="K79" s="463">
        <f t="shared" si="31"/>
        <v>8.0908651522474617</v>
      </c>
      <c r="L79" s="463">
        <f t="shared" si="31"/>
        <v>0</v>
      </c>
      <c r="M79" s="447"/>
      <c r="O79" s="465"/>
      <c r="R79" s="465"/>
      <c r="S79" s="465"/>
    </row>
    <row r="80" spans="1:21" s="293" customFormat="1">
      <c r="B80" s="451" t="s">
        <v>38</v>
      </c>
      <c r="C80" s="462">
        <f t="shared" si="23"/>
        <v>23</v>
      </c>
      <c r="D80" s="463">
        <f t="shared" ref="D80:L80" si="32">ProductionFY1o(10,D39,VLOOKUP(D39,ProductsRangeOper,3,FALSE),D65)</f>
        <v>0.83911671924290221</v>
      </c>
      <c r="E80" s="463">
        <f t="shared" si="32"/>
        <v>0.98275862068965536</v>
      </c>
      <c r="F80" s="463">
        <f t="shared" si="32"/>
        <v>1</v>
      </c>
      <c r="G80" s="463">
        <f t="shared" si="32"/>
        <v>2</v>
      </c>
      <c r="H80" s="463">
        <f t="shared" si="32"/>
        <v>2</v>
      </c>
      <c r="I80" s="463">
        <f t="shared" si="32"/>
        <v>2</v>
      </c>
      <c r="J80" s="463">
        <f t="shared" si="32"/>
        <v>6.1608832807570977</v>
      </c>
      <c r="K80" s="463">
        <f t="shared" si="32"/>
        <v>8.0172413793103452</v>
      </c>
      <c r="L80" s="463">
        <f t="shared" si="32"/>
        <v>0</v>
      </c>
      <c r="M80" s="447"/>
      <c r="O80" s="465"/>
      <c r="R80" s="465"/>
      <c r="S80" s="465"/>
    </row>
    <row r="81" spans="1:48" s="293" customFormat="1">
      <c r="B81" s="451" t="s">
        <v>37</v>
      </c>
      <c r="C81" s="462">
        <f t="shared" si="23"/>
        <v>8</v>
      </c>
      <c r="D81" s="463">
        <f t="shared" ref="D81:L81" si="33">ProductionFY1o(11,D39,VLOOKUP(D39,ProductsRangeOper,3,FALSE),D66)</f>
        <v>0.51805949008498597</v>
      </c>
      <c r="E81" s="463">
        <f t="shared" si="33"/>
        <v>0.39378238341968913</v>
      </c>
      <c r="F81" s="463">
        <f t="shared" si="33"/>
        <v>1</v>
      </c>
      <c r="G81" s="463">
        <f t="shared" si="33"/>
        <v>1</v>
      </c>
      <c r="H81" s="463">
        <f t="shared" si="33"/>
        <v>1</v>
      </c>
      <c r="I81" s="463">
        <f t="shared" si="33"/>
        <v>1</v>
      </c>
      <c r="J81" s="463">
        <f t="shared" si="33"/>
        <v>1.481940509915014</v>
      </c>
      <c r="K81" s="463">
        <f t="shared" si="33"/>
        <v>1.6062176165803108</v>
      </c>
      <c r="L81" s="463">
        <f t="shared" si="33"/>
        <v>0</v>
      </c>
      <c r="M81" s="447"/>
      <c r="O81" s="465"/>
      <c r="R81" s="465"/>
      <c r="S81" s="465"/>
    </row>
    <row r="82" spans="1:48" s="293" customFormat="1">
      <c r="B82" s="451" t="s">
        <v>36</v>
      </c>
      <c r="C82" s="462">
        <f t="shared" si="23"/>
        <v>7</v>
      </c>
      <c r="D82" s="463">
        <f t="shared" ref="D82:L82" si="34">ProductionFY1o(12,D39,VLOOKUP(D39,ProductsRangeOper,3,FALSE),D67)</f>
        <v>0.51805949008498597</v>
      </c>
      <c r="E82" s="463">
        <f t="shared" si="34"/>
        <v>0.3392857142857143</v>
      </c>
      <c r="F82" s="463">
        <f t="shared" si="34"/>
        <v>0</v>
      </c>
      <c r="G82" s="463">
        <f t="shared" si="34"/>
        <v>1</v>
      </c>
      <c r="H82" s="463">
        <f t="shared" si="34"/>
        <v>1</v>
      </c>
      <c r="I82" s="463">
        <f t="shared" si="34"/>
        <v>1</v>
      </c>
      <c r="J82" s="463">
        <f t="shared" si="34"/>
        <v>1.481940509915014</v>
      </c>
      <c r="K82" s="463">
        <f t="shared" si="34"/>
        <v>1.6607142857142856</v>
      </c>
      <c r="L82" s="463">
        <f t="shared" si="34"/>
        <v>0</v>
      </c>
      <c r="M82" s="447"/>
      <c r="O82" s="465"/>
      <c r="R82" s="465"/>
      <c r="S82" s="465"/>
    </row>
    <row r="83" spans="1:48" s="293" customFormat="1">
      <c r="A83" s="466" t="s">
        <v>417</v>
      </c>
      <c r="B83" s="442"/>
      <c r="C83" s="448" t="s">
        <v>85</v>
      </c>
      <c r="D83" s="467">
        <f t="shared" ref="D83:I83" si="35">SUM(D56:D67)</f>
        <v>11056.620206016001</v>
      </c>
      <c r="E83" s="468">
        <f t="shared" si="35"/>
        <v>11056.620206016005</v>
      </c>
      <c r="F83" s="468">
        <f t="shared" si="35"/>
        <v>9046.3256231039995</v>
      </c>
      <c r="G83" s="468">
        <f t="shared" si="35"/>
        <v>23118.387703488006</v>
      </c>
      <c r="H83" s="468">
        <f t="shared" si="35"/>
        <v>23118.387703488006</v>
      </c>
      <c r="I83" s="468">
        <f t="shared" si="35"/>
        <v>23118.387703488006</v>
      </c>
      <c r="J83" s="469">
        <f>J68</f>
        <v>73798.972188480009</v>
      </c>
      <c r="K83" s="469">
        <f>K68</f>
        <v>90198.743785920014</v>
      </c>
      <c r="L83" s="469">
        <f>L68</f>
        <v>0</v>
      </c>
      <c r="O83" s="465"/>
      <c r="R83" s="465"/>
      <c r="S83" s="465"/>
    </row>
    <row r="84" spans="1:48" s="293" customFormat="1">
      <c r="A84" s="466" t="s">
        <v>418</v>
      </c>
      <c r="B84" s="442"/>
      <c r="C84" s="448" t="s">
        <v>85</v>
      </c>
      <c r="D84" s="467">
        <f t="shared" ref="D84:L84" si="36">SUM(D71:D82)*capacity</f>
        <v>10357.115544263639</v>
      </c>
      <c r="E84" s="467">
        <f t="shared" si="36"/>
        <v>10016.50268754583</v>
      </c>
      <c r="F84" s="467">
        <f t="shared" si="36"/>
        <v>8680</v>
      </c>
      <c r="G84" s="467">
        <f t="shared" si="36"/>
        <v>21080</v>
      </c>
      <c r="H84" s="467">
        <f t="shared" si="36"/>
        <v>21080</v>
      </c>
      <c r="I84" s="467">
        <f t="shared" si="36"/>
        <v>21080</v>
      </c>
      <c r="J84" s="467">
        <f t="shared" si="36"/>
        <v>70242.884455736348</v>
      </c>
      <c r="K84" s="467">
        <f t="shared" si="36"/>
        <v>84223.497312454172</v>
      </c>
      <c r="L84" s="467">
        <f t="shared" si="36"/>
        <v>0</v>
      </c>
      <c r="O84" s="465"/>
      <c r="R84" s="465"/>
      <c r="S84" s="465"/>
    </row>
    <row r="85" spans="1:48" s="293" customFormat="1">
      <c r="A85" s="466" t="s">
        <v>419</v>
      </c>
      <c r="B85" s="442"/>
      <c r="C85" s="448" t="s">
        <v>85</v>
      </c>
      <c r="D85" s="467">
        <f t="shared" ref="D85:L85" si="37">D83-D84</f>
        <v>699.50466175236215</v>
      </c>
      <c r="E85" s="468">
        <f t="shared" si="37"/>
        <v>1040.1175184701751</v>
      </c>
      <c r="F85" s="468">
        <f t="shared" si="37"/>
        <v>366.32562310399953</v>
      </c>
      <c r="G85" s="468">
        <f t="shared" si="37"/>
        <v>2038.3877034880061</v>
      </c>
      <c r="H85" s="468">
        <f t="shared" si="37"/>
        <v>2038.3877034880061</v>
      </c>
      <c r="I85" s="468">
        <f t="shared" si="37"/>
        <v>2038.3877034880061</v>
      </c>
      <c r="J85" s="468">
        <f t="shared" si="37"/>
        <v>3556.087732743661</v>
      </c>
      <c r="K85" s="468">
        <f t="shared" si="37"/>
        <v>5975.2464734658424</v>
      </c>
      <c r="L85" s="468">
        <f t="shared" si="37"/>
        <v>0</v>
      </c>
      <c r="O85" s="465"/>
      <c r="R85" s="465"/>
      <c r="S85" s="465"/>
    </row>
    <row r="86" spans="1:48" s="444" customFormat="1">
      <c r="A86" s="441"/>
      <c r="B86" s="445" t="s">
        <v>34</v>
      </c>
      <c r="C86" s="445"/>
      <c r="D86" s="470" t="s">
        <v>412</v>
      </c>
      <c r="E86" s="470"/>
      <c r="F86" s="470"/>
      <c r="G86" s="470"/>
      <c r="H86" s="470"/>
      <c r="I86" s="470"/>
      <c r="J86" s="470"/>
      <c r="K86" s="470"/>
      <c r="L86" s="470"/>
      <c r="M86" s="293"/>
      <c r="N86" s="293"/>
      <c r="O86" s="293"/>
      <c r="P86" s="293"/>
      <c r="Q86" s="293"/>
      <c r="R86" s="293"/>
      <c r="S86" s="293"/>
      <c r="T86" s="293"/>
      <c r="U86" s="293"/>
      <c r="V86" s="293"/>
      <c r="W86" s="293"/>
      <c r="AG86" s="293"/>
      <c r="AH86" s="293"/>
      <c r="AI86" s="293"/>
      <c r="AJ86" s="293"/>
      <c r="AK86" s="293"/>
      <c r="AL86" s="293"/>
      <c r="AM86" s="293"/>
      <c r="AN86" s="293"/>
      <c r="AO86" s="293"/>
      <c r="AP86" s="293"/>
      <c r="AQ86" s="293"/>
      <c r="AR86" s="293"/>
      <c r="AS86" s="293"/>
      <c r="AT86" s="293"/>
      <c r="AU86" s="293"/>
      <c r="AV86" s="293"/>
    </row>
    <row r="87" spans="1:48" s="444" customFormat="1">
      <c r="A87" s="447"/>
      <c r="B87" s="448" t="s">
        <v>47</v>
      </c>
      <c r="C87" s="442"/>
      <c r="D87" s="239">
        <v>0.04</v>
      </c>
      <c r="E87" s="239">
        <v>0.06</v>
      </c>
      <c r="F87" s="239">
        <v>0.02</v>
      </c>
      <c r="G87" s="239">
        <v>0.05</v>
      </c>
      <c r="H87" s="239">
        <v>0.05</v>
      </c>
      <c r="I87" s="239">
        <v>0.05</v>
      </c>
      <c r="J87" s="239">
        <v>0.03</v>
      </c>
      <c r="K87" s="239">
        <v>0.03</v>
      </c>
      <c r="L87" s="293"/>
      <c r="M87" s="293"/>
      <c r="N87" s="293"/>
      <c r="O87" s="293"/>
      <c r="P87" s="293"/>
      <c r="Q87" s="293"/>
      <c r="R87" s="293"/>
      <c r="S87" s="293"/>
      <c r="T87" s="293"/>
      <c r="U87" s="293"/>
      <c r="V87" s="293"/>
      <c r="W87" s="293"/>
      <c r="AG87" s="293"/>
      <c r="AH87" s="293"/>
      <c r="AI87" s="293"/>
      <c r="AJ87" s="293"/>
      <c r="AK87" s="293"/>
      <c r="AL87" s="293"/>
      <c r="AM87" s="293"/>
      <c r="AN87" s="293"/>
      <c r="AO87" s="293"/>
      <c r="AP87" s="293"/>
      <c r="AQ87" s="293"/>
      <c r="AR87" s="293"/>
      <c r="AS87" s="293"/>
      <c r="AT87" s="293"/>
      <c r="AU87" s="293"/>
      <c r="AV87" s="293"/>
    </row>
    <row r="88" spans="1:48" s="444" customFormat="1">
      <c r="A88" s="450"/>
      <c r="B88" s="448" t="s">
        <v>46</v>
      </c>
      <c r="C88" s="442"/>
      <c r="D88" s="239">
        <v>0.04</v>
      </c>
      <c r="E88" s="239">
        <v>0.05</v>
      </c>
      <c r="F88" s="239">
        <v>0.03</v>
      </c>
      <c r="G88" s="239">
        <v>0.05</v>
      </c>
      <c r="H88" s="239">
        <v>0.05</v>
      </c>
      <c r="I88" s="239">
        <v>0.05</v>
      </c>
      <c r="J88" s="239">
        <v>0.03</v>
      </c>
      <c r="K88" s="239">
        <v>0.03</v>
      </c>
      <c r="L88" s="293"/>
      <c r="M88" s="293"/>
      <c r="N88" s="293"/>
      <c r="O88" s="293"/>
      <c r="P88" s="293"/>
      <c r="Q88" s="293"/>
      <c r="R88" s="293"/>
      <c r="S88" s="293"/>
      <c r="T88" s="293"/>
      <c r="U88" s="293"/>
      <c r="V88" s="293"/>
      <c r="W88" s="293"/>
      <c r="AG88" s="293"/>
      <c r="AH88" s="293"/>
      <c r="AI88" s="293"/>
      <c r="AJ88" s="293"/>
      <c r="AK88" s="293"/>
      <c r="AL88" s="293"/>
      <c r="AM88" s="293"/>
      <c r="AN88" s="293"/>
      <c r="AO88" s="293"/>
      <c r="AP88" s="293"/>
      <c r="AQ88" s="293"/>
      <c r="AR88" s="293"/>
      <c r="AS88" s="293"/>
      <c r="AT88" s="293"/>
      <c r="AU88" s="293"/>
      <c r="AV88" s="293"/>
    </row>
    <row r="89" spans="1:48" s="444" customFormat="1">
      <c r="A89" s="442"/>
      <c r="B89" s="451" t="s">
        <v>45</v>
      </c>
      <c r="C89" s="442"/>
      <c r="D89" s="239">
        <v>0.04</v>
      </c>
      <c r="E89" s="239">
        <v>0.06</v>
      </c>
      <c r="F89" s="239">
        <v>0.03</v>
      </c>
      <c r="G89" s="239">
        <v>0.06</v>
      </c>
      <c r="H89" s="239">
        <v>0.06</v>
      </c>
      <c r="I89" s="239">
        <v>0.06</v>
      </c>
      <c r="J89" s="239">
        <v>0.03</v>
      </c>
      <c r="K89" s="239">
        <v>0.03</v>
      </c>
      <c r="L89" s="293"/>
      <c r="M89" s="293"/>
      <c r="N89" s="293"/>
      <c r="O89" s="293"/>
      <c r="P89" s="293"/>
      <c r="Q89" s="293"/>
      <c r="R89" s="293"/>
      <c r="S89" s="293"/>
      <c r="T89" s="293"/>
      <c r="U89" s="293"/>
      <c r="V89" s="293"/>
      <c r="W89" s="293"/>
      <c r="AG89" s="293"/>
      <c r="AH89" s="293"/>
      <c r="AI89" s="293"/>
      <c r="AJ89" s="293"/>
      <c r="AK89" s="293"/>
      <c r="AL89" s="293"/>
      <c r="AM89" s="293"/>
      <c r="AN89" s="293"/>
      <c r="AO89" s="293"/>
      <c r="AP89" s="293"/>
      <c r="AQ89" s="293"/>
      <c r="AR89" s="293"/>
      <c r="AS89" s="293"/>
      <c r="AT89" s="293"/>
      <c r="AU89" s="293"/>
      <c r="AV89" s="293"/>
    </row>
    <row r="90" spans="1:48" s="442" customFormat="1">
      <c r="B90" s="451" t="s">
        <v>44</v>
      </c>
      <c r="D90" s="239">
        <v>0.04</v>
      </c>
      <c r="E90" s="239">
        <v>0.06</v>
      </c>
      <c r="F90" s="239">
        <v>0.04</v>
      </c>
      <c r="G90" s="239">
        <v>7.0000000000000007E-2</v>
      </c>
      <c r="H90" s="239">
        <v>7.0000000000000007E-2</v>
      </c>
      <c r="I90" s="239">
        <v>7.0000000000000007E-2</v>
      </c>
      <c r="J90" s="239">
        <v>0.11</v>
      </c>
      <c r="K90" s="239">
        <v>0.11</v>
      </c>
      <c r="L90" s="293"/>
      <c r="M90" s="293"/>
      <c r="N90" s="293"/>
      <c r="O90" s="293"/>
      <c r="P90" s="293"/>
      <c r="Q90" s="293"/>
      <c r="R90" s="293"/>
      <c r="S90" s="293"/>
      <c r="T90" s="293"/>
      <c r="U90" s="293"/>
      <c r="V90" s="293"/>
      <c r="W90" s="293"/>
      <c r="AG90" s="293"/>
      <c r="AH90" s="293"/>
      <c r="AI90" s="293"/>
      <c r="AJ90" s="293"/>
      <c r="AK90" s="293"/>
      <c r="AL90" s="293"/>
      <c r="AM90" s="293"/>
      <c r="AN90" s="293"/>
      <c r="AO90" s="293"/>
      <c r="AP90" s="293"/>
      <c r="AQ90" s="293"/>
      <c r="AR90" s="293"/>
      <c r="AS90" s="293"/>
      <c r="AT90" s="293"/>
      <c r="AU90" s="293"/>
      <c r="AV90" s="293"/>
    </row>
    <row r="91" spans="1:48" s="442" customFormat="1">
      <c r="B91" s="451" t="s">
        <v>43</v>
      </c>
      <c r="D91" s="239">
        <v>0.12</v>
      </c>
      <c r="E91" s="239">
        <v>0.11</v>
      </c>
      <c r="F91" s="239">
        <v>0.11</v>
      </c>
      <c r="G91" s="239">
        <v>0.08</v>
      </c>
      <c r="H91" s="239">
        <v>0.08</v>
      </c>
      <c r="I91" s="239">
        <v>0.08</v>
      </c>
      <c r="J91" s="239">
        <v>0.11</v>
      </c>
      <c r="K91" s="239">
        <v>0.11</v>
      </c>
      <c r="L91" s="293"/>
      <c r="M91" s="293"/>
      <c r="N91" s="293"/>
      <c r="O91" s="293"/>
      <c r="P91" s="293"/>
      <c r="Q91" s="293"/>
      <c r="R91" s="293"/>
      <c r="S91" s="293"/>
      <c r="T91" s="293"/>
      <c r="U91" s="293"/>
      <c r="V91" s="293"/>
      <c r="W91" s="293"/>
      <c r="AG91" s="293"/>
      <c r="AH91" s="293"/>
      <c r="AI91" s="293"/>
      <c r="AJ91" s="293"/>
      <c r="AK91" s="293"/>
      <c r="AL91" s="293"/>
      <c r="AM91" s="293"/>
      <c r="AN91" s="293"/>
      <c r="AO91" s="293"/>
      <c r="AP91" s="293"/>
      <c r="AQ91" s="293"/>
      <c r="AR91" s="293"/>
      <c r="AS91" s="293"/>
      <c r="AT91" s="293"/>
      <c r="AU91" s="293"/>
      <c r="AV91" s="293"/>
    </row>
    <row r="92" spans="1:48" s="442" customFormat="1">
      <c r="A92" s="293"/>
      <c r="B92" s="451" t="s">
        <v>42</v>
      </c>
      <c r="D92" s="239">
        <v>0.12</v>
      </c>
      <c r="E92" s="239">
        <v>0.11</v>
      </c>
      <c r="F92" s="239">
        <v>0.12</v>
      </c>
      <c r="G92" s="239">
        <v>0.1</v>
      </c>
      <c r="H92" s="239">
        <v>0.1</v>
      </c>
      <c r="I92" s="239">
        <v>0.1</v>
      </c>
      <c r="J92" s="239">
        <v>0.14000000000000001</v>
      </c>
      <c r="K92" s="239">
        <v>0.14000000000000001</v>
      </c>
      <c r="L92" s="293"/>
      <c r="M92" s="293"/>
      <c r="N92" s="293"/>
      <c r="O92" s="293"/>
      <c r="P92" s="293"/>
      <c r="Q92" s="293"/>
      <c r="R92" s="293"/>
      <c r="S92" s="293"/>
      <c r="T92" s="293"/>
      <c r="U92" s="293"/>
      <c r="V92" s="293"/>
      <c r="W92" s="293"/>
      <c r="X92" s="293"/>
      <c r="Y92" s="29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row>
    <row r="93" spans="1:48" s="442" customFormat="1">
      <c r="A93" s="293"/>
      <c r="B93" s="451" t="s">
        <v>41</v>
      </c>
      <c r="D93" s="239">
        <v>0.12</v>
      </c>
      <c r="E93" s="239">
        <v>0.11</v>
      </c>
      <c r="F93" s="239">
        <v>0.12</v>
      </c>
      <c r="G93" s="239">
        <v>0.1</v>
      </c>
      <c r="H93" s="239">
        <v>0.1</v>
      </c>
      <c r="I93" s="239">
        <v>0.1</v>
      </c>
      <c r="J93" s="239">
        <v>0.14000000000000001</v>
      </c>
      <c r="K93" s="239">
        <v>0.14000000000000001</v>
      </c>
      <c r="L93" s="293"/>
      <c r="M93" s="293"/>
      <c r="N93" s="293"/>
      <c r="O93" s="293"/>
      <c r="P93" s="293"/>
      <c r="Q93" s="293"/>
      <c r="R93" s="293"/>
      <c r="S93" s="293"/>
      <c r="T93" s="293"/>
      <c r="U93" s="293"/>
      <c r="V93" s="293"/>
      <c r="W93" s="293"/>
      <c r="X93" s="293"/>
      <c r="Y93" s="29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row>
    <row r="94" spans="1:48" s="442" customFormat="1">
      <c r="A94" s="293"/>
      <c r="B94" s="451" t="s">
        <v>40</v>
      </c>
      <c r="D94" s="239">
        <v>0.12</v>
      </c>
      <c r="E94" s="239">
        <v>0.11</v>
      </c>
      <c r="F94" s="239">
        <v>0.12</v>
      </c>
      <c r="G94" s="239">
        <v>0.12</v>
      </c>
      <c r="H94" s="239">
        <v>0.12</v>
      </c>
      <c r="I94" s="239">
        <v>0.12</v>
      </c>
      <c r="J94" s="239">
        <v>0.12</v>
      </c>
      <c r="K94" s="239">
        <v>0.12</v>
      </c>
      <c r="L94" s="293"/>
      <c r="M94" s="293"/>
      <c r="N94" s="293"/>
      <c r="O94" s="293"/>
      <c r="P94" s="293"/>
      <c r="Q94" s="293"/>
      <c r="R94" s="293"/>
      <c r="S94" s="293"/>
      <c r="T94" s="293"/>
      <c r="U94" s="293"/>
      <c r="V94" s="293"/>
      <c r="W94" s="293"/>
      <c r="X94" s="293"/>
      <c r="Y94" s="29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row>
    <row r="95" spans="1:48" s="442" customFormat="1">
      <c r="A95" s="293"/>
      <c r="B95" s="451" t="s">
        <v>39</v>
      </c>
      <c r="D95" s="239">
        <v>0.12</v>
      </c>
      <c r="E95" s="239">
        <v>0.11</v>
      </c>
      <c r="F95" s="239">
        <v>0.12</v>
      </c>
      <c r="G95" s="239">
        <v>0.12</v>
      </c>
      <c r="H95" s="239">
        <v>0.12</v>
      </c>
      <c r="I95" s="239">
        <v>0.12</v>
      </c>
      <c r="J95" s="239">
        <v>0.12</v>
      </c>
      <c r="K95" s="239">
        <v>0.12</v>
      </c>
      <c r="L95" s="293"/>
      <c r="M95" s="293"/>
      <c r="N95" s="293"/>
      <c r="O95" s="293"/>
      <c r="P95" s="293"/>
      <c r="Q95" s="293"/>
      <c r="R95" s="293"/>
      <c r="S95" s="293"/>
      <c r="T95" s="293"/>
      <c r="U95" s="293"/>
      <c r="V95" s="293"/>
      <c r="W95" s="293"/>
      <c r="X95" s="293"/>
      <c r="Y95" s="29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row>
    <row r="96" spans="1:48" s="442" customFormat="1">
      <c r="A96" s="293"/>
      <c r="B96" s="451" t="s">
        <v>38</v>
      </c>
      <c r="D96" s="239">
        <v>0.1</v>
      </c>
      <c r="E96" s="239">
        <v>0.11</v>
      </c>
      <c r="F96" s="239">
        <v>0.11</v>
      </c>
      <c r="G96" s="239">
        <v>0.11</v>
      </c>
      <c r="H96" s="239">
        <v>0.11</v>
      </c>
      <c r="I96" s="239">
        <v>0.11</v>
      </c>
      <c r="J96" s="239">
        <v>0.11</v>
      </c>
      <c r="K96" s="239">
        <v>0.11</v>
      </c>
      <c r="L96" s="293"/>
      <c r="M96" s="293"/>
      <c r="N96" s="293"/>
      <c r="O96" s="293"/>
      <c r="P96" s="293"/>
      <c r="Q96" s="293"/>
      <c r="R96" s="293"/>
      <c r="S96" s="293"/>
      <c r="T96" s="293"/>
      <c r="U96" s="293"/>
      <c r="V96" s="293"/>
      <c r="W96" s="293"/>
      <c r="X96" s="293"/>
      <c r="Y96" s="29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row>
    <row r="97" spans="1:48" s="442" customFormat="1">
      <c r="A97" s="293"/>
      <c r="B97" s="451" t="s">
        <v>37</v>
      </c>
      <c r="D97" s="239">
        <v>7.0000000000000007E-2</v>
      </c>
      <c r="E97" s="239">
        <v>0.06</v>
      </c>
      <c r="F97" s="239">
        <v>0.15</v>
      </c>
      <c r="G97" s="239">
        <v>7.0000000000000007E-2</v>
      </c>
      <c r="H97" s="239">
        <v>7.0000000000000007E-2</v>
      </c>
      <c r="I97" s="239">
        <v>7.0000000000000007E-2</v>
      </c>
      <c r="J97" s="239">
        <v>0.03</v>
      </c>
      <c r="K97" s="239">
        <v>0.03</v>
      </c>
      <c r="L97" s="293"/>
      <c r="M97" s="293"/>
      <c r="N97" s="293"/>
      <c r="O97" s="293"/>
      <c r="P97" s="293"/>
      <c r="Q97" s="293"/>
      <c r="R97" s="293"/>
      <c r="S97" s="293"/>
      <c r="T97" s="293"/>
      <c r="U97" s="293"/>
      <c r="V97" s="293"/>
      <c r="W97" s="293"/>
      <c r="X97" s="293"/>
      <c r="Y97" s="29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row>
    <row r="98" spans="1:48" s="442" customFormat="1">
      <c r="A98" s="293"/>
      <c r="B98" s="451" t="s">
        <v>36</v>
      </c>
      <c r="D98" s="239">
        <v>7.0000000000000007E-2</v>
      </c>
      <c r="E98" s="239">
        <v>0.05</v>
      </c>
      <c r="F98" s="239">
        <v>0.03</v>
      </c>
      <c r="G98" s="239">
        <v>7.0000000000000007E-2</v>
      </c>
      <c r="H98" s="239">
        <v>7.0000000000000007E-2</v>
      </c>
      <c r="I98" s="239">
        <v>7.0000000000000007E-2</v>
      </c>
      <c r="J98" s="239">
        <v>0.03</v>
      </c>
      <c r="K98" s="239">
        <v>0.03</v>
      </c>
      <c r="L98" s="293"/>
      <c r="M98" s="293"/>
      <c r="N98" s="293"/>
      <c r="O98" s="293"/>
      <c r="P98" s="293"/>
      <c r="Q98" s="293"/>
      <c r="R98" s="293"/>
      <c r="S98" s="293"/>
      <c r="T98" s="293"/>
      <c r="U98" s="293"/>
      <c r="V98" s="293"/>
      <c r="W98" s="293"/>
      <c r="X98" s="293"/>
      <c r="Y98" s="29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row>
    <row r="99" spans="1:48" s="442" customFormat="1">
      <c r="A99" s="293"/>
      <c r="B99" s="451" t="s">
        <v>413</v>
      </c>
      <c r="D99" s="452">
        <f t="shared" ref="D99:L99" si="38">SUM(D87:D98)</f>
        <v>1</v>
      </c>
      <c r="E99" s="452">
        <f t="shared" si="38"/>
        <v>1</v>
      </c>
      <c r="F99" s="452">
        <f t="shared" si="38"/>
        <v>1</v>
      </c>
      <c r="G99" s="452">
        <f t="shared" si="38"/>
        <v>1</v>
      </c>
      <c r="H99" s="452">
        <f t="shared" si="38"/>
        <v>1</v>
      </c>
      <c r="I99" s="452">
        <f t="shared" si="38"/>
        <v>1</v>
      </c>
      <c r="J99" s="452">
        <f t="shared" si="38"/>
        <v>1</v>
      </c>
      <c r="K99" s="452">
        <f t="shared" si="38"/>
        <v>1</v>
      </c>
      <c r="L99" s="452">
        <f t="shared" si="38"/>
        <v>0</v>
      </c>
      <c r="M99" s="293"/>
      <c r="N99" s="293"/>
      <c r="O99" s="293"/>
      <c r="P99" s="293"/>
      <c r="Q99" s="293"/>
      <c r="R99" s="293"/>
      <c r="S99" s="293"/>
      <c r="T99" s="293"/>
      <c r="U99" s="293"/>
      <c r="V99" s="293"/>
      <c r="W99" s="293"/>
      <c r="X99" s="293"/>
      <c r="Y99" s="29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row>
    <row r="100" spans="1:48" s="442" customFormat="1">
      <c r="A100" s="293"/>
      <c r="B100" s="451"/>
      <c r="D100" s="453" t="s">
        <v>414</v>
      </c>
      <c r="E100" s="453"/>
      <c r="F100" s="453"/>
      <c r="G100" s="453"/>
      <c r="H100" s="453"/>
      <c r="I100" s="453"/>
      <c r="J100" s="453"/>
      <c r="K100" s="453"/>
      <c r="L100" s="453"/>
      <c r="M100" s="293"/>
      <c r="N100" s="293"/>
      <c r="O100" s="293"/>
      <c r="P100" s="293"/>
      <c r="Q100" s="293"/>
      <c r="R100" s="293"/>
      <c r="S100" s="293"/>
      <c r="T100" s="293"/>
      <c r="U100" s="293"/>
      <c r="V100" s="293"/>
      <c r="W100" s="293"/>
      <c r="X100" s="293"/>
      <c r="Y100" s="29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row>
    <row r="101" spans="1:48" s="293" customFormat="1">
      <c r="A101" s="441"/>
      <c r="B101" s="448" t="s">
        <v>47</v>
      </c>
      <c r="D101" s="455">
        <f t="shared" ref="D101:L101" si="39">D87*D113</f>
        <v>470.79802167552015</v>
      </c>
      <c r="E101" s="455">
        <f t="shared" si="39"/>
        <v>706.19703251328019</v>
      </c>
      <c r="F101" s="455">
        <f t="shared" si="39"/>
        <v>192.59919068544005</v>
      </c>
      <c r="G101" s="455">
        <f t="shared" si="39"/>
        <v>1230.4948293792004</v>
      </c>
      <c r="H101" s="455">
        <f t="shared" si="39"/>
        <v>1230.4948293792004</v>
      </c>
      <c r="I101" s="455">
        <f t="shared" si="39"/>
        <v>1230.4948293792004</v>
      </c>
      <c r="J101" s="455">
        <f t="shared" si="39"/>
        <v>2513.9262784204802</v>
      </c>
      <c r="K101" s="455">
        <f t="shared" si="39"/>
        <v>2723.420134955521</v>
      </c>
      <c r="L101" s="455">
        <f t="shared" si="39"/>
        <v>0</v>
      </c>
    </row>
    <row r="102" spans="1:48" s="293" customFormat="1">
      <c r="A102" s="441"/>
      <c r="B102" s="448" t="s">
        <v>46</v>
      </c>
      <c r="D102" s="455">
        <f t="shared" ref="D102:L102" si="40">D88*D113</f>
        <v>470.79802167552015</v>
      </c>
      <c r="E102" s="455">
        <f t="shared" si="40"/>
        <v>588.4975270944002</v>
      </c>
      <c r="F102" s="455">
        <f t="shared" si="40"/>
        <v>288.89878602816003</v>
      </c>
      <c r="G102" s="455">
        <f t="shared" si="40"/>
        <v>1230.4948293792004</v>
      </c>
      <c r="H102" s="455">
        <f t="shared" si="40"/>
        <v>1230.4948293792004</v>
      </c>
      <c r="I102" s="455">
        <f t="shared" si="40"/>
        <v>1230.4948293792004</v>
      </c>
      <c r="J102" s="455">
        <f t="shared" si="40"/>
        <v>2513.9262784204802</v>
      </c>
      <c r="K102" s="455">
        <f t="shared" si="40"/>
        <v>2723.420134955521</v>
      </c>
      <c r="L102" s="455">
        <f t="shared" si="40"/>
        <v>0</v>
      </c>
    </row>
    <row r="103" spans="1:48" s="293" customFormat="1">
      <c r="A103" s="441"/>
      <c r="B103" s="451" t="s">
        <v>45</v>
      </c>
      <c r="D103" s="455">
        <f t="shared" ref="D103:L103" si="41">D89*D113</f>
        <v>470.79802167552015</v>
      </c>
      <c r="E103" s="455">
        <f t="shared" si="41"/>
        <v>706.19703251328019</v>
      </c>
      <c r="F103" s="455">
        <f t="shared" si="41"/>
        <v>288.89878602816003</v>
      </c>
      <c r="G103" s="455">
        <f t="shared" si="41"/>
        <v>1476.5937952550405</v>
      </c>
      <c r="H103" s="455">
        <f t="shared" si="41"/>
        <v>1476.5937952550405</v>
      </c>
      <c r="I103" s="455">
        <f t="shared" si="41"/>
        <v>1476.5937952550405</v>
      </c>
      <c r="J103" s="455">
        <f t="shared" si="41"/>
        <v>2513.9262784204802</v>
      </c>
      <c r="K103" s="455">
        <f t="shared" si="41"/>
        <v>2723.420134955521</v>
      </c>
      <c r="L103" s="455">
        <f t="shared" si="41"/>
        <v>0</v>
      </c>
    </row>
    <row r="104" spans="1:48" s="293" customFormat="1">
      <c r="A104" s="441"/>
      <c r="B104" s="451" t="s">
        <v>44</v>
      </c>
      <c r="D104" s="455">
        <f t="shared" ref="D104:L104" si="42">D90*D113</f>
        <v>470.79802167552015</v>
      </c>
      <c r="E104" s="455">
        <f t="shared" si="42"/>
        <v>706.19703251328019</v>
      </c>
      <c r="F104" s="455">
        <f t="shared" si="42"/>
        <v>385.1983813708801</v>
      </c>
      <c r="G104" s="455">
        <f t="shared" si="42"/>
        <v>1722.6927611308806</v>
      </c>
      <c r="H104" s="455">
        <f t="shared" si="42"/>
        <v>1722.6927611308806</v>
      </c>
      <c r="I104" s="455">
        <f t="shared" si="42"/>
        <v>1722.6927611308806</v>
      </c>
      <c r="J104" s="455">
        <f t="shared" si="42"/>
        <v>9217.7296875417615</v>
      </c>
      <c r="K104" s="455">
        <f t="shared" si="42"/>
        <v>9985.8738281702426</v>
      </c>
      <c r="L104" s="455">
        <f t="shared" si="42"/>
        <v>0</v>
      </c>
    </row>
    <row r="105" spans="1:48" s="293" customFormat="1">
      <c r="A105" s="332"/>
      <c r="B105" s="451" t="s">
        <v>43</v>
      </c>
      <c r="D105" s="455">
        <f t="shared" ref="D105:L105" si="43">D91*D113</f>
        <v>1412.3940650265604</v>
      </c>
      <c r="E105" s="455">
        <f t="shared" si="43"/>
        <v>1294.6945596076805</v>
      </c>
      <c r="F105" s="455">
        <f t="shared" si="43"/>
        <v>1059.2955487699203</v>
      </c>
      <c r="G105" s="455">
        <f t="shared" si="43"/>
        <v>1968.7917270067207</v>
      </c>
      <c r="H105" s="455">
        <f t="shared" si="43"/>
        <v>1968.7917270067207</v>
      </c>
      <c r="I105" s="455">
        <f t="shared" si="43"/>
        <v>1968.7917270067207</v>
      </c>
      <c r="J105" s="455">
        <f t="shared" si="43"/>
        <v>9217.7296875417615</v>
      </c>
      <c r="K105" s="455">
        <f t="shared" si="43"/>
        <v>9985.8738281702426</v>
      </c>
      <c r="L105" s="455">
        <f t="shared" si="43"/>
        <v>0</v>
      </c>
    </row>
    <row r="106" spans="1:48" s="293" customFormat="1">
      <c r="A106" s="443"/>
      <c r="B106" s="451" t="s">
        <v>42</v>
      </c>
      <c r="D106" s="455">
        <f t="shared" ref="D106:L106" si="44">D92*D113</f>
        <v>1412.3940650265604</v>
      </c>
      <c r="E106" s="455">
        <f t="shared" si="44"/>
        <v>1294.6945596076805</v>
      </c>
      <c r="F106" s="455">
        <f t="shared" si="44"/>
        <v>1155.5951441126401</v>
      </c>
      <c r="G106" s="455">
        <f t="shared" si="44"/>
        <v>2460.9896587584008</v>
      </c>
      <c r="H106" s="455">
        <f t="shared" si="44"/>
        <v>2460.9896587584008</v>
      </c>
      <c r="I106" s="455">
        <f t="shared" si="44"/>
        <v>2460.9896587584008</v>
      </c>
      <c r="J106" s="455">
        <f t="shared" si="44"/>
        <v>11731.655965962243</v>
      </c>
      <c r="K106" s="455">
        <f t="shared" si="44"/>
        <v>12709.293963125765</v>
      </c>
      <c r="L106" s="455">
        <f t="shared" si="44"/>
        <v>0</v>
      </c>
    </row>
    <row r="107" spans="1:48" s="293" customFormat="1">
      <c r="A107" s="443"/>
      <c r="B107" s="451" t="s">
        <v>41</v>
      </c>
      <c r="D107" s="455">
        <f t="shared" ref="D107:L107" si="45">D93*D113</f>
        <v>1412.3940650265604</v>
      </c>
      <c r="E107" s="455">
        <f t="shared" si="45"/>
        <v>1294.6945596076805</v>
      </c>
      <c r="F107" s="455">
        <f t="shared" si="45"/>
        <v>1155.5951441126401</v>
      </c>
      <c r="G107" s="455">
        <f t="shared" si="45"/>
        <v>2460.9896587584008</v>
      </c>
      <c r="H107" s="455">
        <f t="shared" si="45"/>
        <v>2460.9896587584008</v>
      </c>
      <c r="I107" s="455">
        <f t="shared" si="45"/>
        <v>2460.9896587584008</v>
      </c>
      <c r="J107" s="455">
        <f t="shared" si="45"/>
        <v>11731.655965962243</v>
      </c>
      <c r="K107" s="455">
        <f t="shared" si="45"/>
        <v>12709.293963125765</v>
      </c>
      <c r="L107" s="455">
        <f t="shared" si="45"/>
        <v>0</v>
      </c>
    </row>
    <row r="108" spans="1:48" s="293" customFormat="1">
      <c r="A108" s="443"/>
      <c r="B108" s="451" t="s">
        <v>40</v>
      </c>
      <c r="D108" s="455">
        <f t="shared" ref="D108:L108" si="46">D94*D113</f>
        <v>1412.3940650265604</v>
      </c>
      <c r="E108" s="455">
        <f t="shared" si="46"/>
        <v>1294.6945596076805</v>
      </c>
      <c r="F108" s="455">
        <f t="shared" si="46"/>
        <v>1155.5951441126401</v>
      </c>
      <c r="G108" s="455">
        <f t="shared" si="46"/>
        <v>2953.187590510081</v>
      </c>
      <c r="H108" s="455">
        <f t="shared" si="46"/>
        <v>2953.187590510081</v>
      </c>
      <c r="I108" s="455">
        <f t="shared" si="46"/>
        <v>2953.187590510081</v>
      </c>
      <c r="J108" s="455">
        <f t="shared" si="46"/>
        <v>10055.705113681921</v>
      </c>
      <c r="K108" s="455">
        <f t="shared" si="46"/>
        <v>10893.680539822084</v>
      </c>
      <c r="L108" s="455">
        <f t="shared" si="46"/>
        <v>0</v>
      </c>
    </row>
    <row r="109" spans="1:48" s="293" customFormat="1">
      <c r="A109" s="471"/>
      <c r="B109" s="451" t="s">
        <v>39</v>
      </c>
      <c r="D109" s="455">
        <f t="shared" ref="D109:L109" si="47">D95*D113</f>
        <v>1412.3940650265604</v>
      </c>
      <c r="E109" s="455">
        <f t="shared" si="47"/>
        <v>1294.6945596076805</v>
      </c>
      <c r="F109" s="455">
        <f t="shared" si="47"/>
        <v>1155.5951441126401</v>
      </c>
      <c r="G109" s="455">
        <f t="shared" si="47"/>
        <v>2953.187590510081</v>
      </c>
      <c r="H109" s="455">
        <f t="shared" si="47"/>
        <v>2953.187590510081</v>
      </c>
      <c r="I109" s="455">
        <f t="shared" si="47"/>
        <v>2953.187590510081</v>
      </c>
      <c r="J109" s="455">
        <f t="shared" si="47"/>
        <v>10055.705113681921</v>
      </c>
      <c r="K109" s="455">
        <f t="shared" si="47"/>
        <v>10893.680539822084</v>
      </c>
      <c r="L109" s="455">
        <f t="shared" si="47"/>
        <v>0</v>
      </c>
    </row>
    <row r="110" spans="1:48" s="293" customFormat="1">
      <c r="A110" s="471"/>
      <c r="B110" s="451" t="s">
        <v>38</v>
      </c>
      <c r="D110" s="455">
        <f t="shared" ref="D110:L110" si="48">D96*D113</f>
        <v>1176.9950541888004</v>
      </c>
      <c r="E110" s="455">
        <f t="shared" si="48"/>
        <v>1294.6945596076805</v>
      </c>
      <c r="F110" s="455">
        <f t="shared" si="48"/>
        <v>1059.2955487699203</v>
      </c>
      <c r="G110" s="455">
        <f t="shared" si="48"/>
        <v>2707.0886246342407</v>
      </c>
      <c r="H110" s="455">
        <f t="shared" si="48"/>
        <v>2707.0886246342407</v>
      </c>
      <c r="I110" s="455">
        <f t="shared" si="48"/>
        <v>2707.0886246342407</v>
      </c>
      <c r="J110" s="455">
        <f t="shared" si="48"/>
        <v>9217.7296875417615</v>
      </c>
      <c r="K110" s="455">
        <f t="shared" si="48"/>
        <v>9985.8738281702426</v>
      </c>
      <c r="L110" s="455">
        <f t="shared" si="48"/>
        <v>0</v>
      </c>
    </row>
    <row r="111" spans="1:48" s="293" customFormat="1">
      <c r="A111" s="471"/>
      <c r="B111" s="451" t="s">
        <v>37</v>
      </c>
      <c r="D111" s="455">
        <f t="shared" ref="D111:L111" si="49">D97*D113</f>
        <v>823.8965379321603</v>
      </c>
      <c r="E111" s="455">
        <f t="shared" si="49"/>
        <v>706.19703251328019</v>
      </c>
      <c r="F111" s="455">
        <f t="shared" si="49"/>
        <v>1444.4939301408003</v>
      </c>
      <c r="G111" s="455">
        <f t="shared" si="49"/>
        <v>1722.6927611308806</v>
      </c>
      <c r="H111" s="455">
        <f t="shared" si="49"/>
        <v>1722.6927611308806</v>
      </c>
      <c r="I111" s="455">
        <f t="shared" si="49"/>
        <v>1722.6927611308806</v>
      </c>
      <c r="J111" s="455">
        <f t="shared" si="49"/>
        <v>2513.9262784204802</v>
      </c>
      <c r="K111" s="455">
        <f t="shared" si="49"/>
        <v>2723.420134955521</v>
      </c>
      <c r="L111" s="455">
        <f t="shared" si="49"/>
        <v>0</v>
      </c>
    </row>
    <row r="112" spans="1:48" s="442" customFormat="1">
      <c r="A112" s="471"/>
      <c r="B112" s="451" t="s">
        <v>36</v>
      </c>
      <c r="D112" s="455">
        <f t="shared" ref="D112:L112" si="50">D98*D113</f>
        <v>823.8965379321603</v>
      </c>
      <c r="E112" s="455">
        <f t="shared" si="50"/>
        <v>588.4975270944002</v>
      </c>
      <c r="F112" s="455">
        <f t="shared" si="50"/>
        <v>288.89878602816003</v>
      </c>
      <c r="G112" s="455">
        <f t="shared" si="50"/>
        <v>1722.6927611308806</v>
      </c>
      <c r="H112" s="455">
        <f t="shared" si="50"/>
        <v>1722.6927611308806</v>
      </c>
      <c r="I112" s="455">
        <f t="shared" si="50"/>
        <v>1722.6927611308806</v>
      </c>
      <c r="J112" s="455">
        <f t="shared" si="50"/>
        <v>2513.9262784204802</v>
      </c>
      <c r="K112" s="455">
        <f t="shared" si="50"/>
        <v>2723.420134955521</v>
      </c>
      <c r="L112" s="455">
        <f t="shared" si="50"/>
        <v>0</v>
      </c>
      <c r="M112" s="293"/>
      <c r="N112" s="293"/>
      <c r="O112" s="293"/>
      <c r="P112" s="293"/>
      <c r="Q112" s="293"/>
      <c r="R112" s="293"/>
      <c r="S112" s="293"/>
      <c r="T112" s="293"/>
      <c r="U112" s="293"/>
    </row>
    <row r="113" spans="1:21" s="442" customFormat="1">
      <c r="A113" s="471"/>
      <c r="B113" s="451" t="s">
        <v>413</v>
      </c>
      <c r="D113" s="455">
        <f t="shared" ref="D113:L113" si="51">VLOOKUP(D39,TargetedMSo,IF(D40="[retail]",8,10),FALSE)</f>
        <v>11769.950541888003</v>
      </c>
      <c r="E113" s="455">
        <f t="shared" si="51"/>
        <v>11769.950541888003</v>
      </c>
      <c r="F113" s="455">
        <f t="shared" si="51"/>
        <v>9629.9595342720022</v>
      </c>
      <c r="G113" s="455">
        <f t="shared" si="51"/>
        <v>24609.896587584008</v>
      </c>
      <c r="H113" s="455">
        <f t="shared" si="51"/>
        <v>24609.896587584008</v>
      </c>
      <c r="I113" s="455">
        <f t="shared" si="51"/>
        <v>24609.896587584008</v>
      </c>
      <c r="J113" s="455">
        <f t="shared" si="51"/>
        <v>83797.542614016013</v>
      </c>
      <c r="K113" s="455">
        <f t="shared" si="51"/>
        <v>90780.671165184031</v>
      </c>
      <c r="L113" s="455">
        <f t="shared" si="51"/>
        <v>0</v>
      </c>
      <c r="M113" s="293"/>
      <c r="N113" s="293"/>
      <c r="O113" s="293"/>
      <c r="P113" s="293"/>
      <c r="Q113" s="293"/>
      <c r="R113" s="293"/>
      <c r="S113" s="293"/>
      <c r="T113" s="293"/>
      <c r="U113" s="293"/>
    </row>
    <row r="114" spans="1:21" s="442" customFormat="1">
      <c r="A114" s="441"/>
      <c r="B114" s="448" t="s">
        <v>415</v>
      </c>
      <c r="D114" s="457" t="str">
        <f t="shared" ref="D114:L114" si="52">IF(D40="[wholesale]",D113/capacity,"")</f>
        <v/>
      </c>
      <c r="E114" s="457" t="str">
        <f t="shared" si="52"/>
        <v/>
      </c>
      <c r="F114" s="457" t="str">
        <f t="shared" si="52"/>
        <v/>
      </c>
      <c r="G114" s="457" t="str">
        <f t="shared" si="52"/>
        <v/>
      </c>
      <c r="H114" s="457" t="str">
        <f t="shared" si="52"/>
        <v/>
      </c>
      <c r="I114" s="457" t="str">
        <f t="shared" si="52"/>
        <v/>
      </c>
      <c r="J114" s="457">
        <f t="shared" si="52"/>
        <v>67.57866339840001</v>
      </c>
      <c r="K114" s="457">
        <f t="shared" si="52"/>
        <v>73.210218681600026</v>
      </c>
      <c r="L114" s="457" t="str">
        <f t="shared" si="52"/>
        <v/>
      </c>
      <c r="M114" s="293"/>
      <c r="N114" s="293"/>
      <c r="O114" s="293"/>
      <c r="P114" s="293"/>
      <c r="Q114" s="293"/>
      <c r="R114" s="293"/>
      <c r="S114" s="293"/>
      <c r="T114" s="293"/>
      <c r="U114" s="293"/>
    </row>
    <row r="115" spans="1:21" s="293" customFormat="1">
      <c r="A115" s="441"/>
      <c r="B115" s="448"/>
      <c r="C115" s="472" t="s">
        <v>101</v>
      </c>
      <c r="D115" s="453" t="s">
        <v>416</v>
      </c>
      <c r="E115" s="453"/>
      <c r="F115" s="453"/>
      <c r="G115" s="453"/>
      <c r="H115" s="453"/>
      <c r="I115" s="453"/>
      <c r="J115" s="453"/>
      <c r="K115" s="453"/>
      <c r="L115" s="453"/>
      <c r="O115" s="465"/>
      <c r="P115" s="465"/>
      <c r="R115" s="465"/>
      <c r="S115" s="465"/>
    </row>
    <row r="116" spans="1:21" s="293" customFormat="1">
      <c r="A116" s="447"/>
      <c r="B116" s="448" t="s">
        <v>47</v>
      </c>
      <c r="C116" s="462">
        <f t="shared" ref="C116:C127" si="53">SUM(D116:Z116)</f>
        <v>7</v>
      </c>
      <c r="D116" s="473">
        <f t="shared" ref="D116:L116" si="54">ProductionFY2o(1,D39,VLOOKUP(D39,ProductsRangeOper,3,FALSE),D101)</f>
        <v>0.31547169811320763</v>
      </c>
      <c r="E116" s="473">
        <f t="shared" si="54"/>
        <v>0.41182266009852214</v>
      </c>
      <c r="F116" s="473">
        <f t="shared" si="54"/>
        <v>0</v>
      </c>
      <c r="G116" s="473">
        <f t="shared" si="54"/>
        <v>1</v>
      </c>
      <c r="H116" s="473">
        <f t="shared" si="54"/>
        <v>1</v>
      </c>
      <c r="I116" s="473">
        <f t="shared" si="54"/>
        <v>1</v>
      </c>
      <c r="J116" s="473">
        <f t="shared" si="54"/>
        <v>1.6845283018867925</v>
      </c>
      <c r="K116" s="473">
        <f t="shared" si="54"/>
        <v>1.5881773399014778</v>
      </c>
      <c r="L116" s="473">
        <f t="shared" si="54"/>
        <v>0</v>
      </c>
      <c r="M116" s="447"/>
      <c r="O116" s="465"/>
      <c r="P116" s="465"/>
      <c r="R116" s="465"/>
      <c r="S116" s="465"/>
    </row>
    <row r="117" spans="1:21" s="293" customFormat="1">
      <c r="A117" s="450"/>
      <c r="B117" s="448" t="s">
        <v>46</v>
      </c>
      <c r="C117" s="462">
        <f t="shared" si="53"/>
        <v>7</v>
      </c>
      <c r="D117" s="473">
        <f t="shared" ref="D117:L117" si="55">ProductionFY2o(2,D39,VLOOKUP(D39,ProductsRangeOper,3,FALSE),D102)</f>
        <v>0.31547169811320763</v>
      </c>
      <c r="E117" s="473">
        <f t="shared" si="55"/>
        <v>0.35538173779969395</v>
      </c>
      <c r="F117" s="473">
        <f t="shared" si="55"/>
        <v>0</v>
      </c>
      <c r="G117" s="473">
        <f t="shared" si="55"/>
        <v>1</v>
      </c>
      <c r="H117" s="473">
        <f t="shared" si="55"/>
        <v>1</v>
      </c>
      <c r="I117" s="473">
        <f t="shared" si="55"/>
        <v>1</v>
      </c>
      <c r="J117" s="473">
        <f t="shared" si="55"/>
        <v>1.6845283018867925</v>
      </c>
      <c r="K117" s="473">
        <f t="shared" si="55"/>
        <v>1.644618262200306</v>
      </c>
      <c r="L117" s="473">
        <f t="shared" si="55"/>
        <v>0</v>
      </c>
      <c r="M117" s="447"/>
      <c r="O117" s="465"/>
      <c r="P117" s="465"/>
      <c r="R117" s="465"/>
      <c r="S117" s="465"/>
    </row>
    <row r="118" spans="1:21" s="293" customFormat="1">
      <c r="A118" s="442"/>
      <c r="B118" s="451" t="s">
        <v>45</v>
      </c>
      <c r="C118" s="462">
        <f t="shared" si="53"/>
        <v>7</v>
      </c>
      <c r="D118" s="473">
        <f t="shared" ref="D118:L118" si="56">ProductionFY2o(3,D39,VLOOKUP(D39,ProductsRangeOper,3,FALSE),D103)</f>
        <v>0.31547169811320763</v>
      </c>
      <c r="E118" s="473">
        <f t="shared" si="56"/>
        <v>0.41182266009852214</v>
      </c>
      <c r="F118" s="473">
        <f t="shared" si="56"/>
        <v>0</v>
      </c>
      <c r="G118" s="473">
        <f t="shared" si="56"/>
        <v>1</v>
      </c>
      <c r="H118" s="473">
        <f t="shared" si="56"/>
        <v>1</v>
      </c>
      <c r="I118" s="473">
        <f t="shared" si="56"/>
        <v>1</v>
      </c>
      <c r="J118" s="473">
        <f t="shared" si="56"/>
        <v>1.6845283018867925</v>
      </c>
      <c r="K118" s="473">
        <f t="shared" si="56"/>
        <v>1.5881773399014778</v>
      </c>
      <c r="L118" s="473">
        <f t="shared" si="56"/>
        <v>0</v>
      </c>
      <c r="M118" s="447"/>
      <c r="O118" s="465"/>
      <c r="P118" s="465"/>
      <c r="R118" s="465"/>
      <c r="S118" s="465"/>
    </row>
    <row r="119" spans="1:21" s="293" customFormat="1">
      <c r="A119" s="442"/>
      <c r="B119" s="451" t="s">
        <v>44</v>
      </c>
      <c r="C119" s="462">
        <f t="shared" si="53"/>
        <v>19</v>
      </c>
      <c r="D119" s="473">
        <f t="shared" ref="D119:L119" si="57">ProductionFY2o(4,D39,VLOOKUP(D39,ProductsRangeOper,3,FALSE),D104)</f>
        <v>0.38874680306905374</v>
      </c>
      <c r="E119" s="473">
        <f t="shared" si="57"/>
        <v>0.52838933951332556</v>
      </c>
      <c r="F119" s="473">
        <f t="shared" si="57"/>
        <v>0</v>
      </c>
      <c r="G119" s="473">
        <f t="shared" si="57"/>
        <v>1</v>
      </c>
      <c r="H119" s="473">
        <f t="shared" si="57"/>
        <v>1</v>
      </c>
      <c r="I119" s="473">
        <f t="shared" si="57"/>
        <v>1</v>
      </c>
      <c r="J119" s="473">
        <f t="shared" si="57"/>
        <v>7.6112531969309458</v>
      </c>
      <c r="K119" s="473">
        <f t="shared" si="57"/>
        <v>7.4716106604866743</v>
      </c>
      <c r="L119" s="473">
        <f t="shared" si="57"/>
        <v>0</v>
      </c>
      <c r="M119" s="447"/>
      <c r="O119" s="465"/>
      <c r="P119" s="465"/>
      <c r="R119" s="465"/>
      <c r="S119" s="465"/>
    </row>
    <row r="120" spans="1:21" s="293" customFormat="1">
      <c r="A120" s="442"/>
      <c r="B120" s="451" t="s">
        <v>43</v>
      </c>
      <c r="C120" s="462">
        <f t="shared" si="53"/>
        <v>24</v>
      </c>
      <c r="D120" s="473">
        <f t="shared" ref="D120:L120" si="58">ProductionFY2o(5,D39,VLOOKUP(D39,ProductsRangeOper,3,FALSE),D105)</f>
        <v>1.0629370629370631</v>
      </c>
      <c r="E120" s="473">
        <f t="shared" si="58"/>
        <v>1.0329489291598024</v>
      </c>
      <c r="F120" s="473">
        <f t="shared" si="58"/>
        <v>1</v>
      </c>
      <c r="G120" s="473">
        <f t="shared" si="58"/>
        <v>2</v>
      </c>
      <c r="H120" s="473">
        <f t="shared" si="58"/>
        <v>2</v>
      </c>
      <c r="I120" s="473">
        <f t="shared" si="58"/>
        <v>2</v>
      </c>
      <c r="J120" s="473">
        <f t="shared" si="58"/>
        <v>6.9370629370629375</v>
      </c>
      <c r="K120" s="473">
        <f t="shared" si="58"/>
        <v>7.9670510708401974</v>
      </c>
      <c r="L120" s="473">
        <f t="shared" si="58"/>
        <v>0</v>
      </c>
      <c r="M120" s="447"/>
      <c r="O120" s="465"/>
      <c r="P120" s="465"/>
      <c r="R120" s="465"/>
      <c r="S120" s="465"/>
    </row>
    <row r="121" spans="1:21" s="293" customFormat="1">
      <c r="B121" s="451" t="s">
        <v>42</v>
      </c>
      <c r="C121" s="462">
        <f t="shared" si="53"/>
        <v>28</v>
      </c>
      <c r="D121" s="473">
        <f t="shared" ref="D121:L121" si="59">ProductionFY2o(6,D39,VLOOKUP(D39,ProductsRangeOper,3,FALSE),D106)</f>
        <v>1.0745501285347043</v>
      </c>
      <c r="E121" s="473">
        <f t="shared" si="59"/>
        <v>1.0169702818997064</v>
      </c>
      <c r="F121" s="473">
        <f t="shared" si="59"/>
        <v>1</v>
      </c>
      <c r="G121" s="473">
        <f t="shared" si="59"/>
        <v>2</v>
      </c>
      <c r="H121" s="473">
        <f t="shared" si="59"/>
        <v>2</v>
      </c>
      <c r="I121" s="473">
        <f t="shared" si="59"/>
        <v>2</v>
      </c>
      <c r="J121" s="473">
        <f t="shared" si="59"/>
        <v>8.925449871465295</v>
      </c>
      <c r="K121" s="473">
        <f t="shared" si="59"/>
        <v>9.9830297181002923</v>
      </c>
      <c r="L121" s="473">
        <f t="shared" si="59"/>
        <v>0</v>
      </c>
      <c r="M121" s="447"/>
      <c r="O121" s="465"/>
      <c r="P121" s="465"/>
      <c r="R121" s="465"/>
      <c r="S121" s="465"/>
    </row>
    <row r="122" spans="1:21" s="293" customFormat="1">
      <c r="B122" s="451" t="s">
        <v>41</v>
      </c>
      <c r="C122" s="462">
        <f t="shared" si="53"/>
        <v>28</v>
      </c>
      <c r="D122" s="473">
        <f t="shared" ref="D122:L122" si="60">ProductionFY2o(7,D39,VLOOKUP(D39,ProductsRangeOper,3,FALSE),D107)</f>
        <v>1.0745501285347043</v>
      </c>
      <c r="E122" s="473">
        <f t="shared" si="60"/>
        <v>1.0169702818997064</v>
      </c>
      <c r="F122" s="473">
        <f t="shared" si="60"/>
        <v>1</v>
      </c>
      <c r="G122" s="473">
        <f t="shared" si="60"/>
        <v>2</v>
      </c>
      <c r="H122" s="473">
        <f t="shared" si="60"/>
        <v>2</v>
      </c>
      <c r="I122" s="473">
        <f t="shared" si="60"/>
        <v>2</v>
      </c>
      <c r="J122" s="473">
        <f t="shared" si="60"/>
        <v>8.925449871465295</v>
      </c>
      <c r="K122" s="473">
        <f t="shared" si="60"/>
        <v>9.9830297181002923</v>
      </c>
      <c r="L122" s="473">
        <f t="shared" si="60"/>
        <v>0</v>
      </c>
      <c r="M122" s="447"/>
      <c r="O122" s="465"/>
      <c r="P122" s="465"/>
      <c r="R122" s="465"/>
      <c r="S122" s="465"/>
    </row>
    <row r="123" spans="1:21" s="293" customFormat="1">
      <c r="B123" s="451" t="s">
        <v>40</v>
      </c>
      <c r="C123" s="462">
        <f t="shared" si="53"/>
        <v>26</v>
      </c>
      <c r="D123" s="473">
        <f t="shared" ref="D123:L123" si="61">ProductionFY2o(8,D39,VLOOKUP(D39,ProductsRangeOper,3,FALSE),D108)</f>
        <v>1.1084266352386567</v>
      </c>
      <c r="E123" s="473">
        <f t="shared" si="61"/>
        <v>1.0622372129556901</v>
      </c>
      <c r="F123" s="473">
        <f t="shared" si="61"/>
        <v>1</v>
      </c>
      <c r="G123" s="473">
        <f t="shared" si="61"/>
        <v>2</v>
      </c>
      <c r="H123" s="473">
        <f t="shared" si="61"/>
        <v>2</v>
      </c>
      <c r="I123" s="473">
        <f t="shared" si="61"/>
        <v>2</v>
      </c>
      <c r="J123" s="473">
        <f t="shared" si="61"/>
        <v>7.8915733647613431</v>
      </c>
      <c r="K123" s="473">
        <f t="shared" si="61"/>
        <v>8.9377627870443099</v>
      </c>
      <c r="L123" s="473">
        <f t="shared" si="61"/>
        <v>0</v>
      </c>
      <c r="M123" s="447"/>
      <c r="O123" s="465"/>
      <c r="P123" s="465"/>
      <c r="R123" s="465"/>
      <c r="S123" s="465"/>
    </row>
    <row r="124" spans="1:21" s="293" customFormat="1">
      <c r="B124" s="451" t="s">
        <v>39</v>
      </c>
      <c r="C124" s="462">
        <f t="shared" si="53"/>
        <v>26</v>
      </c>
      <c r="D124" s="473">
        <f t="shared" ref="D124:L124" si="62">ProductionFY2o(9,D39,VLOOKUP(D39,ProductsRangeOper,3,FALSE),D109)</f>
        <v>1.1084266352386567</v>
      </c>
      <c r="E124" s="473">
        <f t="shared" si="62"/>
        <v>1.0622372129556901</v>
      </c>
      <c r="F124" s="473">
        <f t="shared" si="62"/>
        <v>1</v>
      </c>
      <c r="G124" s="473">
        <f t="shared" si="62"/>
        <v>2</v>
      </c>
      <c r="H124" s="473">
        <f t="shared" si="62"/>
        <v>2</v>
      </c>
      <c r="I124" s="473">
        <f t="shared" si="62"/>
        <v>2</v>
      </c>
      <c r="J124" s="473">
        <f t="shared" si="62"/>
        <v>7.8915733647613431</v>
      </c>
      <c r="K124" s="473">
        <f t="shared" si="62"/>
        <v>8.9377627870443099</v>
      </c>
      <c r="L124" s="473">
        <f t="shared" si="62"/>
        <v>0</v>
      </c>
      <c r="M124" s="447"/>
      <c r="O124" s="465"/>
      <c r="P124" s="465"/>
      <c r="R124" s="465"/>
      <c r="S124" s="465"/>
    </row>
    <row r="125" spans="1:21" s="293" customFormat="1">
      <c r="B125" s="451" t="s">
        <v>38</v>
      </c>
      <c r="C125" s="462">
        <f t="shared" si="53"/>
        <v>24</v>
      </c>
      <c r="D125" s="473">
        <f t="shared" ref="D125:L125" si="63">ProductionFY2o(10,D39,VLOOKUP(D39,ProductsRangeOper,3,FALSE),D110)</f>
        <v>0.90584028605482725</v>
      </c>
      <c r="E125" s="473">
        <f t="shared" si="63"/>
        <v>1.0329489291598024</v>
      </c>
      <c r="F125" s="473">
        <f t="shared" si="63"/>
        <v>1</v>
      </c>
      <c r="G125" s="473">
        <f t="shared" si="63"/>
        <v>2</v>
      </c>
      <c r="H125" s="473">
        <f t="shared" si="63"/>
        <v>2</v>
      </c>
      <c r="I125" s="473">
        <f t="shared" si="63"/>
        <v>2</v>
      </c>
      <c r="J125" s="473">
        <f t="shared" si="63"/>
        <v>7.0941597139451726</v>
      </c>
      <c r="K125" s="473">
        <f t="shared" si="63"/>
        <v>7.9670510708401974</v>
      </c>
      <c r="L125" s="473">
        <f t="shared" si="63"/>
        <v>0</v>
      </c>
      <c r="M125" s="447"/>
      <c r="O125" s="465"/>
      <c r="P125" s="465"/>
      <c r="R125" s="465"/>
      <c r="S125" s="465"/>
    </row>
    <row r="126" spans="1:21" s="293" customFormat="1">
      <c r="B126" s="451" t="s">
        <v>37</v>
      </c>
      <c r="C126" s="462">
        <f t="shared" si="53"/>
        <v>7.9999999999999991</v>
      </c>
      <c r="D126" s="473">
        <f t="shared" ref="D126:L126" si="64">ProductionFY2o(11,D39,VLOOKUP(D39,ProductsRangeOper,3,FALSE),D111)</f>
        <v>0.49367302176480521</v>
      </c>
      <c r="E126" s="473">
        <f t="shared" si="64"/>
        <v>0.41182266009852214</v>
      </c>
      <c r="F126" s="473">
        <f t="shared" si="64"/>
        <v>1</v>
      </c>
      <c r="G126" s="473">
        <f t="shared" si="64"/>
        <v>1</v>
      </c>
      <c r="H126" s="473">
        <f t="shared" si="64"/>
        <v>1</v>
      </c>
      <c r="I126" s="473">
        <f t="shared" si="64"/>
        <v>1</v>
      </c>
      <c r="J126" s="473">
        <f t="shared" si="64"/>
        <v>1.5063269782351947</v>
      </c>
      <c r="K126" s="473">
        <f t="shared" si="64"/>
        <v>1.5881773399014778</v>
      </c>
      <c r="L126" s="473">
        <f t="shared" si="64"/>
        <v>0</v>
      </c>
      <c r="M126" s="447"/>
      <c r="O126" s="465"/>
      <c r="P126" s="465"/>
      <c r="R126" s="465"/>
      <c r="S126" s="465"/>
    </row>
    <row r="127" spans="1:21" s="293" customFormat="1">
      <c r="B127" s="451" t="s">
        <v>36</v>
      </c>
      <c r="C127" s="462">
        <f t="shared" si="53"/>
        <v>7</v>
      </c>
      <c r="D127" s="473">
        <f t="shared" ref="D127:L127" si="65">ProductionFY2o(12,D39,VLOOKUP(D39,ProductsRangeOper,3,FALSE),D112)</f>
        <v>0.49367302176480521</v>
      </c>
      <c r="E127" s="473">
        <f t="shared" si="65"/>
        <v>0.35538173779969395</v>
      </c>
      <c r="F127" s="473">
        <f t="shared" si="65"/>
        <v>0</v>
      </c>
      <c r="G127" s="473">
        <f t="shared" si="65"/>
        <v>1</v>
      </c>
      <c r="H127" s="473">
        <f t="shared" si="65"/>
        <v>1</v>
      </c>
      <c r="I127" s="473">
        <f t="shared" si="65"/>
        <v>1</v>
      </c>
      <c r="J127" s="473">
        <f t="shared" si="65"/>
        <v>1.5063269782351947</v>
      </c>
      <c r="K127" s="473">
        <f t="shared" si="65"/>
        <v>1.644618262200306</v>
      </c>
      <c r="L127" s="473">
        <f t="shared" si="65"/>
        <v>0</v>
      </c>
      <c r="M127" s="447"/>
      <c r="O127" s="465"/>
      <c r="P127" s="465"/>
      <c r="R127" s="465"/>
      <c r="S127" s="465"/>
    </row>
    <row r="128" spans="1:21" s="442" customFormat="1">
      <c r="A128" s="466" t="s">
        <v>417</v>
      </c>
      <c r="C128" s="448" t="s">
        <v>85</v>
      </c>
      <c r="D128" s="467">
        <f t="shared" ref="D128:I128" si="66">SUM(D101:D112)</f>
        <v>11769.950541888003</v>
      </c>
      <c r="E128" s="468">
        <f t="shared" si="66"/>
        <v>11769.950541888003</v>
      </c>
      <c r="F128" s="468">
        <f t="shared" si="66"/>
        <v>9629.9595342720004</v>
      </c>
      <c r="G128" s="468">
        <f t="shared" si="66"/>
        <v>24609.896587584011</v>
      </c>
      <c r="H128" s="468">
        <f t="shared" si="66"/>
        <v>24609.896587584011</v>
      </c>
      <c r="I128" s="468">
        <f t="shared" si="66"/>
        <v>24609.896587584011</v>
      </c>
      <c r="J128" s="469">
        <f>J113</f>
        <v>83797.542614016013</v>
      </c>
      <c r="K128" s="469">
        <f>K113</f>
        <v>90780.671165184031</v>
      </c>
      <c r="L128" s="469">
        <f>L113</f>
        <v>0</v>
      </c>
      <c r="M128" s="293"/>
      <c r="N128" s="293"/>
      <c r="O128" s="465"/>
      <c r="P128" s="465"/>
      <c r="Q128" s="293"/>
      <c r="R128" s="465"/>
      <c r="S128" s="465"/>
    </row>
    <row r="129" spans="1:48" s="442" customFormat="1">
      <c r="A129" s="466" t="s">
        <v>418</v>
      </c>
      <c r="C129" s="448" t="s">
        <v>85</v>
      </c>
      <c r="D129" s="467">
        <f t="shared" ref="D129:L129" si="67">SUM(D116:D127)*capacity</f>
        <v>10734.976133671355</v>
      </c>
      <c r="E129" s="467">
        <f t="shared" si="67"/>
        <v>10786.677717863962</v>
      </c>
      <c r="F129" s="467">
        <f t="shared" si="67"/>
        <v>8680</v>
      </c>
      <c r="G129" s="467">
        <f t="shared" si="67"/>
        <v>22320</v>
      </c>
      <c r="H129" s="467">
        <f t="shared" si="67"/>
        <v>22320</v>
      </c>
      <c r="I129" s="467">
        <f t="shared" si="67"/>
        <v>22320</v>
      </c>
      <c r="J129" s="467">
        <f t="shared" si="67"/>
        <v>78545.023866328644</v>
      </c>
      <c r="K129" s="467">
        <f t="shared" si="67"/>
        <v>85933.32228213604</v>
      </c>
      <c r="L129" s="467">
        <f t="shared" si="67"/>
        <v>0</v>
      </c>
      <c r="M129" s="293"/>
      <c r="N129" s="293"/>
      <c r="O129" s="465"/>
      <c r="P129" s="465"/>
      <c r="Q129" s="293"/>
      <c r="R129" s="465"/>
      <c r="S129" s="465"/>
    </row>
    <row r="130" spans="1:48" s="442" customFormat="1">
      <c r="A130" s="466" t="s">
        <v>419</v>
      </c>
      <c r="C130" s="448" t="s">
        <v>85</v>
      </c>
      <c r="D130" s="467">
        <f t="shared" ref="D130:L130" si="68">D128-D129</f>
        <v>1034.974408216649</v>
      </c>
      <c r="E130" s="468">
        <f t="shared" si="68"/>
        <v>983.27282402404126</v>
      </c>
      <c r="F130" s="468">
        <f t="shared" si="68"/>
        <v>949.95953427200038</v>
      </c>
      <c r="G130" s="468">
        <f t="shared" si="68"/>
        <v>2289.8965875840113</v>
      </c>
      <c r="H130" s="468">
        <f t="shared" si="68"/>
        <v>2289.8965875840113</v>
      </c>
      <c r="I130" s="468">
        <f t="shared" si="68"/>
        <v>2289.8965875840113</v>
      </c>
      <c r="J130" s="468">
        <f t="shared" si="68"/>
        <v>5252.5187476873689</v>
      </c>
      <c r="K130" s="468">
        <f t="shared" si="68"/>
        <v>4847.348883047991</v>
      </c>
      <c r="L130" s="468">
        <f t="shared" si="68"/>
        <v>0</v>
      </c>
      <c r="M130" s="293"/>
      <c r="N130" s="293"/>
      <c r="O130" s="465"/>
      <c r="P130" s="465"/>
      <c r="Q130" s="293"/>
      <c r="R130" s="465"/>
      <c r="S130" s="465"/>
    </row>
    <row r="131" spans="1:48" s="444" customFormat="1">
      <c r="A131" s="441"/>
      <c r="B131" s="445" t="s">
        <v>33</v>
      </c>
      <c r="C131" s="445"/>
      <c r="D131" s="446" t="s">
        <v>412</v>
      </c>
      <c r="E131" s="446"/>
      <c r="F131" s="446"/>
      <c r="G131" s="446"/>
      <c r="H131" s="446"/>
      <c r="I131" s="446"/>
      <c r="J131" s="446"/>
      <c r="K131" s="446"/>
      <c r="L131" s="446"/>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row>
    <row r="132" spans="1:48" s="444" customFormat="1">
      <c r="A132" s="447"/>
      <c r="B132" s="448" t="s">
        <v>47</v>
      </c>
      <c r="C132" s="442"/>
      <c r="D132" s="239">
        <v>0.04</v>
      </c>
      <c r="E132" s="239">
        <v>0.06</v>
      </c>
      <c r="F132" s="239">
        <v>0.06</v>
      </c>
      <c r="G132" s="239">
        <v>0.05</v>
      </c>
      <c r="H132" s="239">
        <v>0.05</v>
      </c>
      <c r="I132" s="239">
        <v>0.05</v>
      </c>
      <c r="J132" s="239">
        <v>0.03</v>
      </c>
      <c r="K132" s="239">
        <v>0.03</v>
      </c>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row>
    <row r="133" spans="1:48" s="444" customFormat="1">
      <c r="A133" s="450"/>
      <c r="B133" s="448" t="s">
        <v>46</v>
      </c>
      <c r="C133" s="442"/>
      <c r="D133" s="239">
        <v>0.04</v>
      </c>
      <c r="E133" s="239">
        <v>0.05</v>
      </c>
      <c r="F133" s="239">
        <v>0.06</v>
      </c>
      <c r="G133" s="239">
        <v>0.05</v>
      </c>
      <c r="H133" s="239">
        <v>0.05</v>
      </c>
      <c r="I133" s="239">
        <v>0.05</v>
      </c>
      <c r="J133" s="239">
        <v>0.03</v>
      </c>
      <c r="K133" s="239">
        <v>0.03</v>
      </c>
      <c r="L133" s="293"/>
      <c r="M133" s="293"/>
      <c r="N133" s="293"/>
      <c r="O133" s="293"/>
      <c r="P133" s="293"/>
      <c r="Q133" s="293"/>
      <c r="R133" s="293"/>
      <c r="S133" s="293"/>
      <c r="T133" s="293"/>
      <c r="U133" s="293"/>
      <c r="V133" s="293"/>
      <c r="W133" s="293"/>
      <c r="X133" s="293"/>
      <c r="Y133" s="29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row>
    <row r="134" spans="1:48" s="444" customFormat="1">
      <c r="A134" s="442"/>
      <c r="B134" s="451" t="s">
        <v>45</v>
      </c>
      <c r="C134" s="442"/>
      <c r="D134" s="239">
        <v>0.04</v>
      </c>
      <c r="E134" s="239">
        <v>0.06</v>
      </c>
      <c r="F134" s="239">
        <v>0.06</v>
      </c>
      <c r="G134" s="239">
        <v>0.06</v>
      </c>
      <c r="H134" s="239">
        <v>0.06</v>
      </c>
      <c r="I134" s="239">
        <v>0.06</v>
      </c>
      <c r="J134" s="239">
        <v>0.03</v>
      </c>
      <c r="K134" s="239">
        <v>0.03</v>
      </c>
      <c r="L134" s="293"/>
      <c r="M134" s="293"/>
      <c r="N134" s="293"/>
      <c r="O134" s="293"/>
      <c r="P134" s="293"/>
      <c r="Q134" s="293"/>
      <c r="R134" s="293"/>
      <c r="S134" s="293"/>
      <c r="T134" s="293"/>
      <c r="U134" s="293"/>
      <c r="V134" s="293"/>
      <c r="W134" s="293"/>
      <c r="X134" s="293"/>
      <c r="Y134" s="29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row>
    <row r="135" spans="1:48" s="442" customFormat="1">
      <c r="B135" s="451" t="s">
        <v>44</v>
      </c>
      <c r="D135" s="239">
        <v>0.04</v>
      </c>
      <c r="E135" s="239">
        <v>0.06</v>
      </c>
      <c r="F135" s="239">
        <v>0.06</v>
      </c>
      <c r="G135" s="239">
        <v>7.0000000000000007E-2</v>
      </c>
      <c r="H135" s="239">
        <v>7.0000000000000007E-2</v>
      </c>
      <c r="I135" s="239">
        <v>7.0000000000000007E-2</v>
      </c>
      <c r="J135" s="239">
        <v>0.11</v>
      </c>
      <c r="K135" s="239">
        <v>0.11</v>
      </c>
      <c r="L135" s="293"/>
      <c r="M135" s="293"/>
      <c r="N135" s="293"/>
      <c r="O135" s="293"/>
      <c r="P135" s="293"/>
      <c r="Q135" s="293"/>
      <c r="R135" s="293"/>
      <c r="S135" s="293"/>
      <c r="T135" s="293"/>
      <c r="U135" s="293"/>
      <c r="V135" s="293"/>
      <c r="W135" s="293"/>
      <c r="X135" s="293"/>
      <c r="Y135" s="29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row>
    <row r="136" spans="1:48" s="442" customFormat="1">
      <c r="B136" s="451" t="s">
        <v>43</v>
      </c>
      <c r="D136" s="239">
        <v>0.12</v>
      </c>
      <c r="E136" s="239">
        <v>0.11</v>
      </c>
      <c r="F136" s="239">
        <v>0.11</v>
      </c>
      <c r="G136" s="239">
        <v>0.08</v>
      </c>
      <c r="H136" s="239">
        <v>0.08</v>
      </c>
      <c r="I136" s="239">
        <v>0.08</v>
      </c>
      <c r="J136" s="239">
        <v>0.11</v>
      </c>
      <c r="K136" s="239">
        <v>0.11</v>
      </c>
      <c r="L136" s="293"/>
      <c r="M136" s="293"/>
      <c r="N136" s="293"/>
      <c r="O136" s="293"/>
      <c r="P136" s="293"/>
      <c r="Q136" s="293"/>
      <c r="R136" s="293"/>
      <c r="S136" s="293"/>
      <c r="T136" s="293"/>
      <c r="U136" s="293"/>
      <c r="V136" s="293"/>
      <c r="W136" s="293"/>
      <c r="X136" s="293"/>
      <c r="Y136" s="29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row>
    <row r="137" spans="1:48" s="442" customFormat="1">
      <c r="A137" s="293"/>
      <c r="B137" s="451" t="s">
        <v>42</v>
      </c>
      <c r="D137" s="239">
        <v>0.12</v>
      </c>
      <c r="E137" s="239">
        <v>0.11</v>
      </c>
      <c r="F137" s="239">
        <v>0.1</v>
      </c>
      <c r="G137" s="239">
        <v>0.1</v>
      </c>
      <c r="H137" s="239">
        <v>0.1</v>
      </c>
      <c r="I137" s="239">
        <v>0.1</v>
      </c>
      <c r="J137" s="239">
        <v>0.14000000000000001</v>
      </c>
      <c r="K137" s="239">
        <v>0.14000000000000001</v>
      </c>
      <c r="L137" s="293"/>
      <c r="M137" s="293"/>
      <c r="N137" s="293"/>
      <c r="O137" s="293"/>
      <c r="P137" s="293"/>
      <c r="Q137" s="293"/>
      <c r="R137" s="293"/>
      <c r="S137" s="293"/>
      <c r="T137" s="293"/>
      <c r="U137" s="293"/>
      <c r="V137" s="293"/>
      <c r="W137" s="293"/>
      <c r="X137" s="293"/>
      <c r="Y137" s="29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row>
    <row r="138" spans="1:48" s="442" customFormat="1">
      <c r="A138" s="293"/>
      <c r="B138" s="451" t="s">
        <v>41</v>
      </c>
      <c r="D138" s="239">
        <v>0.12</v>
      </c>
      <c r="E138" s="239">
        <v>0.11</v>
      </c>
      <c r="F138" s="239">
        <v>0.1</v>
      </c>
      <c r="G138" s="239">
        <v>0.1</v>
      </c>
      <c r="H138" s="239">
        <v>0.1</v>
      </c>
      <c r="I138" s="239">
        <v>0.1</v>
      </c>
      <c r="J138" s="239">
        <v>0.14000000000000001</v>
      </c>
      <c r="K138" s="239">
        <v>0.14000000000000001</v>
      </c>
      <c r="L138" s="293"/>
      <c r="M138" s="293"/>
      <c r="N138" s="293"/>
      <c r="O138" s="293"/>
      <c r="P138" s="293"/>
      <c r="Q138" s="293"/>
      <c r="R138" s="293"/>
      <c r="S138" s="293"/>
      <c r="T138" s="293"/>
      <c r="U138" s="293"/>
      <c r="V138" s="293"/>
      <c r="W138" s="293"/>
      <c r="X138" s="293"/>
      <c r="Y138" s="29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row>
    <row r="139" spans="1:48" s="442" customFormat="1">
      <c r="A139" s="293"/>
      <c r="B139" s="451" t="s">
        <v>40</v>
      </c>
      <c r="D139" s="239">
        <v>0.12</v>
      </c>
      <c r="E139" s="239">
        <v>0.11</v>
      </c>
      <c r="F139" s="239">
        <v>0.1</v>
      </c>
      <c r="G139" s="239">
        <v>0.12</v>
      </c>
      <c r="H139" s="239">
        <v>0.12</v>
      </c>
      <c r="I139" s="239">
        <v>0.12</v>
      </c>
      <c r="J139" s="239">
        <v>0.12</v>
      </c>
      <c r="K139" s="239">
        <v>0.12</v>
      </c>
      <c r="L139" s="293"/>
      <c r="M139" s="293"/>
      <c r="N139" s="293"/>
      <c r="O139" s="293"/>
      <c r="P139" s="293"/>
      <c r="Q139" s="293"/>
      <c r="R139" s="293"/>
      <c r="S139" s="293"/>
      <c r="T139" s="293"/>
      <c r="U139" s="293"/>
      <c r="V139" s="293"/>
      <c r="W139" s="293"/>
      <c r="X139" s="293"/>
      <c r="Y139" s="29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row>
    <row r="140" spans="1:48" s="442" customFormat="1">
      <c r="A140" s="293"/>
      <c r="B140" s="451" t="s">
        <v>39</v>
      </c>
      <c r="D140" s="239">
        <v>0.12</v>
      </c>
      <c r="E140" s="239">
        <v>0.11</v>
      </c>
      <c r="F140" s="239">
        <v>0.1</v>
      </c>
      <c r="G140" s="239">
        <v>0.12</v>
      </c>
      <c r="H140" s="239">
        <v>0.12</v>
      </c>
      <c r="I140" s="239">
        <v>0.12</v>
      </c>
      <c r="J140" s="239">
        <v>0.12</v>
      </c>
      <c r="K140" s="239">
        <v>0.12</v>
      </c>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row>
    <row r="141" spans="1:48" s="442" customFormat="1">
      <c r="A141" s="293"/>
      <c r="B141" s="451" t="s">
        <v>38</v>
      </c>
      <c r="D141" s="239">
        <v>0.1</v>
      </c>
      <c r="E141" s="239">
        <v>0.11</v>
      </c>
      <c r="F141" s="239">
        <v>0.1</v>
      </c>
      <c r="G141" s="239">
        <v>0.11</v>
      </c>
      <c r="H141" s="239">
        <v>0.11</v>
      </c>
      <c r="I141" s="239">
        <v>0.11</v>
      </c>
      <c r="J141" s="239">
        <v>0.11</v>
      </c>
      <c r="K141" s="239">
        <v>0.11</v>
      </c>
      <c r="L141" s="293"/>
      <c r="M141" s="293"/>
      <c r="N141" s="293"/>
      <c r="O141" s="293"/>
      <c r="P141" s="293"/>
      <c r="Q141" s="293"/>
      <c r="R141" s="293"/>
      <c r="S141" s="293"/>
      <c r="T141" s="293"/>
      <c r="U141" s="293"/>
      <c r="V141" s="293"/>
      <c r="W141" s="293"/>
      <c r="X141" s="293"/>
      <c r="Y141" s="29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row>
    <row r="142" spans="1:48" s="442" customFormat="1">
      <c r="A142" s="293"/>
      <c r="B142" s="451" t="s">
        <v>37</v>
      </c>
      <c r="D142" s="239">
        <v>7.0000000000000007E-2</v>
      </c>
      <c r="E142" s="239">
        <v>0.06</v>
      </c>
      <c r="F142" s="239">
        <v>0.12</v>
      </c>
      <c r="G142" s="239">
        <v>7.0000000000000007E-2</v>
      </c>
      <c r="H142" s="239">
        <v>7.0000000000000007E-2</v>
      </c>
      <c r="I142" s="239">
        <v>7.0000000000000007E-2</v>
      </c>
      <c r="J142" s="239">
        <v>0.03</v>
      </c>
      <c r="K142" s="239">
        <v>0.03</v>
      </c>
      <c r="L142" s="293"/>
      <c r="M142" s="293"/>
      <c r="N142" s="293"/>
      <c r="O142" s="293"/>
      <c r="P142" s="293"/>
      <c r="Q142" s="293"/>
      <c r="R142" s="293"/>
      <c r="S142" s="293"/>
      <c r="T142" s="293"/>
      <c r="U142" s="293"/>
      <c r="V142" s="293"/>
      <c r="W142" s="293"/>
      <c r="X142" s="293"/>
      <c r="Y142" s="29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row>
    <row r="143" spans="1:48" s="442" customFormat="1">
      <c r="A143" s="293"/>
      <c r="B143" s="451" t="s">
        <v>36</v>
      </c>
      <c r="D143" s="239">
        <v>7.0000000000000007E-2</v>
      </c>
      <c r="E143" s="239">
        <v>0.05</v>
      </c>
      <c r="F143" s="239">
        <v>0.03</v>
      </c>
      <c r="G143" s="239">
        <v>7.0000000000000007E-2</v>
      </c>
      <c r="H143" s="239">
        <v>7.0000000000000007E-2</v>
      </c>
      <c r="I143" s="239">
        <v>7.0000000000000007E-2</v>
      </c>
      <c r="J143" s="239">
        <v>0.03</v>
      </c>
      <c r="K143" s="239">
        <v>0.03</v>
      </c>
      <c r="L143" s="293"/>
      <c r="M143" s="293"/>
      <c r="N143" s="293"/>
      <c r="O143" s="293"/>
      <c r="P143" s="293"/>
      <c r="Q143" s="293"/>
      <c r="R143" s="293"/>
      <c r="S143" s="293"/>
      <c r="T143" s="293"/>
      <c r="U143" s="293"/>
      <c r="V143" s="293"/>
      <c r="W143" s="293"/>
      <c r="X143" s="293"/>
      <c r="Y143" s="29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row>
    <row r="144" spans="1:48" s="442" customFormat="1">
      <c r="A144" s="293"/>
      <c r="B144" s="451" t="s">
        <v>413</v>
      </c>
      <c r="D144" s="452">
        <f t="shared" ref="D144:L144" si="69">SUM(D132:D143)</f>
        <v>1</v>
      </c>
      <c r="E144" s="452">
        <f t="shared" si="69"/>
        <v>1</v>
      </c>
      <c r="F144" s="452">
        <f t="shared" si="69"/>
        <v>0.99999999999999989</v>
      </c>
      <c r="G144" s="452">
        <f t="shared" si="69"/>
        <v>1</v>
      </c>
      <c r="H144" s="452">
        <f t="shared" si="69"/>
        <v>1</v>
      </c>
      <c r="I144" s="452">
        <f t="shared" si="69"/>
        <v>1</v>
      </c>
      <c r="J144" s="452">
        <f t="shared" si="69"/>
        <v>1</v>
      </c>
      <c r="K144" s="452">
        <f t="shared" si="69"/>
        <v>1</v>
      </c>
      <c r="L144" s="452">
        <f t="shared" si="69"/>
        <v>0</v>
      </c>
      <c r="M144" s="293"/>
      <c r="N144" s="293"/>
      <c r="O144" s="293"/>
      <c r="P144" s="293"/>
      <c r="Q144" s="293"/>
      <c r="R144" s="293"/>
      <c r="S144" s="293"/>
      <c r="T144" s="293"/>
      <c r="U144" s="293"/>
      <c r="V144" s="293"/>
      <c r="W144" s="293"/>
      <c r="X144" s="293"/>
      <c r="Y144" s="29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row>
    <row r="145" spans="1:48" s="442" customFormat="1">
      <c r="A145" s="293"/>
      <c r="B145" s="451"/>
      <c r="D145" s="453" t="s">
        <v>414</v>
      </c>
      <c r="E145" s="453"/>
      <c r="F145" s="453"/>
      <c r="G145" s="453"/>
      <c r="H145" s="453"/>
      <c r="I145" s="453"/>
      <c r="J145" s="453"/>
      <c r="K145" s="453"/>
      <c r="L145" s="453"/>
      <c r="M145" s="293"/>
      <c r="N145" s="293"/>
      <c r="O145" s="293"/>
      <c r="P145" s="293"/>
      <c r="Q145" s="293"/>
      <c r="R145" s="293"/>
      <c r="S145" s="293"/>
      <c r="T145" s="293"/>
      <c r="U145" s="293"/>
      <c r="V145" s="293"/>
      <c r="W145" s="293"/>
      <c r="X145" s="293"/>
      <c r="Y145" s="29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row>
    <row r="146" spans="1:48" s="442" customFormat="1">
      <c r="A146" s="471"/>
      <c r="B146" s="448" t="s">
        <v>47</v>
      </c>
      <c r="D146" s="455">
        <f t="shared" ref="D146:L146" si="70">D158*D132</f>
        <v>486.56637646848009</v>
      </c>
      <c r="E146" s="455">
        <f t="shared" si="70"/>
        <v>729.84956470272004</v>
      </c>
      <c r="F146" s="455">
        <f t="shared" si="70"/>
        <v>597.14964384768007</v>
      </c>
      <c r="G146" s="455">
        <f t="shared" si="70"/>
        <v>1271.7075748608004</v>
      </c>
      <c r="H146" s="455">
        <f t="shared" si="70"/>
        <v>1271.7075748608004</v>
      </c>
      <c r="I146" s="455">
        <f t="shared" si="70"/>
        <v>1271.7075748608004</v>
      </c>
      <c r="J146" s="455">
        <f t="shared" si="70"/>
        <v>2948.8871301120007</v>
      </c>
      <c r="K146" s="455">
        <f t="shared" si="70"/>
        <v>2948.8871301120007</v>
      </c>
      <c r="L146" s="455">
        <f t="shared" si="70"/>
        <v>0</v>
      </c>
      <c r="M146" s="293"/>
      <c r="N146" s="293"/>
      <c r="O146" s="293"/>
      <c r="P146" s="293"/>
      <c r="Q146" s="293"/>
      <c r="R146" s="293"/>
      <c r="S146" s="293"/>
      <c r="T146" s="293"/>
      <c r="U146" s="293"/>
    </row>
    <row r="147" spans="1:48" s="442" customFormat="1">
      <c r="A147" s="471"/>
      <c r="B147" s="448" t="s">
        <v>46</v>
      </c>
      <c r="D147" s="455">
        <f t="shared" ref="D147:L147" si="71">D158*D133</f>
        <v>486.56637646848009</v>
      </c>
      <c r="E147" s="455">
        <f t="shared" si="71"/>
        <v>608.20797058560015</v>
      </c>
      <c r="F147" s="455">
        <f t="shared" si="71"/>
        <v>597.14964384768007</v>
      </c>
      <c r="G147" s="455">
        <f t="shared" si="71"/>
        <v>1271.7075748608004</v>
      </c>
      <c r="H147" s="455">
        <f t="shared" si="71"/>
        <v>1271.7075748608004</v>
      </c>
      <c r="I147" s="455">
        <f t="shared" si="71"/>
        <v>1271.7075748608004</v>
      </c>
      <c r="J147" s="455">
        <f t="shared" si="71"/>
        <v>2948.8871301120007</v>
      </c>
      <c r="K147" s="455">
        <f t="shared" si="71"/>
        <v>2948.8871301120007</v>
      </c>
      <c r="L147" s="455">
        <f t="shared" si="71"/>
        <v>0</v>
      </c>
      <c r="M147" s="293"/>
      <c r="N147" s="293"/>
      <c r="O147" s="293"/>
      <c r="P147" s="293"/>
      <c r="Q147" s="293"/>
      <c r="R147" s="293"/>
      <c r="S147" s="293"/>
      <c r="T147" s="293"/>
      <c r="U147" s="293"/>
    </row>
    <row r="148" spans="1:48" s="442" customFormat="1">
      <c r="A148" s="471"/>
      <c r="B148" s="451" t="s">
        <v>45</v>
      </c>
      <c r="D148" s="455">
        <f t="shared" ref="D148:L148" si="72">D158*D134</f>
        <v>486.56637646848009</v>
      </c>
      <c r="E148" s="455">
        <f t="shared" si="72"/>
        <v>729.84956470272004</v>
      </c>
      <c r="F148" s="455">
        <f t="shared" si="72"/>
        <v>597.14964384768007</v>
      </c>
      <c r="G148" s="455">
        <f t="shared" si="72"/>
        <v>1526.0490898329601</v>
      </c>
      <c r="H148" s="455">
        <f t="shared" si="72"/>
        <v>1526.0490898329601</v>
      </c>
      <c r="I148" s="455">
        <f t="shared" si="72"/>
        <v>1526.0490898329601</v>
      </c>
      <c r="J148" s="455">
        <f t="shared" si="72"/>
        <v>2948.8871301120007</v>
      </c>
      <c r="K148" s="455">
        <f t="shared" si="72"/>
        <v>2948.8871301120007</v>
      </c>
      <c r="L148" s="455">
        <f t="shared" si="72"/>
        <v>0</v>
      </c>
      <c r="M148" s="293"/>
      <c r="N148" s="293"/>
      <c r="O148" s="293"/>
      <c r="P148" s="293"/>
      <c r="Q148" s="293"/>
      <c r="R148" s="293"/>
      <c r="S148" s="293"/>
      <c r="T148" s="293"/>
      <c r="U148" s="293"/>
    </row>
    <row r="149" spans="1:48" s="442" customFormat="1">
      <c r="A149" s="471"/>
      <c r="B149" s="451" t="s">
        <v>44</v>
      </c>
      <c r="D149" s="455">
        <f t="shared" ref="D149:L149" si="73">D158*D135</f>
        <v>486.56637646848009</v>
      </c>
      <c r="E149" s="455">
        <f t="shared" si="73"/>
        <v>729.84956470272004</v>
      </c>
      <c r="F149" s="455">
        <f t="shared" si="73"/>
        <v>597.14964384768007</v>
      </c>
      <c r="G149" s="455">
        <f t="shared" si="73"/>
        <v>1780.3906048051203</v>
      </c>
      <c r="H149" s="455">
        <f t="shared" si="73"/>
        <v>1780.3906048051203</v>
      </c>
      <c r="I149" s="455">
        <f t="shared" si="73"/>
        <v>1780.3906048051203</v>
      </c>
      <c r="J149" s="455">
        <f t="shared" si="73"/>
        <v>10812.586143744002</v>
      </c>
      <c r="K149" s="455">
        <f t="shared" si="73"/>
        <v>10812.586143744002</v>
      </c>
      <c r="L149" s="455">
        <f t="shared" si="73"/>
        <v>0</v>
      </c>
      <c r="M149" s="293"/>
      <c r="N149" s="293"/>
      <c r="O149" s="293"/>
      <c r="P149" s="293"/>
      <c r="Q149" s="293"/>
      <c r="R149" s="293"/>
      <c r="S149" s="293"/>
      <c r="T149" s="293"/>
      <c r="U149" s="293"/>
    </row>
    <row r="150" spans="1:48" s="442" customFormat="1">
      <c r="A150" s="471"/>
      <c r="B150" s="451" t="s">
        <v>43</v>
      </c>
      <c r="D150" s="455">
        <f t="shared" ref="D150:L150" si="74">D158*D136</f>
        <v>1459.6991294054401</v>
      </c>
      <c r="E150" s="455">
        <f t="shared" si="74"/>
        <v>1338.0575352883202</v>
      </c>
      <c r="F150" s="455">
        <f t="shared" si="74"/>
        <v>1094.7743470540802</v>
      </c>
      <c r="G150" s="455">
        <f t="shared" si="74"/>
        <v>2034.7321197772803</v>
      </c>
      <c r="H150" s="455">
        <f t="shared" si="74"/>
        <v>2034.7321197772803</v>
      </c>
      <c r="I150" s="455">
        <f t="shared" si="74"/>
        <v>2034.7321197772803</v>
      </c>
      <c r="J150" s="455">
        <f t="shared" si="74"/>
        <v>10812.586143744002</v>
      </c>
      <c r="K150" s="455">
        <f t="shared" si="74"/>
        <v>10812.586143744002</v>
      </c>
      <c r="L150" s="455">
        <f t="shared" si="74"/>
        <v>0</v>
      </c>
      <c r="M150" s="293"/>
      <c r="N150" s="293"/>
      <c r="O150" s="293"/>
      <c r="P150" s="293"/>
      <c r="Q150" s="293"/>
      <c r="R150" s="293"/>
      <c r="S150" s="293"/>
      <c r="T150" s="293"/>
      <c r="U150" s="293"/>
    </row>
    <row r="151" spans="1:48" s="442" customFormat="1">
      <c r="A151" s="471"/>
      <c r="B151" s="451" t="s">
        <v>42</v>
      </c>
      <c r="D151" s="455">
        <f t="shared" ref="D151:L151" si="75">D158*D137</f>
        <v>1459.6991294054401</v>
      </c>
      <c r="E151" s="455">
        <f t="shared" si="75"/>
        <v>1338.0575352883202</v>
      </c>
      <c r="F151" s="455">
        <f t="shared" si="75"/>
        <v>995.24940641280011</v>
      </c>
      <c r="G151" s="455">
        <f t="shared" si="75"/>
        <v>2543.4151497216008</v>
      </c>
      <c r="H151" s="455">
        <f t="shared" si="75"/>
        <v>2543.4151497216008</v>
      </c>
      <c r="I151" s="455">
        <f t="shared" si="75"/>
        <v>2543.4151497216008</v>
      </c>
      <c r="J151" s="455">
        <f t="shared" si="75"/>
        <v>13761.473273856003</v>
      </c>
      <c r="K151" s="455">
        <f t="shared" si="75"/>
        <v>13761.473273856003</v>
      </c>
      <c r="L151" s="455">
        <f t="shared" si="75"/>
        <v>0</v>
      </c>
      <c r="M151" s="293"/>
      <c r="N151" s="293"/>
      <c r="O151" s="293"/>
      <c r="P151" s="293"/>
      <c r="Q151" s="293"/>
      <c r="R151" s="293"/>
      <c r="S151" s="293"/>
      <c r="T151" s="293"/>
      <c r="U151" s="293"/>
    </row>
    <row r="152" spans="1:48" s="442" customFormat="1">
      <c r="A152" s="471"/>
      <c r="B152" s="451" t="s">
        <v>41</v>
      </c>
      <c r="D152" s="455">
        <f t="shared" ref="D152:L152" si="76">D158*D138</f>
        <v>1459.6991294054401</v>
      </c>
      <c r="E152" s="455">
        <f t="shared" si="76"/>
        <v>1338.0575352883202</v>
      </c>
      <c r="F152" s="455">
        <f t="shared" si="76"/>
        <v>995.24940641280011</v>
      </c>
      <c r="G152" s="455">
        <f t="shared" si="76"/>
        <v>2543.4151497216008</v>
      </c>
      <c r="H152" s="455">
        <f t="shared" si="76"/>
        <v>2543.4151497216008</v>
      </c>
      <c r="I152" s="455">
        <f t="shared" si="76"/>
        <v>2543.4151497216008</v>
      </c>
      <c r="J152" s="455">
        <f t="shared" si="76"/>
        <v>13761.473273856003</v>
      </c>
      <c r="K152" s="455">
        <f t="shared" si="76"/>
        <v>13761.473273856003</v>
      </c>
      <c r="L152" s="455">
        <f t="shared" si="76"/>
        <v>0</v>
      </c>
      <c r="M152" s="293"/>
      <c r="N152" s="293"/>
      <c r="O152" s="293"/>
      <c r="P152" s="293"/>
      <c r="Q152" s="293"/>
      <c r="R152" s="293"/>
      <c r="S152" s="293"/>
      <c r="T152" s="293"/>
      <c r="U152" s="293"/>
    </row>
    <row r="153" spans="1:48" s="442" customFormat="1">
      <c r="A153" s="471"/>
      <c r="B153" s="451" t="s">
        <v>40</v>
      </c>
      <c r="D153" s="455">
        <f t="shared" ref="D153:L153" si="77">D158*D139</f>
        <v>1459.6991294054401</v>
      </c>
      <c r="E153" s="455">
        <f t="shared" si="77"/>
        <v>1338.0575352883202</v>
      </c>
      <c r="F153" s="455">
        <f t="shared" si="77"/>
        <v>995.24940641280011</v>
      </c>
      <c r="G153" s="455">
        <f t="shared" si="77"/>
        <v>3052.0981796659203</v>
      </c>
      <c r="H153" s="455">
        <f t="shared" si="77"/>
        <v>3052.0981796659203</v>
      </c>
      <c r="I153" s="455">
        <f t="shared" si="77"/>
        <v>3052.0981796659203</v>
      </c>
      <c r="J153" s="455">
        <f t="shared" si="77"/>
        <v>11795.548520448003</v>
      </c>
      <c r="K153" s="455">
        <f t="shared" si="77"/>
        <v>11795.548520448003</v>
      </c>
      <c r="L153" s="455">
        <f t="shared" si="77"/>
        <v>0</v>
      </c>
      <c r="M153" s="293"/>
      <c r="N153" s="457"/>
      <c r="O153" s="457"/>
      <c r="P153" s="457"/>
      <c r="Q153" s="457"/>
      <c r="R153" s="457"/>
      <c r="S153" s="457"/>
      <c r="T153" s="457"/>
      <c r="U153" s="457"/>
    </row>
    <row r="154" spans="1:48" s="442" customFormat="1">
      <c r="A154" s="471"/>
      <c r="B154" s="451" t="s">
        <v>39</v>
      </c>
      <c r="D154" s="455">
        <f t="shared" ref="D154:L154" si="78">D158*D140</f>
        <v>1459.6991294054401</v>
      </c>
      <c r="E154" s="455">
        <f t="shared" si="78"/>
        <v>1338.0575352883202</v>
      </c>
      <c r="F154" s="455">
        <f t="shared" si="78"/>
        <v>995.24940641280011</v>
      </c>
      <c r="G154" s="455">
        <f t="shared" si="78"/>
        <v>3052.0981796659203</v>
      </c>
      <c r="H154" s="455">
        <f t="shared" si="78"/>
        <v>3052.0981796659203</v>
      </c>
      <c r="I154" s="455">
        <f t="shared" si="78"/>
        <v>3052.0981796659203</v>
      </c>
      <c r="J154" s="455">
        <f t="shared" si="78"/>
        <v>11795.548520448003</v>
      </c>
      <c r="K154" s="455">
        <f t="shared" si="78"/>
        <v>11795.548520448003</v>
      </c>
      <c r="L154" s="455">
        <f t="shared" si="78"/>
        <v>0</v>
      </c>
      <c r="M154" s="293"/>
      <c r="N154" s="457"/>
      <c r="O154" s="457"/>
      <c r="P154" s="457"/>
      <c r="Q154" s="457"/>
      <c r="R154" s="457"/>
      <c r="S154" s="457"/>
      <c r="T154" s="457"/>
      <c r="U154" s="457"/>
    </row>
    <row r="155" spans="1:48" s="442" customFormat="1">
      <c r="A155" s="471"/>
      <c r="B155" s="451" t="s">
        <v>38</v>
      </c>
      <c r="D155" s="455">
        <f t="shared" ref="D155:L155" si="79">D158*D141</f>
        <v>1216.4159411712003</v>
      </c>
      <c r="E155" s="455">
        <f t="shared" si="79"/>
        <v>1338.0575352883202</v>
      </c>
      <c r="F155" s="455">
        <f t="shared" si="79"/>
        <v>995.24940641280011</v>
      </c>
      <c r="G155" s="455">
        <f t="shared" si="79"/>
        <v>2797.7566646937603</v>
      </c>
      <c r="H155" s="455">
        <f t="shared" si="79"/>
        <v>2797.7566646937603</v>
      </c>
      <c r="I155" s="455">
        <f t="shared" si="79"/>
        <v>2797.7566646937603</v>
      </c>
      <c r="J155" s="455">
        <f t="shared" si="79"/>
        <v>10812.586143744002</v>
      </c>
      <c r="K155" s="455">
        <f t="shared" si="79"/>
        <v>10812.586143744002</v>
      </c>
      <c r="L155" s="455">
        <f t="shared" si="79"/>
        <v>0</v>
      </c>
      <c r="N155" s="457"/>
      <c r="O155" s="457"/>
      <c r="P155" s="457"/>
      <c r="Q155" s="457"/>
      <c r="R155" s="457"/>
      <c r="S155" s="457"/>
      <c r="T155" s="457"/>
      <c r="U155" s="457"/>
    </row>
    <row r="156" spans="1:48" s="474" customFormat="1">
      <c r="A156" s="471"/>
      <c r="B156" s="451" t="s">
        <v>37</v>
      </c>
      <c r="D156" s="455">
        <f t="shared" ref="D156:L156" si="80">D158*D142</f>
        <v>851.49115881984028</v>
      </c>
      <c r="E156" s="455">
        <f t="shared" si="80"/>
        <v>729.84956470272004</v>
      </c>
      <c r="F156" s="455">
        <f t="shared" si="80"/>
        <v>1194.2992876953601</v>
      </c>
      <c r="G156" s="455">
        <f t="shared" si="80"/>
        <v>1780.3906048051203</v>
      </c>
      <c r="H156" s="455">
        <f t="shared" si="80"/>
        <v>1780.3906048051203</v>
      </c>
      <c r="I156" s="455">
        <f t="shared" si="80"/>
        <v>1780.3906048051203</v>
      </c>
      <c r="J156" s="455">
        <f t="shared" si="80"/>
        <v>2948.8871301120007</v>
      </c>
      <c r="K156" s="455">
        <f t="shared" si="80"/>
        <v>2948.8871301120007</v>
      </c>
      <c r="L156" s="455">
        <f t="shared" si="80"/>
        <v>0</v>
      </c>
      <c r="M156" s="442"/>
      <c r="N156" s="457"/>
      <c r="O156" s="457"/>
      <c r="P156" s="457"/>
      <c r="Q156" s="457"/>
      <c r="R156" s="457"/>
      <c r="S156" s="457"/>
      <c r="T156" s="457"/>
      <c r="U156" s="457"/>
    </row>
    <row r="157" spans="1:48" s="474" customFormat="1">
      <c r="A157" s="471"/>
      <c r="B157" s="451" t="s">
        <v>36</v>
      </c>
      <c r="D157" s="455">
        <f t="shared" ref="D157:L157" si="81">D158*D143</f>
        <v>851.49115881984028</v>
      </c>
      <c r="E157" s="455">
        <f t="shared" si="81"/>
        <v>608.20797058560015</v>
      </c>
      <c r="F157" s="455">
        <f t="shared" si="81"/>
        <v>298.57482192384003</v>
      </c>
      <c r="G157" s="455">
        <f t="shared" si="81"/>
        <v>1780.3906048051203</v>
      </c>
      <c r="H157" s="455">
        <f t="shared" si="81"/>
        <v>1780.3906048051203</v>
      </c>
      <c r="I157" s="455">
        <f t="shared" si="81"/>
        <v>1780.3906048051203</v>
      </c>
      <c r="J157" s="455">
        <f t="shared" si="81"/>
        <v>2948.8871301120007</v>
      </c>
      <c r="K157" s="455">
        <f t="shared" si="81"/>
        <v>2948.8871301120007</v>
      </c>
      <c r="L157" s="455">
        <f t="shared" si="81"/>
        <v>0</v>
      </c>
      <c r="M157" s="293"/>
      <c r="N157" s="457"/>
      <c r="O157" s="457"/>
      <c r="P157" s="457"/>
      <c r="Q157" s="457"/>
      <c r="R157" s="457"/>
      <c r="S157" s="457"/>
      <c r="T157" s="457"/>
      <c r="U157" s="457"/>
    </row>
    <row r="158" spans="1:48" s="442" customFormat="1">
      <c r="A158" s="471"/>
      <c r="B158" s="451" t="s">
        <v>413</v>
      </c>
      <c r="D158" s="455">
        <f t="shared" ref="D158:L158" si="82">VLOOKUP(D39,TargetedMSo,IF(D40="[retail]",12,14),FALSE)</f>
        <v>12164.159411712002</v>
      </c>
      <c r="E158" s="455">
        <f t="shared" si="82"/>
        <v>12164.159411712002</v>
      </c>
      <c r="F158" s="455">
        <f t="shared" si="82"/>
        <v>9952.4940641280009</v>
      </c>
      <c r="G158" s="455">
        <f t="shared" si="82"/>
        <v>25434.151497216004</v>
      </c>
      <c r="H158" s="455">
        <f t="shared" si="82"/>
        <v>25434.151497216004</v>
      </c>
      <c r="I158" s="455">
        <f t="shared" si="82"/>
        <v>25434.151497216004</v>
      </c>
      <c r="J158" s="455">
        <f t="shared" si="82"/>
        <v>98296.23767040002</v>
      </c>
      <c r="K158" s="455">
        <f t="shared" si="82"/>
        <v>98296.23767040002</v>
      </c>
      <c r="L158" s="455">
        <f t="shared" si="82"/>
        <v>0</v>
      </c>
      <c r="N158" s="457"/>
      <c r="O158" s="457"/>
      <c r="P158" s="457"/>
      <c r="Q158" s="457"/>
      <c r="R158" s="457"/>
      <c r="S158" s="457"/>
      <c r="T158" s="457"/>
      <c r="U158" s="457"/>
    </row>
    <row r="159" spans="1:48" s="474" customFormat="1">
      <c r="A159" s="441"/>
      <c r="B159" s="448" t="s">
        <v>415</v>
      </c>
      <c r="D159" s="457" t="str">
        <f t="shared" ref="D159:L159" si="83">IF(D40="[wholesale]",D158/capacity,"")</f>
        <v/>
      </c>
      <c r="E159" s="457" t="str">
        <f t="shared" si="83"/>
        <v/>
      </c>
      <c r="F159" s="457" t="str">
        <f t="shared" si="83"/>
        <v/>
      </c>
      <c r="G159" s="457" t="str">
        <f t="shared" si="83"/>
        <v/>
      </c>
      <c r="H159" s="457" t="str">
        <f t="shared" si="83"/>
        <v/>
      </c>
      <c r="I159" s="457" t="str">
        <f t="shared" si="83"/>
        <v/>
      </c>
      <c r="J159" s="457">
        <f t="shared" si="83"/>
        <v>79.271159411612913</v>
      </c>
      <c r="K159" s="457">
        <f t="shared" si="83"/>
        <v>79.271159411612913</v>
      </c>
      <c r="L159" s="457" t="str">
        <f t="shared" si="83"/>
        <v/>
      </c>
      <c r="M159" s="293"/>
      <c r="N159" s="293"/>
      <c r="O159" s="465"/>
      <c r="P159" s="465"/>
      <c r="Q159" s="293"/>
      <c r="R159" s="465"/>
      <c r="S159" s="465"/>
      <c r="T159" s="442"/>
      <c r="U159" s="442"/>
    </row>
    <row r="160" spans="1:48" s="293" customFormat="1">
      <c r="A160" s="441"/>
      <c r="B160" s="448"/>
      <c r="C160" s="472" t="s">
        <v>101</v>
      </c>
      <c r="D160" s="453" t="s">
        <v>416</v>
      </c>
      <c r="E160" s="453"/>
      <c r="F160" s="453"/>
      <c r="G160" s="453"/>
      <c r="H160" s="453"/>
      <c r="I160" s="453"/>
      <c r="J160" s="453"/>
      <c r="K160" s="453"/>
      <c r="L160" s="453"/>
      <c r="O160" s="465"/>
      <c r="P160" s="465"/>
      <c r="R160" s="465"/>
      <c r="S160" s="465"/>
    </row>
    <row r="161" spans="1:21" s="293" customFormat="1">
      <c r="A161" s="447"/>
      <c r="B161" s="448" t="s">
        <v>47</v>
      </c>
      <c r="C161" s="462">
        <f t="shared" ref="C161:C172" si="84">SUM(D161:Z161)</f>
        <v>7.9999999999999991</v>
      </c>
      <c r="D161" s="463">
        <f t="shared" ref="D161:L161" si="85">ProductionFY3o(1,D39,VLOOKUP(D39,ProductsRangeOper,3,FALSE),D146)</f>
        <v>0.2832618025751073</v>
      </c>
      <c r="E161" s="463">
        <f t="shared" si="85"/>
        <v>0.59519038076152286</v>
      </c>
      <c r="F161" s="463">
        <f t="shared" si="85"/>
        <v>0</v>
      </c>
      <c r="G161" s="463">
        <f t="shared" si="85"/>
        <v>1</v>
      </c>
      <c r="H161" s="463">
        <f t="shared" si="85"/>
        <v>1</v>
      </c>
      <c r="I161" s="463">
        <f t="shared" si="85"/>
        <v>1</v>
      </c>
      <c r="J161" s="463">
        <f t="shared" si="85"/>
        <v>1.7167381974248928</v>
      </c>
      <c r="K161" s="463">
        <f t="shared" si="85"/>
        <v>2.4048096192384767</v>
      </c>
      <c r="L161" s="463">
        <f t="shared" si="85"/>
        <v>0</v>
      </c>
      <c r="M161" s="447"/>
      <c r="O161" s="465"/>
      <c r="P161" s="465"/>
      <c r="R161" s="465"/>
      <c r="S161" s="465"/>
    </row>
    <row r="162" spans="1:21" s="293" customFormat="1">
      <c r="A162" s="450"/>
      <c r="B162" s="448" t="s">
        <v>46</v>
      </c>
      <c r="C162" s="462">
        <f t="shared" si="84"/>
        <v>8</v>
      </c>
      <c r="D162" s="463">
        <f t="shared" ref="D162:L162" si="86">ProductionFY3o(2,D39,VLOOKUP(D39,ProductsRangeOper,3,FALSE),D147)</f>
        <v>0.2832618025751073</v>
      </c>
      <c r="E162" s="463">
        <f t="shared" si="86"/>
        <v>0.5129533678756476</v>
      </c>
      <c r="F162" s="463">
        <f t="shared" si="86"/>
        <v>0</v>
      </c>
      <c r="G162" s="463">
        <f t="shared" si="86"/>
        <v>1</v>
      </c>
      <c r="H162" s="463">
        <f t="shared" si="86"/>
        <v>1</v>
      </c>
      <c r="I162" s="463">
        <f t="shared" si="86"/>
        <v>1</v>
      </c>
      <c r="J162" s="463">
        <f t="shared" si="86"/>
        <v>1.7167381974248928</v>
      </c>
      <c r="K162" s="463">
        <f t="shared" si="86"/>
        <v>2.4870466321243518</v>
      </c>
      <c r="L162" s="463">
        <f t="shared" si="86"/>
        <v>0</v>
      </c>
      <c r="M162" s="447"/>
      <c r="O162" s="465"/>
      <c r="P162" s="465"/>
      <c r="R162" s="465"/>
      <c r="S162" s="465"/>
    </row>
    <row r="163" spans="1:21" s="293" customFormat="1">
      <c r="A163" s="442"/>
      <c r="B163" s="451" t="s">
        <v>45</v>
      </c>
      <c r="C163" s="462">
        <f t="shared" si="84"/>
        <v>7.9999999999999991</v>
      </c>
      <c r="D163" s="463">
        <f t="shared" ref="D163:L163" si="87">ProductionFY3o(3,D39,VLOOKUP(D39,ProductsRangeOper,3,FALSE),D148)</f>
        <v>0.2832618025751073</v>
      </c>
      <c r="E163" s="463">
        <f t="shared" si="87"/>
        <v>0.59519038076152286</v>
      </c>
      <c r="F163" s="463">
        <f t="shared" si="87"/>
        <v>0</v>
      </c>
      <c r="G163" s="463">
        <f t="shared" si="87"/>
        <v>1</v>
      </c>
      <c r="H163" s="463">
        <f t="shared" si="87"/>
        <v>1</v>
      </c>
      <c r="I163" s="463">
        <f t="shared" si="87"/>
        <v>1</v>
      </c>
      <c r="J163" s="463">
        <f t="shared" si="87"/>
        <v>1.7167381974248928</v>
      </c>
      <c r="K163" s="463">
        <f t="shared" si="87"/>
        <v>2.4048096192384767</v>
      </c>
      <c r="L163" s="463">
        <f t="shared" si="87"/>
        <v>0</v>
      </c>
      <c r="M163" s="447"/>
      <c r="O163" s="465"/>
      <c r="P163" s="465"/>
      <c r="R163" s="465"/>
      <c r="S163" s="465"/>
    </row>
    <row r="164" spans="1:21" s="293" customFormat="1">
      <c r="A164" s="442"/>
      <c r="B164" s="451" t="s">
        <v>44</v>
      </c>
      <c r="C164" s="462">
        <f t="shared" si="84"/>
        <v>21</v>
      </c>
      <c r="D164" s="463">
        <f t="shared" ref="D164:L164" si="88">ProductionFY3o(4,D39,VLOOKUP(D39,ProductsRangeOper,3,FALSE),D149)</f>
        <v>0.38755980861244022</v>
      </c>
      <c r="E164" s="463">
        <f t="shared" si="88"/>
        <v>0.56908665105386413</v>
      </c>
      <c r="F164" s="463">
        <f t="shared" si="88"/>
        <v>0</v>
      </c>
      <c r="G164" s="463">
        <f t="shared" si="88"/>
        <v>1</v>
      </c>
      <c r="H164" s="463">
        <f t="shared" si="88"/>
        <v>1</v>
      </c>
      <c r="I164" s="463">
        <f t="shared" si="88"/>
        <v>1</v>
      </c>
      <c r="J164" s="463">
        <f t="shared" si="88"/>
        <v>8.6124401913875612</v>
      </c>
      <c r="K164" s="463">
        <f t="shared" si="88"/>
        <v>8.4309133489461363</v>
      </c>
      <c r="L164" s="463">
        <f t="shared" si="88"/>
        <v>0</v>
      </c>
      <c r="M164" s="447"/>
      <c r="O164" s="465"/>
      <c r="P164" s="465"/>
      <c r="R164" s="465"/>
      <c r="S164" s="465"/>
    </row>
    <row r="165" spans="1:21" s="293" customFormat="1">
      <c r="A165" s="442"/>
      <c r="B165" s="451" t="s">
        <v>43</v>
      </c>
      <c r="C165" s="462">
        <f t="shared" si="84"/>
        <v>26</v>
      </c>
      <c r="D165" s="463">
        <f t="shared" ref="D165:L165" si="89">ProductionFY3o(5,D39,VLOOKUP(D39,ProductsRangeOper,3,FALSE),D150)</f>
        <v>1.1894273127753303</v>
      </c>
      <c r="E165" s="463">
        <f t="shared" si="89"/>
        <v>0.99110122358175745</v>
      </c>
      <c r="F165" s="463">
        <f t="shared" si="89"/>
        <v>1</v>
      </c>
      <c r="G165" s="463">
        <f t="shared" si="89"/>
        <v>2</v>
      </c>
      <c r="H165" s="463">
        <f t="shared" si="89"/>
        <v>2</v>
      </c>
      <c r="I165" s="463">
        <f t="shared" si="89"/>
        <v>2</v>
      </c>
      <c r="J165" s="463">
        <f t="shared" si="89"/>
        <v>8.8105726872246688</v>
      </c>
      <c r="K165" s="463">
        <f t="shared" si="89"/>
        <v>8.008898776418242</v>
      </c>
      <c r="L165" s="463">
        <f t="shared" si="89"/>
        <v>0</v>
      </c>
      <c r="M165" s="447"/>
      <c r="O165" s="465"/>
      <c r="P165" s="465"/>
      <c r="R165" s="465"/>
      <c r="S165" s="465"/>
    </row>
    <row r="166" spans="1:21" s="293" customFormat="1">
      <c r="B166" s="451" t="s">
        <v>42</v>
      </c>
      <c r="C166" s="462">
        <f t="shared" si="84"/>
        <v>30.999999999999996</v>
      </c>
      <c r="D166" s="463">
        <f t="shared" ref="D166:L166" si="90">ProductionFY3o(6,D39,VLOOKUP(D39,ProductsRangeOper,3,FALSE),D151)</f>
        <v>1.150791088149822</v>
      </c>
      <c r="E166" s="463">
        <f t="shared" si="90"/>
        <v>1.0633900235983398</v>
      </c>
      <c r="F166" s="463">
        <f t="shared" si="90"/>
        <v>1</v>
      </c>
      <c r="G166" s="463">
        <f t="shared" si="90"/>
        <v>2</v>
      </c>
      <c r="H166" s="463">
        <f t="shared" si="90"/>
        <v>2</v>
      </c>
      <c r="I166" s="463">
        <f t="shared" si="90"/>
        <v>2</v>
      </c>
      <c r="J166" s="463">
        <f t="shared" si="90"/>
        <v>10.849208911850177</v>
      </c>
      <c r="K166" s="463">
        <f t="shared" si="90"/>
        <v>10.936609976401659</v>
      </c>
      <c r="L166" s="463">
        <f t="shared" si="90"/>
        <v>0</v>
      </c>
      <c r="M166" s="447"/>
      <c r="O166" s="465"/>
      <c r="P166" s="465"/>
      <c r="R166" s="465"/>
      <c r="S166" s="465"/>
    </row>
    <row r="167" spans="1:21" s="293" customFormat="1">
      <c r="B167" s="451" t="s">
        <v>41</v>
      </c>
      <c r="C167" s="462">
        <f t="shared" si="84"/>
        <v>30.999999999999996</v>
      </c>
      <c r="D167" s="463">
        <f t="shared" ref="D167:L167" si="91">ProductionFY3o(7,D39,VLOOKUP(D39,ProductsRangeOper,3,FALSE),D152)</f>
        <v>1.150791088149822</v>
      </c>
      <c r="E167" s="463">
        <f t="shared" si="91"/>
        <v>1.0633900235983398</v>
      </c>
      <c r="F167" s="463">
        <f t="shared" si="91"/>
        <v>1</v>
      </c>
      <c r="G167" s="463">
        <f t="shared" si="91"/>
        <v>2</v>
      </c>
      <c r="H167" s="463">
        <f t="shared" si="91"/>
        <v>2</v>
      </c>
      <c r="I167" s="463">
        <f t="shared" si="91"/>
        <v>2</v>
      </c>
      <c r="J167" s="463">
        <f t="shared" si="91"/>
        <v>10.849208911850177</v>
      </c>
      <c r="K167" s="463">
        <f t="shared" si="91"/>
        <v>10.936609976401659</v>
      </c>
      <c r="L167" s="463">
        <f t="shared" si="91"/>
        <v>0</v>
      </c>
      <c r="M167" s="447"/>
      <c r="O167" s="465"/>
      <c r="P167" s="465"/>
      <c r="R167" s="465"/>
      <c r="S167" s="465"/>
    </row>
    <row r="168" spans="1:21" s="293" customFormat="1">
      <c r="B168" s="451" t="s">
        <v>40</v>
      </c>
      <c r="C168" s="462">
        <f t="shared" si="84"/>
        <v>27</v>
      </c>
      <c r="D168" s="463">
        <f t="shared" ref="D168:L168" si="92">ProductionFY3o(8,D39,VLOOKUP(D39,ProductsRangeOper,3,FALSE),D153)</f>
        <v>1.1012235817575082</v>
      </c>
      <c r="E168" s="463">
        <f t="shared" si="92"/>
        <v>1.0188043783328655</v>
      </c>
      <c r="F168" s="463">
        <f t="shared" si="92"/>
        <v>1</v>
      </c>
      <c r="G168" s="463">
        <f t="shared" si="92"/>
        <v>2</v>
      </c>
      <c r="H168" s="463">
        <f t="shared" si="92"/>
        <v>2</v>
      </c>
      <c r="I168" s="463">
        <f t="shared" si="92"/>
        <v>2</v>
      </c>
      <c r="J168" s="463">
        <f t="shared" si="92"/>
        <v>8.8987764182424929</v>
      </c>
      <c r="K168" s="463">
        <f t="shared" si="92"/>
        <v>8.9811956216671351</v>
      </c>
      <c r="L168" s="463">
        <f t="shared" si="92"/>
        <v>0</v>
      </c>
      <c r="M168" s="447"/>
      <c r="O168" s="465"/>
      <c r="P168" s="465"/>
      <c r="R168" s="465"/>
      <c r="S168" s="465"/>
    </row>
    <row r="169" spans="1:21" s="293" customFormat="1">
      <c r="B169" s="451" t="s">
        <v>39</v>
      </c>
      <c r="C169" s="462">
        <f t="shared" si="84"/>
        <v>27</v>
      </c>
      <c r="D169" s="463">
        <f t="shared" ref="D169:L169" si="93">ProductionFY3o(9,D39,VLOOKUP(D39,ProductsRangeOper,3,FALSE),D154)</f>
        <v>1.1012235817575082</v>
      </c>
      <c r="E169" s="463">
        <f t="shared" si="93"/>
        <v>1.0188043783328655</v>
      </c>
      <c r="F169" s="463">
        <f t="shared" si="93"/>
        <v>1</v>
      </c>
      <c r="G169" s="463">
        <f t="shared" si="93"/>
        <v>2</v>
      </c>
      <c r="H169" s="463">
        <f t="shared" si="93"/>
        <v>2</v>
      </c>
      <c r="I169" s="463">
        <f t="shared" si="93"/>
        <v>2</v>
      </c>
      <c r="J169" s="463">
        <f t="shared" si="93"/>
        <v>8.8987764182424929</v>
      </c>
      <c r="K169" s="463">
        <f t="shared" si="93"/>
        <v>8.9811956216671351</v>
      </c>
      <c r="L169" s="463">
        <f t="shared" si="93"/>
        <v>0</v>
      </c>
      <c r="M169" s="447"/>
      <c r="O169" s="465"/>
      <c r="P169" s="465"/>
      <c r="R169" s="465"/>
      <c r="S169" s="465"/>
    </row>
    <row r="170" spans="1:21" s="293" customFormat="1">
      <c r="B170" s="451" t="s">
        <v>38</v>
      </c>
      <c r="C170" s="462">
        <f t="shared" si="84"/>
        <v>25</v>
      </c>
      <c r="D170" s="463">
        <f t="shared" ref="D170:L170" si="94">ProductionFY3o(10,D39,VLOOKUP(D39,ProductsRangeOper,3,FALSE),D155)</f>
        <v>0.91011235955056191</v>
      </c>
      <c r="E170" s="463">
        <f t="shared" si="94"/>
        <v>0.99110122358175745</v>
      </c>
      <c r="F170" s="463">
        <f t="shared" si="94"/>
        <v>1</v>
      </c>
      <c r="G170" s="463">
        <f t="shared" si="94"/>
        <v>2</v>
      </c>
      <c r="H170" s="463">
        <f t="shared" si="94"/>
        <v>2</v>
      </c>
      <c r="I170" s="463">
        <f t="shared" si="94"/>
        <v>2</v>
      </c>
      <c r="J170" s="463">
        <f t="shared" si="94"/>
        <v>8.0898876404494384</v>
      </c>
      <c r="K170" s="463">
        <f t="shared" si="94"/>
        <v>8.008898776418242</v>
      </c>
      <c r="L170" s="463">
        <f t="shared" si="94"/>
        <v>0</v>
      </c>
      <c r="M170" s="447"/>
      <c r="O170" s="465"/>
      <c r="P170" s="465"/>
      <c r="R170" s="465"/>
      <c r="S170" s="465"/>
    </row>
    <row r="171" spans="1:21" s="293" customFormat="1">
      <c r="B171" s="451" t="s">
        <v>37</v>
      </c>
      <c r="C171" s="462">
        <f t="shared" si="84"/>
        <v>10</v>
      </c>
      <c r="D171" s="463">
        <f t="shared" ref="D171:L171" si="95">ProductionFY3o(11,D39,VLOOKUP(D39,ProductsRangeOper,3,FALSE),D156)</f>
        <v>0.6721629485935986</v>
      </c>
      <c r="E171" s="463">
        <f t="shared" si="95"/>
        <v>0.59519038076152286</v>
      </c>
      <c r="F171" s="463">
        <f t="shared" si="95"/>
        <v>1</v>
      </c>
      <c r="G171" s="463">
        <f t="shared" si="95"/>
        <v>1</v>
      </c>
      <c r="H171" s="463">
        <f t="shared" si="95"/>
        <v>1</v>
      </c>
      <c r="I171" s="463">
        <f t="shared" si="95"/>
        <v>1</v>
      </c>
      <c r="J171" s="463">
        <f t="shared" si="95"/>
        <v>2.3278370514064015</v>
      </c>
      <c r="K171" s="463">
        <f t="shared" si="95"/>
        <v>2.4048096192384767</v>
      </c>
      <c r="L171" s="463">
        <f t="shared" si="95"/>
        <v>0</v>
      </c>
      <c r="M171" s="447"/>
      <c r="O171" s="465"/>
      <c r="P171" s="465"/>
      <c r="R171" s="465"/>
      <c r="S171" s="465"/>
    </row>
    <row r="172" spans="1:21" s="293" customFormat="1">
      <c r="B172" s="451" t="s">
        <v>36</v>
      </c>
      <c r="C172" s="462">
        <f t="shared" si="84"/>
        <v>9</v>
      </c>
      <c r="D172" s="463">
        <f t="shared" ref="D172:L172" si="96">ProductionFY3o(12,D39,VLOOKUP(D39,ProductsRangeOper,3,FALSE),D157)</f>
        <v>0.6721629485935986</v>
      </c>
      <c r="E172" s="463">
        <f t="shared" si="96"/>
        <v>0.5129533678756476</v>
      </c>
      <c r="F172" s="463">
        <f t="shared" si="96"/>
        <v>0</v>
      </c>
      <c r="G172" s="463">
        <f t="shared" si="96"/>
        <v>1</v>
      </c>
      <c r="H172" s="463">
        <f t="shared" si="96"/>
        <v>1</v>
      </c>
      <c r="I172" s="463">
        <f t="shared" si="96"/>
        <v>1</v>
      </c>
      <c r="J172" s="463">
        <f t="shared" si="96"/>
        <v>2.3278370514064015</v>
      </c>
      <c r="K172" s="463">
        <f t="shared" si="96"/>
        <v>2.4870466321243518</v>
      </c>
      <c r="L172" s="463">
        <f t="shared" si="96"/>
        <v>0</v>
      </c>
      <c r="M172" s="447"/>
      <c r="O172" s="465"/>
      <c r="P172" s="465"/>
      <c r="R172" s="465"/>
      <c r="S172" s="465"/>
    </row>
    <row r="173" spans="1:21" s="474" customFormat="1">
      <c r="A173" s="466" t="s">
        <v>417</v>
      </c>
      <c r="B173" s="442"/>
      <c r="C173" s="448" t="s">
        <v>85</v>
      </c>
      <c r="D173" s="1343">
        <f t="shared" ref="D173:I173" si="97">SUM(D146:D157)</f>
        <v>12164.159411712006</v>
      </c>
      <c r="E173" s="1344">
        <f t="shared" si="97"/>
        <v>12164.159411712002</v>
      </c>
      <c r="F173" s="1344">
        <f t="shared" si="97"/>
        <v>9952.4940641280009</v>
      </c>
      <c r="G173" s="1344">
        <f t="shared" si="97"/>
        <v>25434.151497216004</v>
      </c>
      <c r="H173" s="1344">
        <f t="shared" si="97"/>
        <v>25434.151497216004</v>
      </c>
      <c r="I173" s="1344">
        <f t="shared" si="97"/>
        <v>25434.151497216004</v>
      </c>
      <c r="J173" s="1345">
        <f>J158</f>
        <v>98296.23767040002</v>
      </c>
      <c r="K173" s="1345">
        <f>K158</f>
        <v>98296.23767040002</v>
      </c>
      <c r="L173" s="1345">
        <f>L158</f>
        <v>0</v>
      </c>
      <c r="M173" s="293"/>
      <c r="N173" s="293"/>
      <c r="O173" s="465"/>
      <c r="P173" s="465"/>
      <c r="Q173" s="293"/>
      <c r="R173" s="465"/>
      <c r="S173" s="465"/>
      <c r="T173" s="442"/>
      <c r="U173" s="442"/>
    </row>
    <row r="174" spans="1:21" s="293" customFormat="1">
      <c r="A174" s="466" t="s">
        <v>418</v>
      </c>
      <c r="B174" s="442"/>
      <c r="C174" s="448" t="s">
        <v>85</v>
      </c>
      <c r="D174" s="1343">
        <f t="shared" ref="D174:L174" si="98">SUM(D161:D172)*capacity</f>
        <v>11389.697755825235</v>
      </c>
      <c r="E174" s="1343">
        <f t="shared" si="98"/>
        <v>11813.673167343411</v>
      </c>
      <c r="F174" s="1343">
        <f t="shared" si="98"/>
        <v>8680</v>
      </c>
      <c r="G174" s="1343">
        <f t="shared" si="98"/>
        <v>22320</v>
      </c>
      <c r="H174" s="1343">
        <f t="shared" si="98"/>
        <v>22320</v>
      </c>
      <c r="I174" s="1343">
        <f t="shared" si="98"/>
        <v>22320</v>
      </c>
      <c r="J174" s="1343">
        <f t="shared" si="98"/>
        <v>92770.30224417476</v>
      </c>
      <c r="K174" s="1343">
        <f t="shared" si="98"/>
        <v>94826.326832656559</v>
      </c>
      <c r="L174" s="1346">
        <f t="shared" si="98"/>
        <v>0</v>
      </c>
      <c r="M174" s="442"/>
      <c r="N174" s="442"/>
      <c r="O174" s="475"/>
      <c r="P174" s="475"/>
      <c r="Q174" s="442"/>
      <c r="R174" s="475"/>
      <c r="S174" s="475"/>
      <c r="T174" s="442"/>
      <c r="U174" s="442"/>
    </row>
    <row r="175" spans="1:21" s="293" customFormat="1">
      <c r="A175" s="466" t="s">
        <v>419</v>
      </c>
      <c r="B175" s="442"/>
      <c r="C175" s="448" t="s">
        <v>85</v>
      </c>
      <c r="D175" s="1343">
        <f t="shared" ref="D175:L175" si="99">D173-D174</f>
        <v>774.46165588677104</v>
      </c>
      <c r="E175" s="1344">
        <f t="shared" si="99"/>
        <v>350.48624436859063</v>
      </c>
      <c r="F175" s="1344">
        <f t="shared" si="99"/>
        <v>1272.4940641280009</v>
      </c>
      <c r="G175" s="1344">
        <f t="shared" si="99"/>
        <v>3114.1514972160039</v>
      </c>
      <c r="H175" s="1344">
        <f t="shared" si="99"/>
        <v>3114.1514972160039</v>
      </c>
      <c r="I175" s="1344">
        <f t="shared" si="99"/>
        <v>3114.1514972160039</v>
      </c>
      <c r="J175" s="1344">
        <f t="shared" si="99"/>
        <v>5525.93542622526</v>
      </c>
      <c r="K175" s="1344">
        <f t="shared" si="99"/>
        <v>3469.9108377434604</v>
      </c>
      <c r="L175" s="1347">
        <f t="shared" si="99"/>
        <v>0</v>
      </c>
      <c r="M175" s="442"/>
      <c r="N175" s="442"/>
      <c r="O175" s="475"/>
      <c r="P175" s="475"/>
      <c r="Q175" s="442"/>
      <c r="R175" s="475"/>
      <c r="S175" s="475"/>
      <c r="T175" s="442"/>
      <c r="U175" s="442"/>
    </row>
    <row r="176" spans="1:21" s="293" customFormat="1">
      <c r="A176" s="471"/>
      <c r="D176" s="471"/>
      <c r="O176" s="465"/>
      <c r="P176" s="465"/>
      <c r="R176" s="465"/>
      <c r="S176" s="465"/>
      <c r="T176" s="442"/>
      <c r="U176" s="442"/>
    </row>
    <row r="177" spans="1:19" s="293" customFormat="1">
      <c r="A177" s="471"/>
      <c r="D177" s="395" t="str">
        <f>IF(B11="","",B11)</f>
        <v>BR01-01</v>
      </c>
      <c r="E177" s="395" t="str">
        <f>IF(B12="","",B12)</f>
        <v>BR01-02</v>
      </c>
      <c r="F177" s="395" t="str">
        <f>IF(B13="","",B13)</f>
        <v>BR01-03</v>
      </c>
      <c r="G177" s="395" t="str">
        <f>IF(B14="","",B14)</f>
        <v>BR01-04</v>
      </c>
      <c r="H177" s="395" t="str">
        <f>IF(B15="","",B15)</f>
        <v>BR01-05</v>
      </c>
      <c r="I177" s="395" t="str">
        <f>IF(B16="","",B16)</f>
        <v>BR01-06</v>
      </c>
      <c r="J177" s="395" t="str">
        <f>IF(B17="","",B17)</f>
        <v>BR01-07</v>
      </c>
      <c r="K177" s="395" t="str">
        <f>IF(B18="","",B18)</f>
        <v>BR01-08</v>
      </c>
      <c r="L177" s="395" t="str">
        <f>IF(B19="","",B19)</f>
        <v>BR01-09</v>
      </c>
      <c r="M177" s="457"/>
      <c r="N177" s="464"/>
      <c r="O177" s="476"/>
      <c r="P177" s="476"/>
      <c r="R177" s="477"/>
      <c r="S177" s="477"/>
    </row>
    <row r="178" spans="1:19" s="293" customFormat="1">
      <c r="A178" s="471"/>
      <c r="D178" s="395" t="str">
        <f>C11</f>
        <v>[retail]</v>
      </c>
      <c r="E178" s="395" t="str">
        <f>C12</f>
        <v>[retail]</v>
      </c>
      <c r="F178" s="395" t="str">
        <f>C13</f>
        <v>[retail]</v>
      </c>
      <c r="G178" s="395" t="str">
        <f>C14</f>
        <v>[retail]</v>
      </c>
      <c r="H178" s="395" t="str">
        <f>C15</f>
        <v>[retail]</v>
      </c>
      <c r="I178" s="395" t="str">
        <f>C16</f>
        <v>[retail]</v>
      </c>
      <c r="J178" s="395" t="str">
        <f>C17</f>
        <v>[wholesale]</v>
      </c>
      <c r="K178" s="395" t="str">
        <f>C18</f>
        <v>[wholesale]</v>
      </c>
      <c r="L178" s="395" t="str">
        <f>C19</f>
        <v>[retail]</v>
      </c>
      <c r="M178" s="457"/>
      <c r="N178" s="464"/>
      <c r="O178" s="476"/>
      <c r="P178" s="476"/>
      <c r="R178" s="477"/>
      <c r="S178" s="477"/>
    </row>
    <row r="179" spans="1:19" s="293" customFormat="1">
      <c r="A179" s="471"/>
      <c r="B179" s="707" t="s">
        <v>35</v>
      </c>
      <c r="C179" s="448" t="s">
        <v>47</v>
      </c>
      <c r="D179" s="455">
        <f>IF(VLOOKUP(D177,ProductsRangeOper,3,FALSE)="Special Offer",SpecialOffero(D177,1,"FY-1"),MIN(D56,D71*capacity))</f>
        <v>412.92172873929508</v>
      </c>
      <c r="E179" s="455">
        <f>IF(VLOOKUP(E177,ProductsRangeOper,3,FALSE)="Special Offer",SpecialOffero(E177,1,"FY-1"),MIN(E56,E71*capacity))</f>
        <v>488.29015544041454</v>
      </c>
      <c r="F179" s="455">
        <f>IF(VLOOKUP(F177,ProductsRangeOper,3,FALSE)="Special Offer",SpecialOffero(F177,1,"FY-1"),MIN(F56,F71*capacity))</f>
        <v>0</v>
      </c>
      <c r="G179" s="455">
        <f>IF(VLOOKUP(G177,ProductsRangeOper,3,FALSE)="Special Offer",SpecialOffero(G177,1,"FY-1"),MIN(G56,G71*capacity))</f>
        <v>1155.9193851744003</v>
      </c>
      <c r="H179" s="455">
        <f>IF(VLOOKUP(H177,ProductsRangeOper,3,FALSE)="Special Offer",SpecialOffero(H177,1,"FY-1"),MIN(H56,H71*capacity))</f>
        <v>1155.9193851744003</v>
      </c>
      <c r="I179" s="455">
        <f>IF(VLOOKUP(I177,ProductsRangeOper,3,FALSE)="Special Offer",SpecialOffero(I177,1,"FY-1"),MIN(I56,I71*capacity))</f>
        <v>1155.9193851744003</v>
      </c>
      <c r="J179" s="455">
        <f>IF(VLOOKUP(J177,ProductsRangeOper,3,FALSE)="Special Offer",SpecialOffero(J177,1,"FY-1"),MIN(J56,J71*capacity))</f>
        <v>2067.0782712607047</v>
      </c>
      <c r="K179" s="455">
        <f>IF(VLOOKUP(K177,ProductsRangeOper,3,FALSE)="Special Offer",SpecialOffero(K177,1,"FY-1"),MIN(K56,K71*capacity))</f>
        <v>1991.7098445595855</v>
      </c>
      <c r="L179" s="455">
        <f>IF(VLOOKUP(L177,ProductsRangeOper,3,FALSE)="Special Offer",SpecialOffero(L177,1,"FY-1"),MIN(L56,L71*capacity))</f>
        <v>252.24184447679909</v>
      </c>
      <c r="M179" s="457"/>
      <c r="N179" s="464"/>
      <c r="O179" s="476"/>
      <c r="P179" s="476"/>
      <c r="R179" s="477"/>
      <c r="S179" s="477"/>
    </row>
    <row r="180" spans="1:19" s="293" customFormat="1">
      <c r="A180" s="471"/>
      <c r="B180" s="707" t="s">
        <v>35</v>
      </c>
      <c r="C180" s="448" t="s">
        <v>46</v>
      </c>
      <c r="D180" s="455">
        <f>IF(VLOOKUP(D177,ProductsRangeOper,3,FALSE)="Special Offer",SpecialOffero(D177,7,"FY-1"),MIN(D57,D72*capacity))</f>
        <v>412.92172873929508</v>
      </c>
      <c r="E180" s="455">
        <f>IF(VLOOKUP(E177,ProductsRangeOper,3,FALSE)="Special Offer",SpecialOffero(E177,7,"FY-1"),MIN(E57,E72*capacity))</f>
        <v>420.71428571428572</v>
      </c>
      <c r="F180" s="455">
        <f>IF(VLOOKUP(F177,ProductsRangeOper,3,FALSE)="Special Offer",SpecialOffero(F177,7,"FY-1"),MIN(F57,F72*capacity))</f>
        <v>0</v>
      </c>
      <c r="G180" s="455">
        <f>IF(VLOOKUP(G177,ProductsRangeOper,3,FALSE)="Special Offer",SpecialOffero(G177,7,"FY-1"),MIN(G57,G72*capacity))</f>
        <v>1155.9193851744003</v>
      </c>
      <c r="H180" s="455">
        <f>IF(VLOOKUP(H177,ProductsRangeOper,3,FALSE)="Special Offer",SpecialOffero(H177,7,"FY-1"),MIN(H57,H72*capacity))</f>
        <v>1155.9193851744003</v>
      </c>
      <c r="I180" s="455">
        <f>IF(VLOOKUP(I177,ProductsRangeOper,3,FALSE)="Special Offer",SpecialOffero(I177,7,"FY-1"),MIN(I57,I72*capacity))</f>
        <v>1155.9193851744003</v>
      </c>
      <c r="J180" s="455">
        <f>IF(VLOOKUP(J177,ProductsRangeOper,3,FALSE)="Special Offer",SpecialOffero(J177,7,"FY-1"),MIN(J57,J72*capacity))</f>
        <v>2067.0782712607047</v>
      </c>
      <c r="K180" s="455">
        <f>IF(VLOOKUP(K177,ProductsRangeOper,3,FALSE)="Special Offer",SpecialOffero(K177,7,"FY-1"),MIN(K57,K72*capacity))</f>
        <v>2059.2857142857142</v>
      </c>
      <c r="L180" s="455">
        <f>IF(VLOOKUP(L177,ProductsRangeOper,3,FALSE)="Special Offer",SpecialOffero(L177,7,"FY-1"),MIN(L57,L72*capacity))</f>
        <v>658.92461418111634</v>
      </c>
      <c r="M180" s="457"/>
      <c r="N180" s="464"/>
      <c r="O180" s="476"/>
      <c r="P180" s="476"/>
      <c r="R180" s="477"/>
      <c r="S180" s="477"/>
    </row>
    <row r="181" spans="1:19" s="293" customFormat="1">
      <c r="A181" s="471"/>
      <c r="B181" s="707" t="s">
        <v>35</v>
      </c>
      <c r="C181" s="451" t="s">
        <v>45</v>
      </c>
      <c r="D181" s="455">
        <f>IF(VLOOKUP(D177,ProductsRangeOper,3,FALSE)="Special Offer",SpecialOffero(D177,3,"FY-1"),MIN(D58,D73*capacity))</f>
        <v>412.92172873929508</v>
      </c>
      <c r="E181" s="455">
        <f>IF(VLOOKUP(E177,ProductsRangeOper,3,FALSE)="Special Offer",SpecialOffero(E177,3,"FY-1"),MIN(E58,E73*capacity))</f>
        <v>488.29015544041454</v>
      </c>
      <c r="F181" s="455">
        <f>IF(VLOOKUP(F177,ProductsRangeOper,3,FALSE)="Special Offer",SpecialOffero(F177,3,"FY-1"),MIN(F58,F73*capacity))</f>
        <v>0</v>
      </c>
      <c r="G181" s="455">
        <f>IF(VLOOKUP(G177,ProductsRangeOper,3,FALSE)="Special Offer",SpecialOffero(G177,3,"FY-1"),MIN(G58,G73*capacity))</f>
        <v>1240</v>
      </c>
      <c r="H181" s="455">
        <f>IF(VLOOKUP(H177,ProductsRangeOper,3,FALSE)="Special Offer",SpecialOffero(H177,3,"FY-1"),MIN(H58,H73*capacity))</f>
        <v>1240</v>
      </c>
      <c r="I181" s="455">
        <f>IF(VLOOKUP(I177,ProductsRangeOper,3,FALSE)="Special Offer",SpecialOffero(I177,3,"FY-1"),MIN(I58,I73*capacity))</f>
        <v>1240</v>
      </c>
      <c r="J181" s="455">
        <f>IF(VLOOKUP(J177,ProductsRangeOper,3,FALSE)="Special Offer",SpecialOffero(J177,3,"FY-1"),MIN(J58,J73*capacity))</f>
        <v>2067.0782712607047</v>
      </c>
      <c r="K181" s="455">
        <f>IF(VLOOKUP(K177,ProductsRangeOper,3,FALSE)="Special Offer",SpecialOffero(K177,3,"FY-1"),MIN(K58,K73*capacity))</f>
        <v>1991.7098445595855</v>
      </c>
      <c r="L181" s="455">
        <f>IF(VLOOKUP(L177,ProductsRangeOper,3,FALSE)="Special Offer",SpecialOffero(L177,3,"FY-1"),MIN(L58,L73*capacity))</f>
        <v>0</v>
      </c>
      <c r="M181" s="457"/>
      <c r="N181" s="464"/>
      <c r="O181" s="476"/>
      <c r="P181" s="476"/>
      <c r="R181" s="477"/>
      <c r="S181" s="477"/>
    </row>
    <row r="182" spans="1:19" s="293" customFormat="1">
      <c r="A182" s="471"/>
      <c r="B182" s="707" t="s">
        <v>35</v>
      </c>
      <c r="C182" s="451" t="s">
        <v>44</v>
      </c>
      <c r="D182" s="455">
        <f>IF(VLOOKUP(D177,ProductsRangeOper,3,FALSE)="Special Offer",SpecialOffero(D177,4,"FY-1"),MIN(D59,D74*capacity))</f>
        <v>442.26480824064015</v>
      </c>
      <c r="E182" s="455">
        <f>IF(VLOOKUP(E177,ProductsRangeOper,3,FALSE)="Special Offer",SpecialOffero(E177,4,"FY-1"),MIN(E59,E74*capacity))</f>
        <v>621.70423309510716</v>
      </c>
      <c r="F182" s="455">
        <f>IF(VLOOKUP(F177,ProductsRangeOper,3,FALSE)="Special Offer",SpecialOffero(F177,4,"FY-1"),MIN(F59,F74*capacity))</f>
        <v>0</v>
      </c>
      <c r="G182" s="455">
        <f>IF(VLOOKUP(G177,ProductsRangeOper,3,FALSE)="Special Offer",SpecialOffero(G177,4,"FY-1"),MIN(G59,G74*capacity))</f>
        <v>1240</v>
      </c>
      <c r="H182" s="455">
        <f>IF(VLOOKUP(H177,ProductsRangeOper,3,FALSE)="Special Offer",SpecialOffero(H177,4,"FY-1"),MIN(H59,H74*capacity))</f>
        <v>1240</v>
      </c>
      <c r="I182" s="455">
        <f>IF(VLOOKUP(I177,ProductsRangeOper,3,FALSE)="Special Offer",SpecialOffero(I177,4,"FY-1"),MIN(I59,I74*capacity))</f>
        <v>1240</v>
      </c>
      <c r="J182" s="455">
        <f>IF(VLOOKUP(J177,ProductsRangeOper,3,FALSE)="Special Offer",SpecialOffero(J177,4,"FY-1"),MIN(J59,J74*capacity))</f>
        <v>8117.8869407328011</v>
      </c>
      <c r="K182" s="455">
        <f>IF(VLOOKUP(K177,ProductsRangeOper,3,FALSE)="Special Offer",SpecialOffero(K177,4,"FY-1"),MIN(K59,K74*capacity))</f>
        <v>9298.2957669048919</v>
      </c>
      <c r="L182" s="455">
        <f>IF(VLOOKUP(L177,ProductsRangeOper,3,FALSE)="Special Offer",SpecialOffero(L177,4,"FY-1"),MIN(L59,L74*capacity))</f>
        <v>119.84825102656032</v>
      </c>
      <c r="M182" s="457"/>
      <c r="N182" s="464"/>
      <c r="O182" s="476"/>
      <c r="P182" s="476"/>
      <c r="R182" s="477"/>
      <c r="S182" s="477"/>
    </row>
    <row r="183" spans="1:19" s="293" customFormat="1">
      <c r="A183" s="471"/>
      <c r="B183" s="707" t="s">
        <v>35</v>
      </c>
      <c r="C183" s="451" t="s">
        <v>43</v>
      </c>
      <c r="D183" s="455">
        <f>IF(VLOOKUP(D177,ProductsRangeOper,3,FALSE)="Special Offer",SpecialOffero(D177,5,"FY-1"),MIN(D60,D75*capacity))</f>
        <v>1219.3715341959332</v>
      </c>
      <c r="E183" s="455">
        <f>IF(VLOOKUP(E177,ProductsRangeOper,3,FALSE)="Special Offer",SpecialOffero(E177,5,"FY-1"),MIN(E60,E75*capacity))</f>
        <v>1216.2282226617604</v>
      </c>
      <c r="F183" s="455">
        <f>IF(VLOOKUP(F177,ProductsRangeOper,3,FALSE)="Special Offer",SpecialOffero(F177,5,"FY-1"),MIN(F60,F75*capacity))</f>
        <v>995.09581854144017</v>
      </c>
      <c r="G183" s="455">
        <f>IF(VLOOKUP(G177,ProductsRangeOper,3,FALSE)="Special Offer",SpecialOffero(G177,5,"FY-1"),MIN(G60,G75*capacity))</f>
        <v>1240</v>
      </c>
      <c r="H183" s="455">
        <f>IF(VLOOKUP(H177,ProductsRangeOper,3,FALSE)="Special Offer",SpecialOffero(H177,5,"FY-1"),MIN(H60,H75*capacity))</f>
        <v>1240</v>
      </c>
      <c r="I183" s="455">
        <f>IF(VLOOKUP(I177,ProductsRangeOper,3,FALSE)="Special Offer",SpecialOffero(I177,5,"FY-1"),MIN(I60,I75*capacity))</f>
        <v>1240</v>
      </c>
      <c r="J183" s="455">
        <f>IF(VLOOKUP(J177,ProductsRangeOper,3,FALSE)="Special Offer",SpecialOffero(J177,5,"FY-1"),MIN(J60,J75*capacity))</f>
        <v>7460.6284658040659</v>
      </c>
      <c r="K183" s="455">
        <f>IF(VLOOKUP(K177,ProductsRangeOper,3,FALSE)="Special Offer",SpecialOffero(K177,5,"FY-1"),MIN(K60,K75*capacity))</f>
        <v>9921.8618164512009</v>
      </c>
      <c r="L183" s="455">
        <f>IF(VLOOKUP(L177,ProductsRangeOper,3,FALSE)="Special Offer",SpecialOffero(L177,5,"FY-1"),MIN(L60,L75*capacity))</f>
        <v>266.81414234559998</v>
      </c>
      <c r="M183" s="457"/>
      <c r="N183" s="464"/>
      <c r="O183" s="476"/>
      <c r="P183" s="476"/>
      <c r="R183" s="477"/>
      <c r="S183" s="477"/>
    </row>
    <row r="184" spans="1:19" s="293" customFormat="1">
      <c r="A184" s="471"/>
      <c r="B184" s="707" t="s">
        <v>35</v>
      </c>
      <c r="C184" s="451" t="s">
        <v>42</v>
      </c>
      <c r="D184" s="455">
        <f>IF(VLOOKUP(D177,ProductsRangeOper,3,FALSE)="Special Offer",SpecialOffero(D177,6,"FY-1"),MIN(D61,D76*capacity))</f>
        <v>1270.046283691805</v>
      </c>
      <c r="E184" s="455">
        <f>IF(VLOOKUP(E177,ProductsRangeOper,3,FALSE)="Special Offer",SpecialOffero(E177,6,"FY-1"),MIN(E61,E76*capacity))</f>
        <v>1198.3018074821355</v>
      </c>
      <c r="F184" s="455">
        <f>IF(VLOOKUP(F177,ProductsRangeOper,3,FALSE)="Special Offer",SpecialOffero(F177,6,"FY-1"),MIN(F61,F76*capacity))</f>
        <v>1085.55907477248</v>
      </c>
      <c r="G184" s="455">
        <f>IF(VLOOKUP(G177,ProductsRangeOper,3,FALSE)="Special Offer",SpecialOffero(G177,6,"FY-1"),MIN(G61,G76*capacity))</f>
        <v>2311.8387703488006</v>
      </c>
      <c r="H184" s="455">
        <f>IF(VLOOKUP(H177,ProductsRangeOper,3,FALSE)="Special Offer",SpecialOffero(H177,6,"FY-1"),MIN(H61,H76*capacity))</f>
        <v>2311.8387703488006</v>
      </c>
      <c r="I184" s="455">
        <f>IF(VLOOKUP(I177,ProductsRangeOper,3,FALSE)="Special Offer",SpecialOffero(I177,6,"FY-1"),MIN(I61,I76*capacity))</f>
        <v>2311.8387703488006</v>
      </c>
      <c r="J184" s="455">
        <f>IF(VLOOKUP(J177,ProductsRangeOper,3,FALSE)="Special Offer",SpecialOffero(J177,6,"FY-1"),MIN(J61,J76*capacity))</f>
        <v>9889.953716308195</v>
      </c>
      <c r="K184" s="455">
        <f>IF(VLOOKUP(K177,ProductsRangeOper,3,FALSE)="Special Offer",SpecialOffero(K177,6,"FY-1"),MIN(K61,K76*capacity))</f>
        <v>12441.698192517864</v>
      </c>
      <c r="L184" s="455">
        <f>IF(VLOOKUP(L177,ProductsRangeOper,3,FALSE)="Special Offer",SpecialOffero(L177,6,"FY-1"),MIN(L61,L76*capacity))</f>
        <v>658.92461418111634</v>
      </c>
      <c r="M184" s="457"/>
      <c r="N184" s="464"/>
      <c r="O184" s="476"/>
      <c r="P184" s="476"/>
      <c r="R184" s="477"/>
      <c r="S184" s="477"/>
    </row>
    <row r="185" spans="1:19" s="293" customFormat="1">
      <c r="A185" s="471"/>
      <c r="B185" s="707" t="s">
        <v>35</v>
      </c>
      <c r="C185" s="451" t="s">
        <v>41</v>
      </c>
      <c r="D185" s="455">
        <f>IF(VLOOKUP(D177,ProductsRangeOper,3,FALSE)="Special Offer",SpecialOffero(D177,7,"FY-1"),MIN(D62,D77*capacity))</f>
        <v>1270.046283691805</v>
      </c>
      <c r="E185" s="455">
        <f>IF(VLOOKUP(E177,ProductsRangeOper,3,FALSE)="Special Offer",SpecialOffero(E177,7,"FY-1"),MIN(E62,E77*capacity))</f>
        <v>1198.3018074821355</v>
      </c>
      <c r="F185" s="455">
        <f>IF(VLOOKUP(F177,ProductsRangeOper,3,FALSE)="Special Offer",SpecialOffero(F177,7,"FY-1"),MIN(F62,F77*capacity))</f>
        <v>1085.55907477248</v>
      </c>
      <c r="G185" s="455">
        <f>IF(VLOOKUP(G177,ProductsRangeOper,3,FALSE)="Special Offer",SpecialOffero(G177,7,"FY-1"),MIN(G62,G77*capacity))</f>
        <v>2311.8387703488006</v>
      </c>
      <c r="H185" s="455">
        <f>IF(VLOOKUP(H177,ProductsRangeOper,3,FALSE)="Special Offer",SpecialOffero(H177,7,"FY-1"),MIN(H62,H77*capacity))</f>
        <v>2311.8387703488006</v>
      </c>
      <c r="I185" s="455">
        <f>IF(VLOOKUP(I177,ProductsRangeOper,3,FALSE)="Special Offer",SpecialOffero(I177,7,"FY-1"),MIN(I62,I77*capacity))</f>
        <v>2311.8387703488006</v>
      </c>
      <c r="J185" s="455">
        <f>IF(VLOOKUP(J177,ProductsRangeOper,3,FALSE)="Special Offer",SpecialOffero(J177,7,"FY-1"),MIN(J62,J77*capacity))</f>
        <v>9889.953716308195</v>
      </c>
      <c r="K185" s="455">
        <f>IF(VLOOKUP(K177,ProductsRangeOper,3,FALSE)="Special Offer",SpecialOffero(K177,7,"FY-1"),MIN(K62,K77*capacity))</f>
        <v>12441.698192517864</v>
      </c>
      <c r="L185" s="455">
        <f>IF(VLOOKUP(L177,ProductsRangeOper,3,FALSE)="Special Offer",SpecialOffero(L177,7,"FY-1"),MIN(L62,L77*capacity))</f>
        <v>658.92461418111634</v>
      </c>
      <c r="M185" s="457"/>
      <c r="N185" s="464"/>
      <c r="O185" s="476"/>
      <c r="P185" s="476"/>
      <c r="R185" s="477"/>
      <c r="S185" s="477"/>
    </row>
    <row r="186" spans="1:19" s="293" customFormat="1">
      <c r="A186" s="471"/>
      <c r="B186" s="707" t="s">
        <v>35</v>
      </c>
      <c r="C186" s="451" t="s">
        <v>40</v>
      </c>
      <c r="D186" s="455">
        <f>IF(VLOOKUP(D177,ProductsRangeOper,3,FALSE)="Special Offer",SpecialOffero(D177,8,"FY-1"),MIN(D63,D78*capacity))</f>
        <v>1292.5685785536161</v>
      </c>
      <c r="E186" s="455">
        <f>IF(VLOOKUP(E177,ProductsRangeOper,3,FALSE)="Special Offer",SpecialOffero(E177,8,"FY-1"),MIN(E63,E78*capacity))</f>
        <v>1127.3272112131465</v>
      </c>
      <c r="F186" s="455">
        <f>IF(VLOOKUP(F177,ProductsRangeOper,3,FALSE)="Special Offer",SpecialOffero(F177,8,"FY-1"),MIN(F63,F78*capacity))</f>
        <v>1085.55907477248</v>
      </c>
      <c r="G186" s="455">
        <f>IF(VLOOKUP(G177,ProductsRangeOper,3,FALSE)="Special Offer",SpecialOffero(G177,8,"FY-1"),MIN(G63,G78*capacity))</f>
        <v>2480</v>
      </c>
      <c r="H186" s="455">
        <f>IF(VLOOKUP(H177,ProductsRangeOper,3,FALSE)="Special Offer",SpecialOffero(H177,8,"FY-1"),MIN(H63,H78*capacity))</f>
        <v>2480</v>
      </c>
      <c r="I186" s="455">
        <f>IF(VLOOKUP(I177,ProductsRangeOper,3,FALSE)="Special Offer",SpecialOffero(I177,8,"FY-1"),MIN(I63,I78*capacity))</f>
        <v>2480</v>
      </c>
      <c r="J186" s="455">
        <f>IF(VLOOKUP(J177,ProductsRangeOper,3,FALSE)="Special Offer",SpecialOffero(J177,8,"FY-1"),MIN(J63,J78*capacity))</f>
        <v>8627.4314214463848</v>
      </c>
      <c r="K186" s="455">
        <f>IF(VLOOKUP(K177,ProductsRangeOper,3,FALSE)="Special Offer",SpecialOffero(K177,8,"FY-1"),MIN(K63,K78*capacity))</f>
        <v>10032.672788786853</v>
      </c>
      <c r="L186" s="455">
        <f>IF(VLOOKUP(L177,ProductsRangeOper,3,FALSE)="Special Offer",SpecialOffero(L177,8,"FY-1"),MIN(L63,L78*capacity))</f>
        <v>154.4409252275218</v>
      </c>
      <c r="M186" s="457"/>
      <c r="N186" s="464"/>
      <c r="O186" s="476"/>
      <c r="P186" s="476"/>
      <c r="R186" s="477"/>
      <c r="S186" s="477"/>
    </row>
    <row r="187" spans="1:19" s="293" customFormat="1">
      <c r="A187" s="443"/>
      <c r="B187" s="707" t="s">
        <v>35</v>
      </c>
      <c r="C187" s="451" t="s">
        <v>39</v>
      </c>
      <c r="D187" s="455">
        <f>IF(VLOOKUP(D177,ProductsRangeOper,3,FALSE)="Special Offer",SpecialOffero(D177,9,"FY-1"),MIN(D64,D79*capacity))</f>
        <v>1292.5685785536161</v>
      </c>
      <c r="E187" s="455">
        <f>IF(VLOOKUP(E177,ProductsRangeOper,3,FALSE)="Special Offer",SpecialOffero(E177,9,"FY-1"),MIN(E64,E79*capacity))</f>
        <v>1127.3272112131465</v>
      </c>
      <c r="F187" s="455">
        <f>IF(VLOOKUP(F177,ProductsRangeOper,3,FALSE)="Special Offer",SpecialOffero(F177,9,"FY-1"),MIN(F64,F79*capacity))</f>
        <v>1085.55907477248</v>
      </c>
      <c r="G187" s="455">
        <f>IF(VLOOKUP(G177,ProductsRangeOper,3,FALSE)="Special Offer",SpecialOffero(G177,9,"FY-1"),MIN(G64,G79*capacity))</f>
        <v>2480</v>
      </c>
      <c r="H187" s="455">
        <f>IF(VLOOKUP(H177,ProductsRangeOper,3,FALSE)="Special Offer",SpecialOffero(H177,9,"FY-1"),MIN(H64,H79*capacity))</f>
        <v>2480</v>
      </c>
      <c r="I187" s="455">
        <f>IF(VLOOKUP(I177,ProductsRangeOper,3,FALSE)="Special Offer",SpecialOffero(I177,9,"FY-1"),MIN(I64,I79*capacity))</f>
        <v>2480</v>
      </c>
      <c r="J187" s="455">
        <f>IF(VLOOKUP(J177,ProductsRangeOper,3,FALSE)="Special Offer",SpecialOffero(J177,9,"FY-1"),MIN(J64,J79*capacity))</f>
        <v>8627.4314214463848</v>
      </c>
      <c r="K187" s="455">
        <f>IF(VLOOKUP(K177,ProductsRangeOper,3,FALSE)="Special Offer",SpecialOffero(K177,9,"FY-1"),MIN(K64,K79*capacity))</f>
        <v>10032.672788786853</v>
      </c>
      <c r="L187" s="455">
        <f>IF(VLOOKUP(L177,ProductsRangeOper,3,FALSE)="Special Offer",SpecialOffero(L177,9,"FY-1"),MIN(L64,L79*capacity))</f>
        <v>154.4409252275218</v>
      </c>
      <c r="M187" s="457"/>
      <c r="N187" s="464"/>
      <c r="O187" s="476"/>
      <c r="P187" s="476"/>
      <c r="R187" s="477"/>
      <c r="S187" s="477"/>
    </row>
    <row r="188" spans="1:19" s="293" customFormat="1">
      <c r="A188" s="443"/>
      <c r="B188" s="707" t="s">
        <v>35</v>
      </c>
      <c r="C188" s="451" t="s">
        <v>38</v>
      </c>
      <c r="D188" s="455">
        <f>IF(VLOOKUP(D177,ProductsRangeOper,3,FALSE)="Special Offer",SpecialOffero(D177,10,"FY-1"),MIN(D65,D80*capacity))</f>
        <v>1040.5047318611987</v>
      </c>
      <c r="E188" s="455">
        <f>IF(VLOOKUP(E177,ProductsRangeOper,3,FALSE)="Special Offer",SpecialOffero(E177,10,"FY-1"),MIN(E65,E80*capacity))</f>
        <v>1216.2282226617604</v>
      </c>
      <c r="F188" s="455">
        <f>IF(VLOOKUP(F177,ProductsRangeOper,3,FALSE)="Special Offer",SpecialOffero(F177,10,"FY-1"),MIN(F65,F80*capacity))</f>
        <v>995.09581854144017</v>
      </c>
      <c r="G188" s="455">
        <f>IF(VLOOKUP(G177,ProductsRangeOper,3,FALSE)="Special Offer",SpecialOffero(G177,10,"FY-1"),MIN(G65,G80*capacity))</f>
        <v>2480</v>
      </c>
      <c r="H188" s="455">
        <f>IF(VLOOKUP(H177,ProductsRangeOper,3,FALSE)="Special Offer",SpecialOffero(H177,10,"FY-1"),MIN(H65,H80*capacity))</f>
        <v>2480</v>
      </c>
      <c r="I188" s="455">
        <f>IF(VLOOKUP(I177,ProductsRangeOper,3,FALSE)="Special Offer",SpecialOffero(I177,10,"FY-1"),MIN(I65,I80*capacity))</f>
        <v>2480</v>
      </c>
      <c r="J188" s="455">
        <f>IF(VLOOKUP(J177,ProductsRangeOper,3,FALSE)="Special Offer",SpecialOffero(J177,10,"FY-1"),MIN(J65,J80*capacity))</f>
        <v>7639.4952681388013</v>
      </c>
      <c r="K188" s="455">
        <f>IF(VLOOKUP(K177,ProductsRangeOper,3,FALSE)="Special Offer",SpecialOffero(K177,10,"FY-1"),MIN(K65,K80*capacity))</f>
        <v>9921.8618164512009</v>
      </c>
      <c r="L188" s="455">
        <f>IF(VLOOKUP(L177,ProductsRangeOper,3,FALSE)="Special Offer",SpecialOffero(L177,10,"FY-1"),MIN(L65,L80*capacity))</f>
        <v>266.81414234559998</v>
      </c>
      <c r="M188" s="457"/>
      <c r="O188" s="465"/>
      <c r="P188" s="465"/>
      <c r="R188" s="465"/>
      <c r="S188" s="465"/>
    </row>
    <row r="189" spans="1:19" s="293" customFormat="1">
      <c r="A189" s="466"/>
      <c r="B189" s="707" t="s">
        <v>35</v>
      </c>
      <c r="C189" s="451" t="s">
        <v>37</v>
      </c>
      <c r="D189" s="455">
        <f>IF(VLOOKUP(D177,ProductsRangeOper,3,FALSE)="Special Offer",SpecialOffero(D177,11,"FY-1"),MIN(D66,D81*capacity))</f>
        <v>642.39376770538263</v>
      </c>
      <c r="E189" s="455">
        <f>IF(VLOOKUP(E177,ProductsRangeOper,3,FALSE)="Special Offer",SpecialOffero(E177,11,"FY-1"),MIN(E66,E81*capacity))</f>
        <v>488.29015544041454</v>
      </c>
      <c r="F189" s="455">
        <f>IF(VLOOKUP(F177,ProductsRangeOper,3,FALSE)="Special Offer",SpecialOffero(F177,11,"FY-1"),MIN(F66,F81*capacity))</f>
        <v>1240</v>
      </c>
      <c r="G189" s="455">
        <f>IF(VLOOKUP(G177,ProductsRangeOper,3,FALSE)="Special Offer",SpecialOffero(G177,11,"FY-1"),MIN(G66,G81*capacity))</f>
        <v>1240</v>
      </c>
      <c r="H189" s="455">
        <f>IF(VLOOKUP(H177,ProductsRangeOper,3,FALSE)="Special Offer",SpecialOffero(H177,11,"FY-1"),MIN(H66,H81*capacity))</f>
        <v>1240</v>
      </c>
      <c r="I189" s="455">
        <f>IF(VLOOKUP(I177,ProductsRangeOper,3,FALSE)="Special Offer",SpecialOffero(I177,11,"FY-1"),MIN(I66,I81*capacity))</f>
        <v>1240</v>
      </c>
      <c r="J189" s="455">
        <f>IF(VLOOKUP(J177,ProductsRangeOper,3,FALSE)="Special Offer",SpecialOffero(J177,11,"FY-1"),MIN(J66,J81*capacity))</f>
        <v>1837.6062322946175</v>
      </c>
      <c r="K189" s="455">
        <f>IF(VLOOKUP(K177,ProductsRangeOper,3,FALSE)="Special Offer",SpecialOffero(K177,11,"FY-1"),MIN(K66,K81*capacity))</f>
        <v>1991.7098445595855</v>
      </c>
      <c r="L189" s="455">
        <f>IF(VLOOKUP(L177,ProductsRangeOper,3,FALSE)="Special Offer",SpecialOffero(L177,11,"FY-1"),MIN(L66,L81*capacity))</f>
        <v>0</v>
      </c>
      <c r="M189" s="457"/>
      <c r="O189" s="465"/>
      <c r="P189" s="465"/>
      <c r="R189" s="465"/>
      <c r="S189" s="465"/>
    </row>
    <row r="190" spans="1:19" s="293" customFormat="1">
      <c r="A190" s="466"/>
      <c r="B190" s="707" t="s">
        <v>35</v>
      </c>
      <c r="C190" s="451" t="s">
        <v>36</v>
      </c>
      <c r="D190" s="455">
        <f>IF(VLOOKUP(D177,ProductsRangeOper,3,FALSE)="Special Offer",SpecialOffero(D177,12,"FY-1"),MIN(D67,D82*capacity))</f>
        <v>642.39376770538263</v>
      </c>
      <c r="E190" s="455">
        <f>IF(VLOOKUP(E177,ProductsRangeOper,3,FALSE)="Special Offer",SpecialOffero(E177,12,"FY-1"),MIN(E67,E82*capacity))</f>
        <v>420.71428571428572</v>
      </c>
      <c r="F190" s="455">
        <f>IF(VLOOKUP(F177,ProductsRangeOper,3,FALSE)="Special Offer",SpecialOffero(F177,12,"FY-1"),MIN(F67,F82*capacity))</f>
        <v>0</v>
      </c>
      <c r="G190" s="455">
        <f>IF(VLOOKUP(G177,ProductsRangeOper,3,FALSE)="Special Offer",SpecialOffero(G177,12,"FY-1"),MIN(G67,G82*capacity))</f>
        <v>1240</v>
      </c>
      <c r="H190" s="455">
        <f>IF(VLOOKUP(H177,ProductsRangeOper,3,FALSE)="Special Offer",SpecialOffero(H177,12,"FY-1"),MIN(H67,H82*capacity))</f>
        <v>1240</v>
      </c>
      <c r="I190" s="455">
        <f>IF(VLOOKUP(I177,ProductsRangeOper,3,FALSE)="Special Offer",SpecialOffero(I177,12,"FY-1"),MIN(I67,I82*capacity))</f>
        <v>1240</v>
      </c>
      <c r="J190" s="455">
        <f>IF(VLOOKUP(J177,ProductsRangeOper,3,FALSE)="Special Offer",SpecialOffero(J177,12,"FY-1"),MIN(J67,J82*capacity))</f>
        <v>1837.6062322946175</v>
      </c>
      <c r="K190" s="455">
        <f>IF(VLOOKUP(K177,ProductsRangeOper,3,FALSE)="Special Offer",SpecialOffero(K177,12,"FY-1"),MIN(K67,K82*capacity))</f>
        <v>2059.2857142857142</v>
      </c>
      <c r="L190" s="455">
        <f>IF(VLOOKUP(L177,ProductsRangeOper,3,FALSE)="Special Offer",SpecialOffero(L177,12,"FY-1"),MIN(L67,L82*capacity))</f>
        <v>0</v>
      </c>
      <c r="M190" s="455"/>
      <c r="O190" s="465"/>
      <c r="P190" s="465"/>
      <c r="R190" s="465"/>
      <c r="S190" s="465"/>
    </row>
    <row r="191" spans="1:19" s="293" customFormat="1">
      <c r="A191" s="466"/>
      <c r="B191" s="707" t="s">
        <v>34</v>
      </c>
      <c r="C191" s="448" t="s">
        <v>47</v>
      </c>
      <c r="D191" s="455">
        <f>IF(VLOOKUP(D177,ProductsRangeOper,3,FALSE)="Special Offer",SpecialOffero(D177,1,"FY-2"),MIN(D101,D116*capacity))</f>
        <v>391.18490566037747</v>
      </c>
      <c r="E191" s="455">
        <f>IF(VLOOKUP(E177,ProductsRangeOper,3,FALSE)="Special Offer",SpecialOffero(E177,1,"FY-2"),MIN(E101,E116*capacity))</f>
        <v>510.66009852216746</v>
      </c>
      <c r="F191" s="455">
        <f>IF(VLOOKUP(F177,ProductsRangeOper,3,FALSE)="Special Offer",SpecialOffero(F177,1,"FY-2"),MIN(F101,F116*capacity))</f>
        <v>0</v>
      </c>
      <c r="G191" s="455">
        <f>IF(VLOOKUP(G177,ProductsRangeOper,3,FALSE)="Special Offer",SpecialOffero(G177,1,"FY-2"),MIN(G101,G116*capacity))</f>
        <v>1230.4948293792004</v>
      </c>
      <c r="H191" s="455">
        <f>IF(VLOOKUP(H177,ProductsRangeOper,3,FALSE)="Special Offer",SpecialOffero(H177,1,"FY-2"),MIN(H101,H116*capacity))</f>
        <v>1230.4948293792004</v>
      </c>
      <c r="I191" s="455">
        <f>IF(VLOOKUP(I177,ProductsRangeOper,3,FALSE)="Special Offer",SpecialOffero(I177,1,"FY-2"),MIN(I101,I116*capacity))</f>
        <v>1230.4948293792004</v>
      </c>
      <c r="J191" s="455">
        <f>IF(VLOOKUP(J177,ProductsRangeOper,3,FALSE)="Special Offer",SpecialOffero(J177,1,"FY-2"),MIN(J101,J116*capacity))</f>
        <v>2088.8150943396226</v>
      </c>
      <c r="K191" s="455">
        <f>IF(VLOOKUP(K177,ProductsRangeOper,3,FALSE)="Special Offer",SpecialOffero(K177,1,"FY-2"),MIN(K101,K116*capacity))</f>
        <v>1969.3399014778324</v>
      </c>
      <c r="L191" s="455">
        <f>IF(VLOOKUP(L177,ProductsRangeOper,3,FALSE)="Special Offer",SpecialOffero(L177,1,"FY-2"),MIN(L101,L116*capacity))</f>
        <v>28.515511862398853</v>
      </c>
      <c r="M191" s="455"/>
      <c r="O191" s="465"/>
      <c r="P191" s="465"/>
      <c r="R191" s="465"/>
      <c r="S191" s="465"/>
    </row>
    <row r="192" spans="1:19" s="293" customFormat="1">
      <c r="A192" s="471"/>
      <c r="B192" s="707" t="s">
        <v>34</v>
      </c>
      <c r="C192" s="448" t="s">
        <v>46</v>
      </c>
      <c r="D192" s="455">
        <f>IF(VLOOKUP(D177,ProductsRangeOper,3,FALSE)="Special Offer",SpecialOffero(D177,2,"FY-2"),MIN(D102,D117*capacity))</f>
        <v>391.18490566037747</v>
      </c>
      <c r="E192" s="455">
        <f>IF(VLOOKUP(E177,ProductsRangeOper,3,FALSE)="Special Offer",SpecialOffero(E177,2,"FY-2"),MIN(E102,E117*capacity))</f>
        <v>440.67335487162052</v>
      </c>
      <c r="F192" s="455">
        <f>IF(VLOOKUP(F177,ProductsRangeOper,3,FALSE)="Special Offer",SpecialOffero(F177,2,"FY-2"),MIN(F102,F117*capacity))</f>
        <v>0</v>
      </c>
      <c r="G192" s="455">
        <f>IF(VLOOKUP(G177,ProductsRangeOper,3,FALSE)="Special Offer",SpecialOffero(G177,2,"FY-2"),MIN(G102,G117*capacity))</f>
        <v>1230.4948293792004</v>
      </c>
      <c r="H192" s="455">
        <f>IF(VLOOKUP(H177,ProductsRangeOper,3,FALSE)="Special Offer",SpecialOffero(H177,2,"FY-2"),MIN(H102,H117*capacity))</f>
        <v>1230.4948293792004</v>
      </c>
      <c r="I192" s="455">
        <f>IF(VLOOKUP(I177,ProductsRangeOper,3,FALSE)="Special Offer",SpecialOffero(I177,2,"FY-2"),MIN(I102,I117*capacity))</f>
        <v>1230.4948293792004</v>
      </c>
      <c r="J192" s="455">
        <f>IF(VLOOKUP(J177,ProductsRangeOper,3,FALSE)="Special Offer",SpecialOffero(J177,2,"FY-2"),MIN(J102,J117*capacity))</f>
        <v>2088.8150943396226</v>
      </c>
      <c r="K192" s="455">
        <f>IF(VLOOKUP(K177,ProductsRangeOper,3,FALSE)="Special Offer",SpecialOffero(K177,2,"FY-2"),MIN(K102,K117*capacity))</f>
        <v>2039.3266451283796</v>
      </c>
      <c r="L192" s="455">
        <f>IF(VLOOKUP(L177,ProductsRangeOper,3,FALSE)="Special Offer",SpecialOffero(L177,2,"FY-2"),MIN(L102,L117*capacity))</f>
        <v>28.515511862398853</v>
      </c>
      <c r="M192" s="457"/>
      <c r="N192" s="464"/>
      <c r="O192" s="476"/>
      <c r="P192" s="476"/>
      <c r="R192" s="477"/>
      <c r="S192" s="477"/>
    </row>
    <row r="193" spans="1:19" s="293" customFormat="1">
      <c r="A193" s="471"/>
      <c r="B193" s="707" t="s">
        <v>34</v>
      </c>
      <c r="C193" s="451" t="s">
        <v>45</v>
      </c>
      <c r="D193" s="455">
        <f>IF(VLOOKUP(D177,ProductsRangeOper,3,FALSE)="Special Offer",SpecialOffero(D177,3,"FY-2"),MIN(D103,D118*capacity))</f>
        <v>391.18490566037747</v>
      </c>
      <c r="E193" s="455">
        <f>IF(VLOOKUP(E177,ProductsRangeOper,3,FALSE)="Special Offer",SpecialOffero(E177,3,"FY-2"),MIN(E103,E118*capacity))</f>
        <v>510.66009852216746</v>
      </c>
      <c r="F193" s="455">
        <f>IF(VLOOKUP(F177,ProductsRangeOper,3,FALSE)="Special Offer",SpecialOffero(F177,3,"FY-2"),MIN(F103,F118*capacity))</f>
        <v>0</v>
      </c>
      <c r="G193" s="455">
        <f>IF(VLOOKUP(G177,ProductsRangeOper,3,FALSE)="Special Offer",SpecialOffero(G177,3,"FY-2"),MIN(G103,G118*capacity))</f>
        <v>1240</v>
      </c>
      <c r="H193" s="455">
        <f>IF(VLOOKUP(H177,ProductsRangeOper,3,FALSE)="Special Offer",SpecialOffero(H177,3,"FY-2"),MIN(H103,H118*capacity))</f>
        <v>1240</v>
      </c>
      <c r="I193" s="455">
        <f>IF(VLOOKUP(I177,ProductsRangeOper,3,FALSE)="Special Offer",SpecialOffero(I177,3,"FY-2"),MIN(I103,I118*capacity))</f>
        <v>1240</v>
      </c>
      <c r="J193" s="455">
        <f>IF(VLOOKUP(J177,ProductsRangeOper,3,FALSE)="Special Offer",SpecialOffero(J177,3,"FY-2"),MIN(J103,J118*capacity))</f>
        <v>2088.8150943396226</v>
      </c>
      <c r="K193" s="455">
        <f>IF(VLOOKUP(K177,ProductsRangeOper,3,FALSE)="Special Offer",SpecialOffero(K177,3,"FY-2"),MIN(K103,K118*capacity))</f>
        <v>1969.3399014778324</v>
      </c>
      <c r="L193" s="455">
        <f>IF(VLOOKUP(L177,ProductsRangeOper,3,FALSE)="Special Offer",SpecialOffero(L177,3,"FY-2"),MIN(L103,L118*capacity))</f>
        <v>0</v>
      </c>
      <c r="M193" s="457"/>
      <c r="N193" s="464"/>
      <c r="O193" s="476"/>
      <c r="P193" s="476"/>
      <c r="R193" s="477"/>
      <c r="S193" s="477"/>
    </row>
    <row r="194" spans="1:19" s="293" customFormat="1">
      <c r="A194" s="471"/>
      <c r="B194" s="707" t="s">
        <v>34</v>
      </c>
      <c r="C194" s="451" t="s">
        <v>44</v>
      </c>
      <c r="D194" s="455">
        <f>IF(VLOOKUP(D177,ProductsRangeOper,3,FALSE)="Special Offer",SpecialOffero(D177,4,"FY-2"),MIN(D104,D119*capacity))</f>
        <v>470.79802167552015</v>
      </c>
      <c r="E194" s="455">
        <f>IF(VLOOKUP(E177,ProductsRangeOper,3,FALSE)="Special Offer",SpecialOffero(E177,4,"FY-2"),MIN(E104,E119*capacity))</f>
        <v>655.20278099652364</v>
      </c>
      <c r="F194" s="455">
        <f>IF(VLOOKUP(F177,ProductsRangeOper,3,FALSE)="Special Offer",SpecialOffero(F177,4,"FY-2"),MIN(F104,F119*capacity))</f>
        <v>0</v>
      </c>
      <c r="G194" s="455">
        <f>IF(VLOOKUP(G177,ProductsRangeOper,3,FALSE)="Special Offer",SpecialOffero(G177,4,"FY-2"),MIN(G104,G119*capacity))</f>
        <v>1240</v>
      </c>
      <c r="H194" s="455">
        <f>IF(VLOOKUP(H177,ProductsRangeOper,3,FALSE)="Special Offer",SpecialOffero(H177,4,"FY-2"),MIN(H104,H119*capacity))</f>
        <v>1240</v>
      </c>
      <c r="I194" s="455">
        <f>IF(VLOOKUP(I177,ProductsRangeOper,3,FALSE)="Special Offer",SpecialOffero(I177,4,"FY-2"),MIN(I104,I119*capacity))</f>
        <v>1240</v>
      </c>
      <c r="J194" s="455">
        <f>IF(VLOOKUP(J177,ProductsRangeOper,3,FALSE)="Special Offer",SpecialOffero(J177,4,"FY-2"),MIN(J104,J119*capacity))</f>
        <v>9217.7296875417615</v>
      </c>
      <c r="K194" s="455">
        <f>IF(VLOOKUP(K177,ProductsRangeOper,3,FALSE)="Special Offer",SpecialOffero(K177,4,"FY-2"),MIN(K104,K119*capacity))</f>
        <v>9264.7972190034761</v>
      </c>
      <c r="L194" s="455">
        <f>IF(VLOOKUP(L177,ProductsRangeOper,3,FALSE)="Special Offer",SpecialOffero(L177,4,"FY-2"),MIN(L104,L119*capacity))</f>
        <v>231.4722907827163</v>
      </c>
      <c r="M194" s="457"/>
      <c r="N194" s="464"/>
      <c r="O194" s="476"/>
      <c r="P194" s="476"/>
      <c r="R194" s="477"/>
      <c r="S194" s="477"/>
    </row>
    <row r="195" spans="1:19" s="293" customFormat="1">
      <c r="A195" s="471"/>
      <c r="B195" s="707" t="s">
        <v>34</v>
      </c>
      <c r="C195" s="451" t="s">
        <v>43</v>
      </c>
      <c r="D195" s="455">
        <f>IF(VLOOKUP(D177,ProductsRangeOper,3,FALSE)="Special Offer",SpecialOffero(D177,5,"FY-2"),MIN(D105,D120*capacity))</f>
        <v>1318.0419580419582</v>
      </c>
      <c r="E195" s="455">
        <f>IF(VLOOKUP(E177,ProductsRangeOper,3,FALSE)="Special Offer",SpecialOffero(E177,5,"FY-2"),MIN(E105,E120*capacity))</f>
        <v>1280.8566721581549</v>
      </c>
      <c r="F195" s="455">
        <f>IF(VLOOKUP(F177,ProductsRangeOper,3,FALSE)="Special Offer",SpecialOffero(F177,5,"FY-2"),MIN(F105,F120*capacity))</f>
        <v>1059.2955487699203</v>
      </c>
      <c r="G195" s="455">
        <f>IF(VLOOKUP(G177,ProductsRangeOper,3,FALSE)="Special Offer",SpecialOffero(G177,5,"FY-2"),MIN(G105,G120*capacity))</f>
        <v>1968.7917270067207</v>
      </c>
      <c r="H195" s="455">
        <f>IF(VLOOKUP(H177,ProductsRangeOper,3,FALSE)="Special Offer",SpecialOffero(H177,5,"FY-2"),MIN(H105,H120*capacity))</f>
        <v>1968.7917270067207</v>
      </c>
      <c r="I195" s="455">
        <f>IF(VLOOKUP(I177,ProductsRangeOper,3,FALSE)="Special Offer",SpecialOffero(I177,5,"FY-2"),MIN(I105,I120*capacity))</f>
        <v>1968.7917270067207</v>
      </c>
      <c r="J195" s="455">
        <f>IF(VLOOKUP(J177,ProductsRangeOper,3,FALSE)="Special Offer",SpecialOffero(J177,5,"FY-2"),MIN(J105,J120*capacity))</f>
        <v>8601.9580419580434</v>
      </c>
      <c r="K195" s="455">
        <f>IF(VLOOKUP(K177,ProductsRangeOper,3,FALSE)="Special Offer",SpecialOffero(K177,5,"FY-2"),MIN(K105,K120*capacity))</f>
        <v>9879.1433278418444</v>
      </c>
      <c r="L195" s="455">
        <f>IF(VLOOKUP(L177,ProductsRangeOper,3,FALSE)="Special Offer",SpecialOffero(L177,5,"FY-2"),MIN(L105,L120*capacity))</f>
        <v>1714.3292702099207</v>
      </c>
      <c r="M195" s="457"/>
      <c r="N195" s="464"/>
      <c r="O195" s="476"/>
      <c r="P195" s="476"/>
      <c r="R195" s="477"/>
      <c r="S195" s="477"/>
    </row>
    <row r="196" spans="1:19" s="293" customFormat="1">
      <c r="A196" s="471"/>
      <c r="B196" s="707" t="s">
        <v>34</v>
      </c>
      <c r="C196" s="451" t="s">
        <v>42</v>
      </c>
      <c r="D196" s="455">
        <f>IF(VLOOKUP(D177,ProductsRangeOper,3,FALSE)="Special Offer",SpecialOffero(D177,6,"FY-2"),MIN(D106,D121*capacity))</f>
        <v>1332.4421593830334</v>
      </c>
      <c r="E196" s="455">
        <f>IF(VLOOKUP(E177,ProductsRangeOper,3,FALSE)="Special Offer",SpecialOffero(E177,6,"FY-2"),MIN(E106,E121*capacity))</f>
        <v>1261.0431495556359</v>
      </c>
      <c r="F196" s="455">
        <f>IF(VLOOKUP(F177,ProductsRangeOper,3,FALSE)="Special Offer",SpecialOffero(F177,6,"FY-2"),MIN(F106,F121*capacity))</f>
        <v>1155.5951441126401</v>
      </c>
      <c r="G196" s="455">
        <f>IF(VLOOKUP(G177,ProductsRangeOper,3,FALSE)="Special Offer",SpecialOffero(G177,6,"FY-2"),MIN(G106,G121*capacity))</f>
        <v>2460.9896587584008</v>
      </c>
      <c r="H196" s="455">
        <f>IF(VLOOKUP(H177,ProductsRangeOper,3,FALSE)="Special Offer",SpecialOffero(H177,6,"FY-2"),MIN(H106,H121*capacity))</f>
        <v>2460.9896587584008</v>
      </c>
      <c r="I196" s="455">
        <f>IF(VLOOKUP(I177,ProductsRangeOper,3,FALSE)="Special Offer",SpecialOffero(I177,6,"FY-2"),MIN(I106,I121*capacity))</f>
        <v>2460.9896587584008</v>
      </c>
      <c r="J196" s="455">
        <f>IF(VLOOKUP(J177,ProductsRangeOper,3,FALSE)="Special Offer",SpecialOffero(J177,6,"FY-2"),MIN(J106,J121*capacity))</f>
        <v>11067.557840616966</v>
      </c>
      <c r="K196" s="455">
        <f>IF(VLOOKUP(K177,ProductsRangeOper,3,FALSE)="Special Offer",SpecialOffero(K177,6,"FY-2"),MIN(K106,K121*capacity))</f>
        <v>12378.956850444363</v>
      </c>
      <c r="L196" s="455">
        <f>IF(VLOOKUP(L177,ProductsRangeOper,3,FALSE)="Special Offer",SpecialOffero(L177,6,"FY-2"),MIN(L106,L121*capacity))</f>
        <v>141.43587961215962</v>
      </c>
      <c r="M196" s="457"/>
      <c r="N196" s="464"/>
      <c r="O196" s="476"/>
      <c r="P196" s="476"/>
      <c r="R196" s="477"/>
      <c r="S196" s="477"/>
    </row>
    <row r="197" spans="1:19" s="293" customFormat="1">
      <c r="A197" s="471"/>
      <c r="B197" s="707" t="s">
        <v>34</v>
      </c>
      <c r="C197" s="451" t="s">
        <v>41</v>
      </c>
      <c r="D197" s="455">
        <f>IF(VLOOKUP(D177,ProductsRangeOper,3,FALSE)="Special Offer",SpecialOffero(D177,7,"FY-2"),MIN(D107,D122*capacity))</f>
        <v>1332.4421593830334</v>
      </c>
      <c r="E197" s="455">
        <f>IF(VLOOKUP(E177,ProductsRangeOper,3,FALSE)="Special Offer",SpecialOffero(E177,7,"FY-2"),MIN(E107,E122*capacity))</f>
        <v>1261.0431495556359</v>
      </c>
      <c r="F197" s="455">
        <f>IF(VLOOKUP(F177,ProductsRangeOper,3,FALSE)="Special Offer",SpecialOffero(F177,7,"FY-2"),MIN(F107,F122*capacity))</f>
        <v>1155.5951441126401</v>
      </c>
      <c r="G197" s="455">
        <f>IF(VLOOKUP(G177,ProductsRangeOper,3,FALSE)="Special Offer",SpecialOffero(G177,7,"FY-2"),MIN(G107,G122*capacity))</f>
        <v>2460.9896587584008</v>
      </c>
      <c r="H197" s="455">
        <f>IF(VLOOKUP(H177,ProductsRangeOper,3,FALSE)="Special Offer",SpecialOffero(H177,7,"FY-2"),MIN(H107,H122*capacity))</f>
        <v>2460.9896587584008</v>
      </c>
      <c r="I197" s="455">
        <f>IF(VLOOKUP(I177,ProductsRangeOper,3,FALSE)="Special Offer",SpecialOffero(I177,7,"FY-2"),MIN(I107,I122*capacity))</f>
        <v>2460.9896587584008</v>
      </c>
      <c r="J197" s="455">
        <f>IF(VLOOKUP(J177,ProductsRangeOper,3,FALSE)="Special Offer",SpecialOffero(J177,7,"FY-2"),MIN(J107,J122*capacity))</f>
        <v>11067.557840616966</v>
      </c>
      <c r="K197" s="455">
        <f>IF(VLOOKUP(K177,ProductsRangeOper,3,FALSE)="Special Offer",SpecialOffero(K177,7,"FY-2"),MIN(K107,K122*capacity))</f>
        <v>12378.956850444363</v>
      </c>
      <c r="L197" s="455">
        <f>IF(VLOOKUP(L177,ProductsRangeOper,3,FALSE)="Special Offer",SpecialOffero(L177,7,"FY-2"),MIN(L107,L122*capacity))</f>
        <v>141.43587961215962</v>
      </c>
      <c r="M197" s="457"/>
      <c r="N197" s="464"/>
      <c r="O197" s="476"/>
      <c r="P197" s="476"/>
      <c r="R197" s="477"/>
      <c r="S197" s="477"/>
    </row>
    <row r="198" spans="1:19" s="293" customFormat="1">
      <c r="A198" s="471"/>
      <c r="B198" s="707" t="s">
        <v>34</v>
      </c>
      <c r="C198" s="451" t="s">
        <v>40</v>
      </c>
      <c r="D198" s="455">
        <f>IF(VLOOKUP(D177,ProductsRangeOper,3,FALSE)="Special Offer",SpecialOffero(D177,8,"FY-2"),MIN(D108,D123*capacity))</f>
        <v>1374.4490276959343</v>
      </c>
      <c r="E198" s="455">
        <f>IF(VLOOKUP(E177,ProductsRangeOper,3,FALSE)="Special Offer",SpecialOffero(E177,8,"FY-2"),MIN(E108,E123*capacity))</f>
        <v>1294.6945596076805</v>
      </c>
      <c r="F198" s="455">
        <f>IF(VLOOKUP(F177,ProductsRangeOper,3,FALSE)="Special Offer",SpecialOffero(F177,8,"FY-2"),MIN(F108,F123*capacity))</f>
        <v>1155.5951441126401</v>
      </c>
      <c r="G198" s="455">
        <f>IF(VLOOKUP(G177,ProductsRangeOper,3,FALSE)="Special Offer",SpecialOffero(G177,8,"FY-2"),MIN(G108,G123*capacity))</f>
        <v>2480</v>
      </c>
      <c r="H198" s="455">
        <f>IF(VLOOKUP(H177,ProductsRangeOper,3,FALSE)="Special Offer",SpecialOffero(H177,8,"FY-2"),MIN(H108,H123*capacity))</f>
        <v>2480</v>
      </c>
      <c r="I198" s="455">
        <f>IF(VLOOKUP(I177,ProductsRangeOper,3,FALSE)="Special Offer",SpecialOffero(I177,8,"FY-2"),MIN(I108,I123*capacity))</f>
        <v>2480</v>
      </c>
      <c r="J198" s="455">
        <f>IF(VLOOKUP(J177,ProductsRangeOper,3,FALSE)="Special Offer",SpecialOffero(J177,8,"FY-2"),MIN(J108,J123*capacity))</f>
        <v>9785.550972304065</v>
      </c>
      <c r="K198" s="455">
        <f>IF(VLOOKUP(K177,ProductsRangeOper,3,FALSE)="Special Offer",SpecialOffero(K177,8,"FY-2"),MIN(K108,K123*capacity))</f>
        <v>10893.680539822084</v>
      </c>
      <c r="L198" s="455">
        <f>IF(VLOOKUP(L177,ProductsRangeOper,3,FALSE)="Special Offer",SpecialOffero(L177,8,"FY-2"),MIN(L108,L123*capacity))</f>
        <v>296.02975645759579</v>
      </c>
      <c r="M198" s="457"/>
      <c r="N198" s="464"/>
      <c r="O198" s="476"/>
      <c r="P198" s="476"/>
      <c r="R198" s="477"/>
      <c r="S198" s="477"/>
    </row>
    <row r="199" spans="1:19" s="293" customFormat="1">
      <c r="A199" s="471"/>
      <c r="B199" s="707" t="s">
        <v>34</v>
      </c>
      <c r="C199" s="451" t="s">
        <v>39</v>
      </c>
      <c r="D199" s="455">
        <f>IF(VLOOKUP(D177,ProductsRangeOper,3,FALSE)="Special Offer",SpecialOffero(D177,9,"FY-2"),MIN(D109,D124*capacity))</f>
        <v>1374.4490276959343</v>
      </c>
      <c r="E199" s="455">
        <f>IF(VLOOKUP(E177,ProductsRangeOper,3,FALSE)="Special Offer",SpecialOffero(E177,9,"FY-2"),MIN(E109,E124*capacity))</f>
        <v>1294.6945596076805</v>
      </c>
      <c r="F199" s="455">
        <f>IF(VLOOKUP(F177,ProductsRangeOper,3,FALSE)="Special Offer",SpecialOffero(F177,9,"FY-2"),MIN(F109,F124*capacity))</f>
        <v>1155.5951441126401</v>
      </c>
      <c r="G199" s="455">
        <f>IF(VLOOKUP(G177,ProductsRangeOper,3,FALSE)="Special Offer",SpecialOffero(G177,9,"FY-2"),MIN(G109,G124*capacity))</f>
        <v>2480</v>
      </c>
      <c r="H199" s="455">
        <f>IF(VLOOKUP(H177,ProductsRangeOper,3,FALSE)="Special Offer",SpecialOffero(H177,9,"FY-2"),MIN(H109,H124*capacity))</f>
        <v>2480</v>
      </c>
      <c r="I199" s="455">
        <f>IF(VLOOKUP(I177,ProductsRangeOper,3,FALSE)="Special Offer",SpecialOffero(I177,9,"FY-2"),MIN(I109,I124*capacity))</f>
        <v>2480</v>
      </c>
      <c r="J199" s="455">
        <f>IF(VLOOKUP(J177,ProductsRangeOper,3,FALSE)="Special Offer",SpecialOffero(J177,9,"FY-2"),MIN(J109,J124*capacity))</f>
        <v>9785.550972304065</v>
      </c>
      <c r="K199" s="455">
        <f>IF(VLOOKUP(K177,ProductsRangeOper,3,FALSE)="Special Offer",SpecialOffero(K177,9,"FY-2"),MIN(K109,K124*capacity))</f>
        <v>10893.680539822084</v>
      </c>
      <c r="L199" s="455">
        <f>IF(VLOOKUP(L177,ProductsRangeOper,3,FALSE)="Special Offer",SpecialOffero(L177,9,"FY-2"),MIN(L109,L124*capacity))</f>
        <v>296.02975645759579</v>
      </c>
      <c r="M199" s="457"/>
      <c r="N199" s="464"/>
      <c r="O199" s="476"/>
      <c r="P199" s="476"/>
      <c r="R199" s="477"/>
      <c r="S199" s="477"/>
    </row>
    <row r="200" spans="1:19" s="293" customFormat="1">
      <c r="A200" s="471"/>
      <c r="B200" s="707" t="s">
        <v>34</v>
      </c>
      <c r="C200" s="451" t="s">
        <v>38</v>
      </c>
      <c r="D200" s="455">
        <f>IF(VLOOKUP(D177,ProductsRangeOper,3,FALSE)="Special Offer",SpecialOffero(D177,10,"FY-2"),MIN(D110,D125*capacity))</f>
        <v>1123.2419547079858</v>
      </c>
      <c r="E200" s="455">
        <f>IF(VLOOKUP(E177,ProductsRangeOper,3,FALSE)="Special Offer",SpecialOffero(E177,10,"FY-2"),MIN(E110,E125*capacity))</f>
        <v>1280.8566721581549</v>
      </c>
      <c r="F200" s="455">
        <f>IF(VLOOKUP(F177,ProductsRangeOper,3,FALSE)="Special Offer",SpecialOffero(F177,10,"FY-2"),MIN(F110,F125*capacity))</f>
        <v>1059.2955487699203</v>
      </c>
      <c r="G200" s="455">
        <f>IF(VLOOKUP(G177,ProductsRangeOper,3,FALSE)="Special Offer",SpecialOffero(G177,10,"FY-2"),MIN(G110,G125*capacity))</f>
        <v>2480</v>
      </c>
      <c r="H200" s="455">
        <f>IF(VLOOKUP(H177,ProductsRangeOper,3,FALSE)="Special Offer",SpecialOffero(H177,10,"FY-2"),MIN(H110,H125*capacity))</f>
        <v>2480</v>
      </c>
      <c r="I200" s="455">
        <f>IF(VLOOKUP(I177,ProductsRangeOper,3,FALSE)="Special Offer",SpecialOffero(I177,10,"FY-2"),MIN(I110,I125*capacity))</f>
        <v>2480</v>
      </c>
      <c r="J200" s="455">
        <f>IF(VLOOKUP(J177,ProductsRangeOper,3,FALSE)="Special Offer",SpecialOffero(J177,10,"FY-2"),MIN(J110,J125*capacity))</f>
        <v>8796.7580452920138</v>
      </c>
      <c r="K200" s="455">
        <f>IF(VLOOKUP(K177,ProductsRangeOper,3,FALSE)="Special Offer",SpecialOffero(K177,10,"FY-2"),MIN(K110,K125*capacity))</f>
        <v>9879.1433278418444</v>
      </c>
      <c r="L200" s="455">
        <f>IF(VLOOKUP(L177,ProductsRangeOper,3,FALSE)="Special Offer",SpecialOffero(L177,10,"FY-2"),MIN(L110,L125*capacity))</f>
        <v>180.70445123007812</v>
      </c>
      <c r="M200" s="457"/>
      <c r="N200" s="464"/>
      <c r="O200" s="476"/>
      <c r="P200" s="476"/>
      <c r="R200" s="477"/>
      <c r="S200" s="477"/>
    </row>
    <row r="201" spans="1:19" s="293" customFormat="1">
      <c r="A201" s="471"/>
      <c r="B201" s="707" t="s">
        <v>34</v>
      </c>
      <c r="C201" s="451" t="s">
        <v>37</v>
      </c>
      <c r="D201" s="455">
        <f>IF(VLOOKUP(D177,ProductsRangeOper,3,FALSE)="Special Offer",SpecialOffero(D177,11,"FY-2"),MIN(D111,D126*capacity))</f>
        <v>612.15454698835845</v>
      </c>
      <c r="E201" s="455">
        <f>IF(VLOOKUP(E177,ProductsRangeOper,3,FALSE)="Special Offer",SpecialOffero(E177,11,"FY-2"),MIN(E111,E126*capacity))</f>
        <v>510.66009852216746</v>
      </c>
      <c r="F201" s="455">
        <f>IF(VLOOKUP(F177,ProductsRangeOper,3,FALSE)="Special Offer",SpecialOffero(F177,11,"FY-2"),MIN(F111,F126*capacity))</f>
        <v>1240</v>
      </c>
      <c r="G201" s="455">
        <f>IF(VLOOKUP(G177,ProductsRangeOper,3,FALSE)="Special Offer",SpecialOffero(G177,11,"FY-2"),MIN(G111,G126*capacity))</f>
        <v>1240</v>
      </c>
      <c r="H201" s="455">
        <f>IF(VLOOKUP(H177,ProductsRangeOper,3,FALSE)="Special Offer",SpecialOffero(H177,11,"FY-2"),MIN(H111,H126*capacity))</f>
        <v>1240</v>
      </c>
      <c r="I201" s="455">
        <f>IF(VLOOKUP(I177,ProductsRangeOper,3,FALSE)="Special Offer",SpecialOffero(I177,11,"FY-2"),MIN(I111,I126*capacity))</f>
        <v>1240</v>
      </c>
      <c r="J201" s="455">
        <f>IF(VLOOKUP(J177,ProductsRangeOper,3,FALSE)="Special Offer",SpecialOffero(J177,11,"FY-2"),MIN(J111,J126*capacity))</f>
        <v>1867.8454530116414</v>
      </c>
      <c r="K201" s="455">
        <f>IF(VLOOKUP(K177,ProductsRangeOper,3,FALSE)="Special Offer",SpecialOffero(K177,11,"FY-2"),MIN(K111,K126*capacity))</f>
        <v>1969.3399014778324</v>
      </c>
      <c r="L201" s="455">
        <f>IF(VLOOKUP(L177,ProductsRangeOper,3,FALSE)="Special Offer",SpecialOffero(L177,11,"FY-2"),MIN(L111,L126*capacity))</f>
        <v>0</v>
      </c>
      <c r="M201" s="457"/>
      <c r="N201" s="464"/>
      <c r="O201" s="476"/>
      <c r="P201" s="476"/>
      <c r="R201" s="477"/>
      <c r="S201" s="477"/>
    </row>
    <row r="202" spans="1:19" s="293" customFormat="1">
      <c r="A202" s="471"/>
      <c r="B202" s="707" t="s">
        <v>34</v>
      </c>
      <c r="C202" s="451" t="s">
        <v>36</v>
      </c>
      <c r="D202" s="455">
        <f>IF(VLOOKUP(D177,ProductsRangeOper,3,FALSE)="Special Offer",SpecialOffero(D177,12,"FY-2"),MIN(D112,D127*capacity))</f>
        <v>612.15454698835845</v>
      </c>
      <c r="E202" s="455">
        <f>IF(VLOOKUP(E177,ProductsRangeOper,3,FALSE)="Special Offer",SpecialOffero(E177,12,"FY-2"),MIN(E112,E127*capacity))</f>
        <v>440.67335487162052</v>
      </c>
      <c r="F202" s="455">
        <f>IF(VLOOKUP(F177,ProductsRangeOper,3,FALSE)="Special Offer",SpecialOffero(F177,12,"FY-2"),MIN(F112,F127*capacity))</f>
        <v>0</v>
      </c>
      <c r="G202" s="455">
        <f>IF(VLOOKUP(G177,ProductsRangeOper,3,FALSE)="Special Offer",SpecialOffero(G177,12,"FY-2"),MIN(G112,G127*capacity))</f>
        <v>1240</v>
      </c>
      <c r="H202" s="455">
        <f>IF(VLOOKUP(H177,ProductsRangeOper,3,FALSE)="Special Offer",SpecialOffero(H177,12,"FY-2"),MIN(H112,H127*capacity))</f>
        <v>1240</v>
      </c>
      <c r="I202" s="455">
        <f>IF(VLOOKUP(I177,ProductsRangeOper,3,FALSE)="Special Offer",SpecialOffero(I177,12,"FY-2"),MIN(I112,I127*capacity))</f>
        <v>1240</v>
      </c>
      <c r="J202" s="455">
        <f>IF(VLOOKUP(J177,ProductsRangeOper,3,FALSE)="Special Offer",SpecialOffero(J177,12,"FY-2"),MIN(J112,J127*capacity))</f>
        <v>1867.8454530116414</v>
      </c>
      <c r="K202" s="455">
        <f>IF(VLOOKUP(K177,ProductsRangeOper,3,FALSE)="Special Offer",SpecialOffero(K177,12,"FY-2"),MIN(K112,K127*capacity))</f>
        <v>2039.3266451283796</v>
      </c>
      <c r="L202" s="455">
        <f>IF(VLOOKUP(L177,ProductsRangeOper,3,FALSE)="Special Offer",SpecialOffero(L177,12,"FY-2"),MIN(L112,L127*capacity))</f>
        <v>0</v>
      </c>
      <c r="M202" s="457"/>
      <c r="N202" s="464"/>
      <c r="O202" s="476"/>
      <c r="P202" s="476"/>
      <c r="R202" s="477"/>
      <c r="S202" s="477"/>
    </row>
    <row r="203" spans="1:19" s="293" customFormat="1">
      <c r="A203" s="471"/>
      <c r="B203" s="707" t="s">
        <v>33</v>
      </c>
      <c r="C203" s="448" t="s">
        <v>47</v>
      </c>
      <c r="D203" s="455">
        <f>IF(VLOOKUP(D177,ProductsRangeOper,3,FALSE)="Special Offer",SpecialOffero(D177,1,"FY-3"),MIN(D146,D161*capacity))</f>
        <v>351.24463519313304</v>
      </c>
      <c r="E203" s="455">
        <f>IF(VLOOKUP(E177,ProductsRangeOper,3,FALSE)="Special Offer",SpecialOffero(E177,1,"FY-3"),MIN(E146,E161*capacity))</f>
        <v>729.84956470272004</v>
      </c>
      <c r="F203" s="455">
        <f>IF(VLOOKUP(F177,ProductsRangeOper,3,FALSE)="Special Offer",SpecialOffero(F177,1,"FY-3"),MIN(F146,F161*capacity))</f>
        <v>0</v>
      </c>
      <c r="G203" s="455">
        <f>IF(VLOOKUP(G177,ProductsRangeOper,3,FALSE)="Special Offer",SpecialOffero(G177,1,"FY-3"),MIN(G146,G161*capacity))</f>
        <v>1240</v>
      </c>
      <c r="H203" s="455">
        <f>IF(VLOOKUP(H177,ProductsRangeOper,3,FALSE)="Special Offer",SpecialOffero(H177,1,"FY-3"),MIN(H146,H161*capacity))</f>
        <v>1240</v>
      </c>
      <c r="I203" s="455">
        <f>IF(VLOOKUP(I177,ProductsRangeOper,3,FALSE)="Special Offer",SpecialOffero(I177,1,"FY-3"),MIN(I146,I161*capacity))</f>
        <v>1240</v>
      </c>
      <c r="J203" s="455">
        <f>IF(VLOOKUP(J177,ProductsRangeOper,3,FALSE)="Special Offer",SpecialOffero(J177,1,"FY-3"),MIN(J146,J161*capacity))</f>
        <v>2128.755364806867</v>
      </c>
      <c r="K203" s="455">
        <f>IF(VLOOKUP(K177,ProductsRangeOper,3,FALSE)="Special Offer",SpecialOffero(K177,1,"FY-3"),MIN(K146,K161*capacity))</f>
        <v>2948.8871301120007</v>
      </c>
      <c r="L203" s="455">
        <f>IF(VLOOKUP(L177,ProductsRangeOper,3,FALSE)="Special Offer",SpecialOffero(L177,1,"FY-3"),MIN(L146,L161*capacity))</f>
        <v>41.263305185279023</v>
      </c>
      <c r="M203" s="457"/>
      <c r="N203" s="464"/>
      <c r="O203" s="476"/>
      <c r="P203" s="476"/>
      <c r="R203" s="477"/>
      <c r="S203" s="477"/>
    </row>
    <row r="204" spans="1:19" s="293" customFormat="1">
      <c r="A204" s="443"/>
      <c r="B204" s="707" t="s">
        <v>33</v>
      </c>
      <c r="C204" s="448" t="s">
        <v>46</v>
      </c>
      <c r="D204" s="455">
        <f>IF(VLOOKUP(D177,ProductsRangeOper,3,FALSE)="Special Offer",SpecialOffero(D177,2,"FY-3"),MIN(D147,D162*capacity))</f>
        <v>351.24463519313304</v>
      </c>
      <c r="E204" s="455">
        <f>IF(VLOOKUP(E177,ProductsRangeOper,3,FALSE)="Special Offer",SpecialOffero(E177,2,"FY-3"),MIN(E147,E162*capacity))</f>
        <v>608.20797058560015</v>
      </c>
      <c r="F204" s="455">
        <f>IF(VLOOKUP(F177,ProductsRangeOper,3,FALSE)="Special Offer",SpecialOffero(F177,2,"FY-3"),MIN(F147,F162*capacity))</f>
        <v>0</v>
      </c>
      <c r="G204" s="455">
        <f>IF(VLOOKUP(G177,ProductsRangeOper,3,FALSE)="Special Offer",SpecialOffero(G177,2,"FY-3"),MIN(G147,G162*capacity))</f>
        <v>1240</v>
      </c>
      <c r="H204" s="455">
        <f>IF(VLOOKUP(H177,ProductsRangeOper,3,FALSE)="Special Offer",SpecialOffero(H177,2,"FY-3"),MIN(H147,H162*capacity))</f>
        <v>1240</v>
      </c>
      <c r="I204" s="455">
        <f>IF(VLOOKUP(I177,ProductsRangeOper,3,FALSE)="Special Offer",SpecialOffero(I177,2,"FY-3"),MIN(I147,I162*capacity))</f>
        <v>1240</v>
      </c>
      <c r="J204" s="455">
        <f>IF(VLOOKUP(J177,ProductsRangeOper,3,FALSE)="Special Offer",SpecialOffero(J177,2,"FY-3"),MIN(J147,J162*capacity))</f>
        <v>2128.755364806867</v>
      </c>
      <c r="K204" s="455">
        <f>IF(VLOOKUP(K177,ProductsRangeOper,3,FALSE)="Special Offer",SpecialOffero(K177,2,"FY-3"),MIN(K147,K162*capacity))</f>
        <v>2948.8871301120007</v>
      </c>
      <c r="L204" s="455">
        <f>IF(VLOOKUP(L177,ProductsRangeOper,3,FALSE)="Special Offer",SpecialOffero(L177,2,"FY-3"),MIN(L147,L162*capacity))</f>
        <v>162.90489930239892</v>
      </c>
      <c r="M204" s="457"/>
      <c r="N204" s="464"/>
      <c r="O204" s="476"/>
      <c r="P204" s="476"/>
      <c r="R204" s="477"/>
      <c r="S204" s="477"/>
    </row>
    <row r="205" spans="1:19" s="293" customFormat="1">
      <c r="A205" s="443"/>
      <c r="B205" s="707" t="s">
        <v>33</v>
      </c>
      <c r="C205" s="451" t="s">
        <v>45</v>
      </c>
      <c r="D205" s="455">
        <f>IF(VLOOKUP(D177,ProductsRangeOper,3,FALSE)="Special Offer",SpecialOffero(D177,3,"FY-3"),MIN(D148,D163*capacity))</f>
        <v>351.24463519313304</v>
      </c>
      <c r="E205" s="455">
        <f>IF(VLOOKUP(E177,ProductsRangeOper,3,FALSE)="Special Offer",SpecialOffero(E177,3,"FY-3"),MIN(E148,E163*capacity))</f>
        <v>729.84956470272004</v>
      </c>
      <c r="F205" s="455">
        <f>IF(VLOOKUP(F177,ProductsRangeOper,3,FALSE)="Special Offer",SpecialOffero(F177,3,"FY-3"),MIN(F148,F163*capacity))</f>
        <v>0</v>
      </c>
      <c r="G205" s="455">
        <f>IF(VLOOKUP(G177,ProductsRangeOper,3,FALSE)="Special Offer",SpecialOffero(G177,3,"FY-3"),MIN(G148,G163*capacity))</f>
        <v>1240</v>
      </c>
      <c r="H205" s="455">
        <f>IF(VLOOKUP(H177,ProductsRangeOper,3,FALSE)="Special Offer",SpecialOffero(H177,3,"FY-3"),MIN(H148,H163*capacity))</f>
        <v>1240</v>
      </c>
      <c r="I205" s="455">
        <f>IF(VLOOKUP(I177,ProductsRangeOper,3,FALSE)="Special Offer",SpecialOffero(I177,3,"FY-3"),MIN(I148,I163*capacity))</f>
        <v>1240</v>
      </c>
      <c r="J205" s="455">
        <f>IF(VLOOKUP(J177,ProductsRangeOper,3,FALSE)="Special Offer",SpecialOffero(J177,3,"FY-3"),MIN(J148,J163*capacity))</f>
        <v>2128.755364806867</v>
      </c>
      <c r="K205" s="455">
        <f>IF(VLOOKUP(K177,ProductsRangeOper,3,FALSE)="Special Offer",SpecialOffero(K177,3,"FY-3"),MIN(K148,K163*capacity))</f>
        <v>2948.8871301120007</v>
      </c>
      <c r="L205" s="455">
        <f>IF(VLOOKUP(L177,ProductsRangeOper,3,FALSE)="Special Offer",SpecialOffero(L177,3,"FY-3"),MIN(L148,L163*capacity))</f>
        <v>41.263305185279023</v>
      </c>
      <c r="M205" s="457"/>
      <c r="O205" s="465"/>
      <c r="P205" s="465"/>
      <c r="R205" s="465"/>
      <c r="S205" s="465"/>
    </row>
    <row r="206" spans="1:19" s="293" customFormat="1">
      <c r="A206" s="466"/>
      <c r="B206" s="707" t="s">
        <v>33</v>
      </c>
      <c r="C206" s="451" t="s">
        <v>44</v>
      </c>
      <c r="D206" s="455">
        <f>IF(VLOOKUP(D177,ProductsRangeOper,3,FALSE)="Special Offer",SpecialOffero(D177,4,"FY-3"),MIN(D149,D164*capacity))</f>
        <v>480.57416267942585</v>
      </c>
      <c r="E206" s="455">
        <f>IF(VLOOKUP(E177,ProductsRangeOper,3,FALSE)="Special Offer",SpecialOffero(E177,4,"FY-3"),MIN(E149,E164*capacity))</f>
        <v>705.66744730679147</v>
      </c>
      <c r="F206" s="455">
        <f>IF(VLOOKUP(F177,ProductsRangeOper,3,FALSE)="Special Offer",SpecialOffero(F177,4,"FY-3"),MIN(F149,F164*capacity))</f>
        <v>0</v>
      </c>
      <c r="G206" s="455">
        <f>IF(VLOOKUP(G177,ProductsRangeOper,3,FALSE)="Special Offer",SpecialOffero(G177,4,"FY-3"),MIN(G149,G164*capacity))</f>
        <v>1240</v>
      </c>
      <c r="H206" s="455">
        <f>IF(VLOOKUP(H177,ProductsRangeOper,3,FALSE)="Special Offer",SpecialOffero(H177,4,"FY-3"),MIN(H149,H164*capacity))</f>
        <v>1240</v>
      </c>
      <c r="I206" s="455">
        <f>IF(VLOOKUP(I177,ProductsRangeOper,3,FALSE)="Special Offer",SpecialOffero(I177,4,"FY-3"),MIN(I149,I164*capacity))</f>
        <v>1240</v>
      </c>
      <c r="J206" s="455">
        <f>IF(VLOOKUP(J177,ProductsRangeOper,3,FALSE)="Special Offer",SpecialOffero(J177,4,"FY-3"),MIN(J149,J164*capacity))</f>
        <v>10679.425837320576</v>
      </c>
      <c r="K206" s="455">
        <f>IF(VLOOKUP(K177,ProductsRangeOper,3,FALSE)="Special Offer",SpecialOffero(K177,4,"FY-3"),MIN(K149,K164*capacity))</f>
        <v>10454.332552693209</v>
      </c>
      <c r="L206" s="455">
        <f>IF(VLOOKUP(L177,ProductsRangeOper,3,FALSE)="Special Offer",SpecialOffero(L177,4,"FY-3"),MIN(L149,L164*capacity))</f>
        <v>0</v>
      </c>
      <c r="M206" s="457"/>
      <c r="O206" s="465"/>
      <c r="P206" s="465"/>
      <c r="R206" s="465"/>
      <c r="S206" s="465"/>
    </row>
    <row r="207" spans="1:19" s="293" customFormat="1">
      <c r="A207" s="466"/>
      <c r="B207" s="707" t="s">
        <v>33</v>
      </c>
      <c r="C207" s="451" t="s">
        <v>43</v>
      </c>
      <c r="D207" s="455">
        <f>IF(VLOOKUP(D177,ProductsRangeOper,3,FALSE)="Special Offer",SpecialOffero(D177,5,"FY-3"),MIN(D150,D165*capacity))</f>
        <v>1459.6991294054401</v>
      </c>
      <c r="E207" s="455">
        <f>IF(VLOOKUP(E177,ProductsRangeOper,3,FALSE)="Special Offer",SpecialOffero(E177,5,"FY-3"),MIN(E150,E165*capacity))</f>
        <v>1228.9655172413793</v>
      </c>
      <c r="F207" s="455">
        <f>IF(VLOOKUP(F177,ProductsRangeOper,3,FALSE)="Special Offer",SpecialOffero(F177,5,"FY-3"),MIN(F150,F165*capacity))</f>
        <v>1094.7743470540802</v>
      </c>
      <c r="G207" s="455">
        <f>IF(VLOOKUP(G177,ProductsRangeOper,3,FALSE)="Special Offer",SpecialOffero(G177,5,"FY-3"),MIN(G150,G165*capacity))</f>
        <v>2034.7321197772803</v>
      </c>
      <c r="H207" s="455">
        <f>IF(VLOOKUP(H177,ProductsRangeOper,3,FALSE)="Special Offer",SpecialOffero(H177,5,"FY-3"),MIN(H150,H165*capacity))</f>
        <v>2034.7321197772803</v>
      </c>
      <c r="I207" s="455">
        <f>IF(VLOOKUP(I177,ProductsRangeOper,3,FALSE)="Special Offer",SpecialOffero(I177,5,"FY-3"),MIN(I150,I165*capacity))</f>
        <v>2034.7321197772803</v>
      </c>
      <c r="J207" s="455">
        <f>IF(VLOOKUP(J177,ProductsRangeOper,3,FALSE)="Special Offer",SpecialOffero(J177,5,"FY-3"),MIN(J150,J165*capacity))</f>
        <v>10812.586143744002</v>
      </c>
      <c r="K207" s="455">
        <f>IF(VLOOKUP(K177,ProductsRangeOper,3,FALSE)="Special Offer",SpecialOffero(K177,5,"FY-3"),MIN(K150,K165*capacity))</f>
        <v>9931.0344827586196</v>
      </c>
      <c r="L207" s="455">
        <f>IF(VLOOKUP(L177,ProductsRangeOper,3,FALSE)="Special Offer",SpecialOffero(L177,5,"FY-3"),MIN(L150,L165*capacity))</f>
        <v>1608.7440204646336</v>
      </c>
      <c r="M207" s="455"/>
      <c r="O207" s="465"/>
      <c r="P207" s="465"/>
      <c r="R207" s="465"/>
      <c r="S207" s="465"/>
    </row>
    <row r="208" spans="1:19" s="293" customFormat="1">
      <c r="A208" s="466"/>
      <c r="B208" s="707" t="s">
        <v>33</v>
      </c>
      <c r="C208" s="451" t="s">
        <v>42</v>
      </c>
      <c r="D208" s="455">
        <f>IF(VLOOKUP(D177,ProductsRangeOper,3,FALSE)="Special Offer",SpecialOffero(D177,6,"FY-3"),MIN(D151,D166*capacity))</f>
        <v>1426.9809493057792</v>
      </c>
      <c r="E208" s="455">
        <f>IF(VLOOKUP(E177,ProductsRangeOper,3,FALSE)="Special Offer",SpecialOffero(E177,6,"FY-3"),MIN(E151,E166*capacity))</f>
        <v>1318.6036292619413</v>
      </c>
      <c r="F208" s="455">
        <f>IF(VLOOKUP(F177,ProductsRangeOper,3,FALSE)="Special Offer",SpecialOffero(F177,6,"FY-3"),MIN(F151,F166*capacity))</f>
        <v>995.24940641280011</v>
      </c>
      <c r="G208" s="455">
        <f>IF(VLOOKUP(G177,ProductsRangeOper,3,FALSE)="Special Offer",SpecialOffero(G177,6,"FY-3"),MIN(G151,G166*capacity))</f>
        <v>2480</v>
      </c>
      <c r="H208" s="455">
        <f>IF(VLOOKUP(H177,ProductsRangeOper,3,FALSE)="Special Offer",SpecialOffero(H177,6,"FY-3"),MIN(H151,H166*capacity))</f>
        <v>2480</v>
      </c>
      <c r="I208" s="455">
        <f>IF(VLOOKUP(I177,ProductsRangeOper,3,FALSE)="Special Offer",SpecialOffero(I177,6,"FY-3"),MIN(I151,I166*capacity))</f>
        <v>2480</v>
      </c>
      <c r="J208" s="455">
        <f>IF(VLOOKUP(J177,ProductsRangeOper,3,FALSE)="Special Offer",SpecialOffero(J177,6,"FY-3"),MIN(J151,J166*capacity))</f>
        <v>13453.01905069422</v>
      </c>
      <c r="K208" s="455">
        <f>IF(VLOOKUP(K177,ProductsRangeOper,3,FALSE)="Special Offer",SpecialOffero(K177,6,"FY-3"),MIN(K151,K166*capacity))</f>
        <v>13561.396370738057</v>
      </c>
      <c r="L208" s="455">
        <f>IF(VLOOKUP(L177,ProductsRangeOper,3,FALSE)="Special Offer",SpecialOffero(L177,6,"FY-3"),MIN(L151,L166*capacity))</f>
        <v>244.75059358720318</v>
      </c>
      <c r="M208" s="455"/>
      <c r="O208" s="465"/>
      <c r="P208" s="465"/>
      <c r="R208" s="465"/>
      <c r="S208" s="465"/>
    </row>
    <row r="209" spans="1:23" s="293" customFormat="1">
      <c r="A209" s="471"/>
      <c r="B209" s="707" t="s">
        <v>33</v>
      </c>
      <c r="C209" s="451" t="s">
        <v>41</v>
      </c>
      <c r="D209" s="455">
        <f>IF(VLOOKUP(D177,ProductsRangeOper,3,FALSE)="Special Offer",SpecialOffero(D177,7,"FY-3"),MIN(D152,D167*capacity))</f>
        <v>1426.9809493057792</v>
      </c>
      <c r="E209" s="455">
        <f>IF(VLOOKUP(E177,ProductsRangeOper,3,FALSE)="Special Offer",SpecialOffero(E177,7,"FY-3"),MIN(E152,E167*capacity))</f>
        <v>1318.6036292619413</v>
      </c>
      <c r="F209" s="455">
        <f>IF(VLOOKUP(F177,ProductsRangeOper,3,FALSE)="Special Offer",SpecialOffero(F177,7,"FY-3"),MIN(F152,F167*capacity))</f>
        <v>995.24940641280011</v>
      </c>
      <c r="G209" s="455">
        <f>IF(VLOOKUP(G177,ProductsRangeOper,3,FALSE)="Special Offer",SpecialOffero(G177,7,"FY-3"),MIN(G152,G167*capacity))</f>
        <v>2480</v>
      </c>
      <c r="H209" s="455">
        <f>IF(VLOOKUP(H177,ProductsRangeOper,3,FALSE)="Special Offer",SpecialOffero(H177,7,"FY-3"),MIN(H152,H167*capacity))</f>
        <v>2480</v>
      </c>
      <c r="I209" s="455">
        <f>IF(VLOOKUP(I177,ProductsRangeOper,3,FALSE)="Special Offer",SpecialOffero(I177,7,"FY-3"),MIN(I152,I167*capacity))</f>
        <v>2480</v>
      </c>
      <c r="J209" s="455">
        <f>IF(VLOOKUP(J177,ProductsRangeOper,3,FALSE)="Special Offer",SpecialOffero(J177,7,"FY-3"),MIN(J152,J167*capacity))</f>
        <v>13453.01905069422</v>
      </c>
      <c r="K209" s="455">
        <f>IF(VLOOKUP(K177,ProductsRangeOper,3,FALSE)="Special Offer",SpecialOffero(K177,7,"FY-3"),MIN(K152,K167*capacity))</f>
        <v>13561.396370738057</v>
      </c>
      <c r="L209" s="455">
        <f>IF(VLOOKUP(L177,ProductsRangeOper,3,FALSE)="Special Offer",SpecialOffero(L177,7,"FY-3"),MIN(L152,L167*capacity))</f>
        <v>244.75059358720318</v>
      </c>
      <c r="M209" s="457"/>
      <c r="N209" s="464"/>
      <c r="O209" s="476"/>
      <c r="P209" s="476"/>
      <c r="R209" s="477"/>
      <c r="S209" s="477"/>
    </row>
    <row r="210" spans="1:23" s="293" customFormat="1">
      <c r="A210" s="471"/>
      <c r="B210" s="707" t="s">
        <v>33</v>
      </c>
      <c r="C210" s="451" t="s">
        <v>40</v>
      </c>
      <c r="D210" s="455">
        <f>IF(VLOOKUP(D177,ProductsRangeOper,3,FALSE)="Special Offer",SpecialOffero(D177,8,"FY-3"),MIN(D153,D168*capacity))</f>
        <v>1365.5172413793102</v>
      </c>
      <c r="E210" s="455">
        <f>IF(VLOOKUP(E177,ProductsRangeOper,3,FALSE)="Special Offer",SpecialOffero(E177,8,"FY-3"),MIN(E153,E168*capacity))</f>
        <v>1263.3174291327532</v>
      </c>
      <c r="F210" s="455">
        <f>IF(VLOOKUP(F177,ProductsRangeOper,3,FALSE)="Special Offer",SpecialOffero(F177,8,"FY-3"),MIN(F153,F168*capacity))</f>
        <v>995.24940641280011</v>
      </c>
      <c r="G210" s="455">
        <f>IF(VLOOKUP(G177,ProductsRangeOper,3,FALSE)="Special Offer",SpecialOffero(G177,8,"FY-3"),MIN(G153,G168*capacity))</f>
        <v>2480</v>
      </c>
      <c r="H210" s="455">
        <f>IF(VLOOKUP(H177,ProductsRangeOper,3,FALSE)="Special Offer",SpecialOffero(H177,8,"FY-3"),MIN(H153,H168*capacity))</f>
        <v>2480</v>
      </c>
      <c r="I210" s="455">
        <f>IF(VLOOKUP(I177,ProductsRangeOper,3,FALSE)="Special Offer",SpecialOffero(I177,8,"FY-3"),MIN(I153,I168*capacity))</f>
        <v>2480</v>
      </c>
      <c r="J210" s="455">
        <f>IF(VLOOKUP(J177,ProductsRangeOper,3,FALSE)="Special Offer",SpecialOffero(J177,8,"FY-3"),MIN(J153,J168*capacity))</f>
        <v>11034.482758620692</v>
      </c>
      <c r="K210" s="455">
        <f>IF(VLOOKUP(K177,ProductsRangeOper,3,FALSE)="Special Offer",SpecialOffero(K177,8,"FY-3"),MIN(K153,K168*capacity))</f>
        <v>11136.682570867248</v>
      </c>
      <c r="L210" s="455">
        <f>IF(VLOOKUP(L177,ProductsRangeOper,3,FALSE)="Special Offer",SpecialOffero(L177,8,"FY-3"),MIN(L153,L168*capacity))</f>
        <v>244.75059358719591</v>
      </c>
      <c r="M210" s="457"/>
      <c r="N210" s="464"/>
      <c r="O210" s="476"/>
      <c r="P210" s="476"/>
      <c r="R210" s="477"/>
      <c r="S210" s="477"/>
    </row>
    <row r="211" spans="1:23" s="293" customFormat="1">
      <c r="A211" s="471"/>
      <c r="B211" s="707" t="s">
        <v>33</v>
      </c>
      <c r="C211" s="451" t="s">
        <v>39</v>
      </c>
      <c r="D211" s="455">
        <f>IF(VLOOKUP(D177,ProductsRangeOper,3,FALSE)="Special Offer",SpecialOffero(D177,9,"FY-3"),MIN(D154,D169*capacity))</f>
        <v>1365.5172413793102</v>
      </c>
      <c r="E211" s="455">
        <f>IF(VLOOKUP(E177,ProductsRangeOper,3,FALSE)="Special Offer",SpecialOffero(E177,9,"FY-3"),MIN(E154,E169*capacity))</f>
        <v>1263.3174291327532</v>
      </c>
      <c r="F211" s="455">
        <f>IF(VLOOKUP(F177,ProductsRangeOper,3,FALSE)="Special Offer",SpecialOffero(F177,9,"FY-3"),MIN(F154,F169*capacity))</f>
        <v>995.24940641280011</v>
      </c>
      <c r="G211" s="455">
        <f>IF(VLOOKUP(G177,ProductsRangeOper,3,FALSE)="Special Offer",SpecialOffero(G177,9,"FY-3"),MIN(G154,G169*capacity))</f>
        <v>2480</v>
      </c>
      <c r="H211" s="455">
        <f>IF(VLOOKUP(H177,ProductsRangeOper,3,FALSE)="Special Offer",SpecialOffero(H177,9,"FY-3"),MIN(H154,H169*capacity))</f>
        <v>2480</v>
      </c>
      <c r="I211" s="455">
        <f>IF(VLOOKUP(I177,ProductsRangeOper,3,FALSE)="Special Offer",SpecialOffero(I177,9,"FY-3"),MIN(I154,I169*capacity))</f>
        <v>2480</v>
      </c>
      <c r="J211" s="455">
        <f>IF(VLOOKUP(J177,ProductsRangeOper,3,FALSE)="Special Offer",SpecialOffero(J177,9,"FY-3"),MIN(J154,J169*capacity))</f>
        <v>11034.482758620692</v>
      </c>
      <c r="K211" s="455">
        <f>IF(VLOOKUP(K177,ProductsRangeOper,3,FALSE)="Special Offer",SpecialOffero(K177,9,"FY-3"),MIN(K154,K169*capacity))</f>
        <v>11136.682570867248</v>
      </c>
      <c r="L211" s="455">
        <f>IF(VLOOKUP(L177,ProductsRangeOper,3,FALSE)="Special Offer",SpecialOffero(L177,9,"FY-3"),MIN(L154,L169*capacity))</f>
        <v>244.75059358719591</v>
      </c>
      <c r="M211" s="457"/>
      <c r="N211" s="464"/>
      <c r="O211" s="476"/>
      <c r="P211" s="476"/>
      <c r="R211" s="477"/>
      <c r="S211" s="477"/>
    </row>
    <row r="212" spans="1:23" s="293" customFormat="1">
      <c r="A212" s="471"/>
      <c r="B212" s="707" t="s">
        <v>33</v>
      </c>
      <c r="C212" s="451" t="s">
        <v>38</v>
      </c>
      <c r="D212" s="455">
        <f>IF(VLOOKUP(D177,ProductsRangeOper,3,FALSE)="Special Offer",SpecialOffero(D177,10,"FY-3"),MIN(D155,D170*capacity))</f>
        <v>1128.5393258426968</v>
      </c>
      <c r="E212" s="455">
        <f>IF(VLOOKUP(E177,ProductsRangeOper,3,FALSE)="Special Offer",SpecialOffero(E177,10,"FY-3"),MIN(E155,E170*capacity))</f>
        <v>1228.9655172413793</v>
      </c>
      <c r="F212" s="455">
        <f>IF(VLOOKUP(F177,ProductsRangeOper,3,FALSE)="Special Offer",SpecialOffero(F177,10,"FY-3"),MIN(F155,F170*capacity))</f>
        <v>995.24940641280011</v>
      </c>
      <c r="G212" s="455">
        <f>IF(VLOOKUP(G177,ProductsRangeOper,3,FALSE)="Special Offer",SpecialOffero(G177,10,"FY-3"),MIN(G155,G170*capacity))</f>
        <v>2480</v>
      </c>
      <c r="H212" s="455">
        <f>IF(VLOOKUP(H177,ProductsRangeOper,3,FALSE)="Special Offer",SpecialOffero(H177,10,"FY-3"),MIN(H155,H170*capacity))</f>
        <v>2480</v>
      </c>
      <c r="I212" s="455">
        <f>IF(VLOOKUP(I177,ProductsRangeOper,3,FALSE)="Special Offer",SpecialOffero(I177,10,"FY-3"),MIN(I155,I170*capacity))</f>
        <v>2480</v>
      </c>
      <c r="J212" s="455">
        <f>IF(VLOOKUP(J177,ProductsRangeOper,3,FALSE)="Special Offer",SpecialOffero(J177,10,"FY-3"),MIN(J155,J170*capacity))</f>
        <v>10031.460674157304</v>
      </c>
      <c r="K212" s="455">
        <f>IF(VLOOKUP(K177,ProductsRangeOper,3,FALSE)="Special Offer",SpecialOffero(K177,10,"FY-3"),MIN(K155,K170*capacity))</f>
        <v>9931.0344827586196</v>
      </c>
      <c r="L212" s="455">
        <f>IF(VLOOKUP(L177,ProductsRangeOper,3,FALSE)="Special Offer",SpecialOffero(L177,10,"FY-3"),MIN(L155,L170*capacity))</f>
        <v>244.75059358719955</v>
      </c>
      <c r="M212" s="457"/>
      <c r="N212" s="464"/>
      <c r="O212" s="476"/>
      <c r="P212" s="476"/>
      <c r="R212" s="477"/>
      <c r="S212" s="477"/>
    </row>
    <row r="213" spans="1:23" s="293" customFormat="1">
      <c r="A213" s="471"/>
      <c r="B213" s="707" t="s">
        <v>33</v>
      </c>
      <c r="C213" s="451" t="s">
        <v>37</v>
      </c>
      <c r="D213" s="455">
        <f>IF(VLOOKUP(D177,ProductsRangeOper,3,FALSE)="Special Offer",SpecialOffero(D177,11,"FY-3"),MIN(D156,D171*capacity))</f>
        <v>833.48205625606226</v>
      </c>
      <c r="E213" s="455">
        <f>IF(VLOOKUP(E177,ProductsRangeOper,3,FALSE)="Special Offer",SpecialOffero(E177,11,"FY-3"),MIN(E156,E171*capacity))</f>
        <v>729.84956470272004</v>
      </c>
      <c r="F213" s="455">
        <f>IF(VLOOKUP(F177,ProductsRangeOper,3,FALSE)="Special Offer",SpecialOffero(F177,11,"FY-3"),MIN(F156,F171*capacity))</f>
        <v>1194.2992876953601</v>
      </c>
      <c r="G213" s="455">
        <f>IF(VLOOKUP(G177,ProductsRangeOper,3,FALSE)="Special Offer",SpecialOffero(G177,11,"FY-3"),MIN(G156,G171*capacity))</f>
        <v>1240</v>
      </c>
      <c r="H213" s="455">
        <f>IF(VLOOKUP(H177,ProductsRangeOper,3,FALSE)="Special Offer",SpecialOffero(H177,11,"FY-3"),MIN(H156,H171*capacity))</f>
        <v>1240</v>
      </c>
      <c r="I213" s="455">
        <f>IF(VLOOKUP(I177,ProductsRangeOper,3,FALSE)="Special Offer",SpecialOffero(I177,11,"FY-3"),MIN(I156,I171*capacity))</f>
        <v>1240</v>
      </c>
      <c r="J213" s="455">
        <f>IF(VLOOKUP(J177,ProductsRangeOper,3,FALSE)="Special Offer",SpecialOffero(J177,11,"FY-3"),MIN(J156,J171*capacity))</f>
        <v>2886.5179437439378</v>
      </c>
      <c r="K213" s="455">
        <f>IF(VLOOKUP(K177,ProductsRangeOper,3,FALSE)="Special Offer",SpecialOffero(K177,11,"FY-3"),MIN(K156,K171*capacity))</f>
        <v>2948.8871301120007</v>
      </c>
      <c r="L213" s="455">
        <f>IF(VLOOKUP(L177,ProductsRangeOper,3,FALSE)="Special Offer",SpecialOffero(L177,11,"FY-3"),MIN(L156,L171*capacity))</f>
        <v>86.964017489917751</v>
      </c>
      <c r="M213" s="457"/>
      <c r="N213" s="464"/>
      <c r="O213" s="476"/>
      <c r="P213" s="476"/>
      <c r="R213" s="477"/>
      <c r="S213" s="477"/>
    </row>
    <row r="214" spans="1:23" s="293" customFormat="1">
      <c r="A214" s="471"/>
      <c r="B214" s="707" t="s">
        <v>33</v>
      </c>
      <c r="C214" s="451" t="s">
        <v>36</v>
      </c>
      <c r="D214" s="455">
        <f>IF(VLOOKUP(D177,ProductsRangeOper,3,FALSE)="Special Offer",SpecialOffero(D177,12,"FY-3"),MIN(D157,D172*capacity))</f>
        <v>833.48205625606226</v>
      </c>
      <c r="E214" s="455">
        <f>IF(VLOOKUP(E177,ProductsRangeOper,3,FALSE)="Special Offer",SpecialOffero(E177,12,"FY-3"),MIN(E157,E172*capacity))</f>
        <v>608.20797058560015</v>
      </c>
      <c r="F214" s="455">
        <f>IF(VLOOKUP(F177,ProductsRangeOper,3,FALSE)="Special Offer",SpecialOffero(F177,12,"FY-3"),MIN(F157,F172*capacity))</f>
        <v>0</v>
      </c>
      <c r="G214" s="455">
        <f>IF(VLOOKUP(G177,ProductsRangeOper,3,FALSE)="Special Offer",SpecialOffero(G177,12,"FY-3"),MIN(G157,G172*capacity))</f>
        <v>1240</v>
      </c>
      <c r="H214" s="455">
        <f>IF(VLOOKUP(H177,ProductsRangeOper,3,FALSE)="Special Offer",SpecialOffero(H177,12,"FY-3"),MIN(H157,H172*capacity))</f>
        <v>1240</v>
      </c>
      <c r="I214" s="455">
        <f>IF(VLOOKUP(I177,ProductsRangeOper,3,FALSE)="Special Offer",SpecialOffero(I177,12,"FY-3"),MIN(I157,I172*capacity))</f>
        <v>1240</v>
      </c>
      <c r="J214" s="455">
        <f>IF(VLOOKUP(J177,ProductsRangeOper,3,FALSE)="Special Offer",SpecialOffero(J177,12,"FY-3"),MIN(J157,J172*capacity))</f>
        <v>2886.5179437439378</v>
      </c>
      <c r="K214" s="455">
        <f>IF(VLOOKUP(K177,ProductsRangeOper,3,FALSE)="Special Offer",SpecialOffero(K177,12,"FY-3"),MIN(K157,K172*capacity))</f>
        <v>2948.8871301120007</v>
      </c>
      <c r="L214" s="455">
        <f>IF(VLOOKUP(L177,ProductsRangeOper,3,FALSE)="Special Offer",SpecialOffero(L177,12,"FY-3"),MIN(L157,L172*capacity))</f>
        <v>162.9048993023971</v>
      </c>
      <c r="M214" s="457"/>
      <c r="N214" s="464"/>
      <c r="O214" s="476"/>
      <c r="P214" s="476"/>
      <c r="R214" s="477"/>
      <c r="S214" s="477"/>
    </row>
    <row r="215" spans="1:23" s="293" customFormat="1">
      <c r="A215" s="471"/>
      <c r="D215" s="455"/>
      <c r="E215" s="455"/>
      <c r="F215" s="455"/>
      <c r="G215" s="455"/>
      <c r="H215" s="455"/>
      <c r="I215" s="455"/>
      <c r="J215" s="457"/>
      <c r="K215" s="478"/>
      <c r="L215" s="457"/>
      <c r="M215" s="457"/>
      <c r="N215" s="464"/>
      <c r="O215" s="476"/>
      <c r="P215" s="476"/>
      <c r="R215" s="477"/>
      <c r="S215" s="477"/>
    </row>
    <row r="216" spans="1:23">
      <c r="B216" s="370"/>
      <c r="C216" s="367"/>
      <c r="D216" s="367"/>
      <c r="E216" s="367"/>
      <c r="F216" s="367"/>
      <c r="G216" s="367"/>
      <c r="H216" s="367"/>
      <c r="I216" s="365"/>
      <c r="J216" s="365"/>
      <c r="K216" s="371"/>
      <c r="L216" s="372"/>
      <c r="M216" s="372"/>
      <c r="N216" s="367"/>
      <c r="O216" s="367"/>
      <c r="P216" s="367"/>
      <c r="Q216" s="367"/>
      <c r="R216" s="367"/>
      <c r="S216" s="367"/>
      <c r="T216" s="367"/>
      <c r="U216" s="442"/>
      <c r="V216" s="369"/>
      <c r="W216" s="369"/>
    </row>
    <row r="217" spans="1:23">
      <c r="B217" s="354"/>
      <c r="C217" s="354"/>
      <c r="D217" s="354"/>
      <c r="E217" s="1348"/>
      <c r="F217" s="354"/>
      <c r="G217" s="354"/>
      <c r="H217" s="354"/>
      <c r="I217" s="354"/>
      <c r="J217" s="354"/>
      <c r="K217" s="354"/>
      <c r="L217" s="354"/>
      <c r="M217" s="354"/>
      <c r="N217" s="354"/>
      <c r="O217" s="354"/>
      <c r="P217" s="354"/>
      <c r="Q217" s="354"/>
      <c r="R217" s="354"/>
      <c r="S217" s="354"/>
      <c r="T217" s="354"/>
      <c r="U217" s="442"/>
      <c r="V217" s="369"/>
      <c r="W217" s="369"/>
    </row>
    <row r="218" spans="1:23">
      <c r="B218" s="484"/>
      <c r="C218" s="373"/>
      <c r="D218" s="373"/>
      <c r="E218" s="367"/>
      <c r="F218" s="367"/>
      <c r="G218" s="367"/>
      <c r="H218" s="367"/>
      <c r="I218" s="367"/>
      <c r="J218" s="482"/>
      <c r="K218" s="482"/>
      <c r="L218" s="367"/>
      <c r="M218" s="354"/>
      <c r="N218" s="354"/>
      <c r="O218" s="354"/>
      <c r="P218" s="354"/>
      <c r="Q218" s="354"/>
      <c r="R218" s="367"/>
      <c r="S218" s="367"/>
      <c r="T218" s="367"/>
      <c r="U218" s="442"/>
      <c r="V218" s="369"/>
      <c r="W218" s="369"/>
    </row>
    <row r="219" spans="1:23">
      <c r="B219" s="648"/>
      <c r="C219" s="648"/>
      <c r="D219" s="648"/>
      <c r="E219" s="648"/>
      <c r="F219" s="648"/>
      <c r="G219" s="648"/>
      <c r="H219" s="648"/>
      <c r="I219" s="648"/>
      <c r="J219" s="648"/>
      <c r="K219" s="648"/>
      <c r="L219" s="648"/>
      <c r="M219" s="292"/>
      <c r="N219" s="292"/>
      <c r="O219" s="292"/>
      <c r="P219" s="292"/>
      <c r="Q219" s="292"/>
      <c r="R219" s="292"/>
      <c r="S219" s="292"/>
      <c r="T219" s="292"/>
      <c r="U219" s="292"/>
    </row>
    <row r="220" spans="1:23">
      <c r="B220" s="648"/>
      <c r="C220" s="648"/>
      <c r="D220" s="648"/>
      <c r="E220" s="648"/>
      <c r="F220" s="648"/>
      <c r="G220" s="648"/>
      <c r="H220" s="648"/>
      <c r="I220" s="648"/>
      <c r="J220" s="648"/>
      <c r="K220" s="648"/>
      <c r="L220" s="648"/>
      <c r="M220" s="292"/>
      <c r="N220" s="292"/>
      <c r="O220" s="292"/>
      <c r="P220" s="292"/>
      <c r="Q220" s="292"/>
      <c r="R220" s="292"/>
      <c r="S220" s="292"/>
      <c r="T220" s="292"/>
      <c r="U220" s="292"/>
    </row>
    <row r="221" spans="1:23">
      <c r="B221" s="648"/>
      <c r="C221" s="648"/>
      <c r="D221" s="648"/>
      <c r="E221" s="648"/>
      <c r="F221" s="648"/>
      <c r="G221" s="648"/>
      <c r="H221" s="648"/>
      <c r="I221" s="648"/>
      <c r="J221" s="648"/>
      <c r="K221" s="648"/>
      <c r="L221" s="648"/>
      <c r="M221" s="292"/>
      <c r="N221" s="292"/>
      <c r="O221" s="292"/>
      <c r="P221" s="292"/>
      <c r="Q221" s="292"/>
      <c r="R221" s="292"/>
      <c r="S221" s="292"/>
      <c r="T221" s="292"/>
      <c r="U221" s="292"/>
    </row>
    <row r="222" spans="1:23">
      <c r="A222" s="648"/>
      <c r="B222" s="648"/>
      <c r="C222" s="648"/>
      <c r="D222" s="648"/>
      <c r="E222" s="648"/>
      <c r="F222" s="648"/>
      <c r="G222" s="648"/>
      <c r="H222" s="648"/>
      <c r="I222" s="648"/>
      <c r="J222" s="648"/>
      <c r="K222" s="648"/>
      <c r="L222" s="292"/>
      <c r="M222" s="292"/>
      <c r="N222" s="292"/>
      <c r="O222" s="292"/>
      <c r="P222" s="292"/>
      <c r="Q222" s="292"/>
      <c r="R222" s="292"/>
      <c r="S222" s="292"/>
      <c r="T222" s="292"/>
    </row>
    <row r="223" spans="1:23">
      <c r="A223" s="648"/>
      <c r="B223" s="648"/>
      <c r="C223" s="648"/>
      <c r="D223" s="648"/>
      <c r="E223" s="648"/>
      <c r="F223" s="648"/>
      <c r="G223" s="648"/>
      <c r="H223" s="648"/>
      <c r="I223" s="648"/>
      <c r="J223" s="648"/>
      <c r="K223" s="648"/>
      <c r="L223" s="292"/>
      <c r="M223" s="292"/>
      <c r="N223" s="292"/>
      <c r="O223" s="292"/>
      <c r="P223" s="292"/>
      <c r="Q223" s="292"/>
      <c r="R223" s="292"/>
      <c r="S223" s="292"/>
      <c r="T223" s="292"/>
    </row>
    <row r="224" spans="1:23">
      <c r="A224" s="1279"/>
      <c r="B224" s="408"/>
      <c r="C224" s="947"/>
      <c r="D224" s="947"/>
      <c r="E224" s="947"/>
      <c r="F224" s="1279"/>
      <c r="G224" s="292"/>
      <c r="H224" s="648"/>
      <c r="I224" s="648"/>
      <c r="J224" s="648"/>
      <c r="K224" s="648"/>
      <c r="L224" s="292"/>
      <c r="M224" s="292"/>
      <c r="N224" s="292"/>
      <c r="O224" s="292"/>
      <c r="P224" s="292"/>
      <c r="Q224" s="292"/>
      <c r="R224" s="292"/>
      <c r="S224" s="292"/>
      <c r="T224" s="292"/>
    </row>
    <row r="225" spans="1:20">
      <c r="A225" s="648"/>
      <c r="B225" s="648"/>
      <c r="C225" s="648"/>
      <c r="D225" s="648"/>
      <c r="E225" s="648"/>
      <c r="F225" s="648"/>
      <c r="G225" s="648"/>
      <c r="H225" s="648"/>
      <c r="I225" s="648"/>
      <c r="J225" s="648"/>
      <c r="K225" s="648"/>
      <c r="L225" s="292"/>
      <c r="M225" s="292"/>
      <c r="N225" s="292"/>
      <c r="O225" s="292"/>
      <c r="P225" s="292"/>
      <c r="Q225" s="292"/>
      <c r="R225" s="292"/>
      <c r="S225" s="292"/>
      <c r="T225" s="292"/>
    </row>
    <row r="226" spans="1:20">
      <c r="A226" s="648"/>
      <c r="B226" s="648"/>
      <c r="C226" s="648"/>
      <c r="D226" s="648"/>
      <c r="E226" s="648"/>
      <c r="F226" s="648"/>
      <c r="G226" s="648"/>
      <c r="H226" s="648"/>
      <c r="I226" s="648"/>
      <c r="J226" s="648"/>
      <c r="K226" s="648"/>
      <c r="L226" s="292"/>
      <c r="M226" s="292"/>
      <c r="N226" s="292"/>
      <c r="O226" s="292"/>
      <c r="P226" s="292"/>
      <c r="Q226" s="292"/>
      <c r="R226" s="292"/>
      <c r="S226" s="292"/>
      <c r="T226" s="292"/>
    </row>
    <row r="227" spans="1:20">
      <c r="A227" s="292"/>
      <c r="B227" s="292"/>
      <c r="C227" s="292"/>
      <c r="D227" s="292"/>
      <c r="E227" s="292"/>
      <c r="F227" s="292"/>
      <c r="G227" s="292"/>
      <c r="H227" s="292"/>
      <c r="I227" s="292"/>
      <c r="J227" s="292"/>
      <c r="K227" s="292"/>
      <c r="L227" s="292"/>
      <c r="M227" s="292"/>
      <c r="N227" s="292"/>
      <c r="O227" s="292"/>
      <c r="P227" s="292"/>
      <c r="Q227" s="292"/>
      <c r="R227" s="292"/>
      <c r="S227" s="292"/>
      <c r="T227" s="292"/>
    </row>
  </sheetData>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6"/>
  <sheetViews>
    <sheetView showGridLines="0" showRowColHeaders="0" zoomScaleNormal="100" workbookViewId="0">
      <pane ySplit="1" topLeftCell="A17" activePane="bottomLeft" state="frozen"/>
      <selection activeCell="D50" sqref="D50"/>
      <selection pane="bottomLeft" activeCell="G51" sqref="G51"/>
    </sheetView>
  </sheetViews>
  <sheetFormatPr defaultColWidth="9.140625" defaultRowHeight="12.75"/>
  <cols>
    <col min="1" max="1" width="9.140625" style="22"/>
    <col min="2" max="2" width="12.42578125" style="22" customWidth="1"/>
    <col min="3" max="3" width="12.5703125" style="22" customWidth="1"/>
    <col min="4" max="4" width="9.140625" style="22"/>
    <col min="5" max="5" width="11.5703125" style="22" bestFit="1" customWidth="1"/>
    <col min="6" max="6" width="11.5703125" style="22" customWidth="1"/>
    <col min="7" max="7" width="11.42578125" style="22" customWidth="1"/>
    <col min="8" max="8" width="10.42578125" style="22" customWidth="1"/>
    <col min="9" max="9" width="9.85546875" style="22" bestFit="1" customWidth="1"/>
    <col min="10" max="10" width="9.140625" style="22"/>
    <col min="11" max="11" width="10.5703125" style="22" bestFit="1" customWidth="1"/>
    <col min="12" max="12" width="9.140625" style="22"/>
    <col min="13" max="13" width="10.85546875" style="22" bestFit="1" customWidth="1"/>
    <col min="14" max="16384" width="9.140625" style="22"/>
  </cols>
  <sheetData>
    <row r="1" spans="1:25" s="292" customFormat="1" ht="32.1" customHeight="1">
      <c r="A1" s="440"/>
      <c r="B1" s="440"/>
      <c r="C1" s="440"/>
      <c r="D1" s="440"/>
      <c r="E1" s="440"/>
      <c r="F1" s="440"/>
      <c r="G1" s="440"/>
      <c r="H1" s="440"/>
      <c r="I1" s="440"/>
      <c r="J1" s="440"/>
      <c r="K1" s="440"/>
      <c r="L1" s="293"/>
      <c r="M1" s="440"/>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75" customHeight="1">
      <c r="Q3" s="293"/>
      <c r="R3" s="293"/>
      <c r="S3" s="293"/>
      <c r="T3" s="293"/>
      <c r="U3" s="293"/>
      <c r="V3" s="293"/>
      <c r="W3" s="293"/>
      <c r="X3" s="293"/>
      <c r="Y3" s="293"/>
    </row>
    <row r="4" spans="1:25">
      <c r="A4" s="292"/>
      <c r="B4" s="292"/>
      <c r="C4" s="292"/>
      <c r="D4" s="292"/>
      <c r="E4" s="292"/>
      <c r="F4" s="292"/>
      <c r="G4" s="292"/>
      <c r="H4" s="292"/>
      <c r="I4" s="292"/>
      <c r="J4" s="292"/>
      <c r="K4" s="292"/>
      <c r="L4" s="292"/>
      <c r="M4" s="292"/>
      <c r="N4" s="292"/>
      <c r="O4" s="292"/>
      <c r="P4" s="292"/>
      <c r="Q4" s="292"/>
      <c r="R4" s="292"/>
      <c r="S4" s="292"/>
      <c r="T4" s="292"/>
      <c r="U4" s="292"/>
    </row>
    <row r="5" spans="1:25">
      <c r="A5" s="367"/>
      <c r="B5" s="367"/>
      <c r="C5" s="367"/>
      <c r="D5" s="367"/>
      <c r="E5" s="367"/>
      <c r="F5" s="367"/>
      <c r="G5" s="367"/>
      <c r="H5" s="367"/>
      <c r="I5" s="367"/>
      <c r="J5" s="367"/>
      <c r="K5" s="367"/>
      <c r="L5" s="367"/>
      <c r="M5" s="367"/>
      <c r="N5" s="367"/>
      <c r="O5" s="373"/>
      <c r="P5" s="367"/>
      <c r="Q5" s="367"/>
      <c r="R5" s="367"/>
      <c r="S5" s="367"/>
      <c r="T5" s="367"/>
      <c r="U5" s="367"/>
      <c r="V5" s="368"/>
    </row>
    <row r="6" spans="1:25" ht="15.75">
      <c r="A6" s="1303">
        <v>1</v>
      </c>
      <c r="B6" s="436" t="s">
        <v>359</v>
      </c>
      <c r="C6" s="1304"/>
      <c r="D6" s="1304"/>
      <c r="E6" s="1304"/>
      <c r="F6" s="1305"/>
      <c r="G6" s="303"/>
      <c r="H6" s="303"/>
      <c r="I6" s="381"/>
      <c r="J6" s="303"/>
      <c r="K6" s="303"/>
      <c r="L6" s="303"/>
      <c r="M6" s="360"/>
      <c r="N6" s="301"/>
      <c r="O6" s="301"/>
      <c r="P6" s="303"/>
      <c r="Q6" s="303"/>
      <c r="R6" s="373"/>
      <c r="S6" s="367"/>
      <c r="T6" s="367"/>
      <c r="U6" s="367"/>
      <c r="V6" s="368"/>
    </row>
    <row r="7" spans="1:25" s="300" customFormat="1" ht="11.25">
      <c r="A7" s="297"/>
      <c r="B7" s="304"/>
      <c r="C7" s="304"/>
      <c r="D7" s="327"/>
      <c r="E7" s="670"/>
      <c r="F7" s="1458" t="s">
        <v>330</v>
      </c>
      <c r="G7" s="1458"/>
      <c r="H7" s="391"/>
      <c r="I7" s="303"/>
      <c r="J7" s="303"/>
      <c r="K7" s="303"/>
      <c r="O7" s="301"/>
      <c r="P7" s="301"/>
      <c r="Q7" s="303"/>
      <c r="R7" s="303"/>
      <c r="S7" s="303"/>
      <c r="T7" s="303"/>
      <c r="U7" s="303"/>
      <c r="V7" s="303"/>
      <c r="W7" s="303"/>
      <c r="X7" s="303"/>
      <c r="Y7" s="303"/>
    </row>
    <row r="8" spans="1:25" s="300" customFormat="1" ht="11.25">
      <c r="A8" s="297"/>
      <c r="B8" s="671" t="s">
        <v>329</v>
      </c>
      <c r="C8" s="672"/>
      <c r="D8" s="673" t="s">
        <v>328</v>
      </c>
      <c r="E8" s="674" t="s">
        <v>84</v>
      </c>
      <c r="F8" s="323" t="s">
        <v>34</v>
      </c>
      <c r="G8" s="675" t="s">
        <v>33</v>
      </c>
      <c r="H8" s="391"/>
      <c r="I8" s="391"/>
      <c r="J8" s="391"/>
      <c r="K8" s="303"/>
      <c r="O8" s="301"/>
      <c r="P8" s="301"/>
      <c r="Q8" s="303"/>
      <c r="R8" s="303"/>
      <c r="S8" s="303"/>
      <c r="T8" s="303"/>
      <c r="U8" s="303"/>
      <c r="V8" s="303"/>
      <c r="W8" s="303"/>
      <c r="X8" s="303"/>
      <c r="Y8" s="303"/>
    </row>
    <row r="9" spans="1:25" s="300" customFormat="1" ht="11.25">
      <c r="B9" s="1306" t="s">
        <v>641</v>
      </c>
      <c r="C9" s="357"/>
      <c r="D9" s="766">
        <v>12000</v>
      </c>
      <c r="E9" s="640">
        <v>1</v>
      </c>
      <c r="F9" s="767">
        <v>1.1000000000000001</v>
      </c>
      <c r="G9" s="767">
        <v>1.1000000000000001</v>
      </c>
      <c r="H9" s="409"/>
      <c r="I9" s="306"/>
      <c r="J9" s="306"/>
      <c r="K9" s="306"/>
      <c r="O9" s="301"/>
      <c r="P9" s="301"/>
      <c r="Q9" s="303"/>
      <c r="R9" s="303"/>
      <c r="S9" s="303"/>
      <c r="T9" s="303"/>
      <c r="U9" s="303"/>
      <c r="V9" s="303"/>
      <c r="W9" s="303"/>
      <c r="X9" s="303"/>
      <c r="Y9" s="303"/>
    </row>
    <row r="10" spans="1:25" s="300" customFormat="1" ht="11.25">
      <c r="B10" s="1306" t="s">
        <v>75</v>
      </c>
      <c r="C10" s="357"/>
      <c r="D10" s="766">
        <v>45000</v>
      </c>
      <c r="E10" s="640">
        <v>1</v>
      </c>
      <c r="F10" s="767">
        <v>1.1000000000000001</v>
      </c>
      <c r="G10" s="767">
        <v>1.1000000000000001</v>
      </c>
      <c r="H10" s="409"/>
      <c r="I10" s="306"/>
      <c r="J10" s="306"/>
      <c r="K10" s="306"/>
      <c r="O10" s="301"/>
      <c r="P10" s="301"/>
      <c r="Q10" s="303"/>
      <c r="R10" s="303"/>
      <c r="S10" s="303"/>
      <c r="T10" s="303"/>
      <c r="U10" s="303"/>
      <c r="V10" s="303"/>
      <c r="W10" s="303"/>
      <c r="X10" s="303"/>
      <c r="Y10" s="303"/>
    </row>
    <row r="11" spans="1:25" s="300" customFormat="1" ht="11.25">
      <c r="B11" s="357" t="s">
        <v>74</v>
      </c>
      <c r="C11" s="357"/>
      <c r="D11" s="766">
        <v>12000</v>
      </c>
      <c r="E11" s="640">
        <v>0.25</v>
      </c>
      <c r="F11" s="767">
        <v>1.1000000000000001</v>
      </c>
      <c r="G11" s="767">
        <v>1.1000000000000001</v>
      </c>
      <c r="H11" s="409"/>
      <c r="I11" s="306"/>
      <c r="J11" s="306"/>
      <c r="K11" s="306"/>
      <c r="O11" s="301"/>
      <c r="P11" s="301"/>
      <c r="Q11" s="303"/>
      <c r="R11" s="303"/>
      <c r="S11" s="303"/>
      <c r="T11" s="303"/>
      <c r="U11" s="303"/>
      <c r="V11" s="303"/>
      <c r="W11" s="303"/>
      <c r="X11" s="303"/>
      <c r="Y11" s="303"/>
    </row>
    <row r="12" spans="1:25" s="300" customFormat="1" ht="11.25">
      <c r="B12" s="1306" t="s">
        <v>73</v>
      </c>
      <c r="C12" s="395"/>
      <c r="D12" s="766">
        <v>3000</v>
      </c>
      <c r="E12" s="640"/>
      <c r="F12" s="767">
        <v>1.1000000000000001</v>
      </c>
      <c r="G12" s="767">
        <v>1.1000000000000001</v>
      </c>
      <c r="H12" s="391"/>
      <c r="I12" s="306"/>
      <c r="J12" s="306"/>
      <c r="K12" s="306"/>
      <c r="L12" s="301"/>
      <c r="O12" s="301"/>
      <c r="P12" s="301"/>
      <c r="Q12" s="303"/>
      <c r="R12" s="303"/>
      <c r="S12" s="303"/>
      <c r="T12" s="303"/>
      <c r="U12" s="303"/>
      <c r="V12" s="303"/>
      <c r="W12" s="303"/>
      <c r="X12" s="303"/>
      <c r="Y12" s="303"/>
    </row>
    <row r="13" spans="1:25" s="300" customFormat="1" ht="11.25">
      <c r="B13" s="1575"/>
      <c r="C13" s="1575"/>
      <c r="H13" s="303"/>
      <c r="I13" s="303"/>
      <c r="J13" s="303"/>
      <c r="K13" s="677"/>
      <c r="O13" s="301"/>
      <c r="P13" s="301"/>
      <c r="Q13" s="303"/>
      <c r="R13" s="303"/>
      <c r="S13" s="303"/>
      <c r="T13" s="303"/>
      <c r="U13" s="303"/>
      <c r="V13" s="303"/>
      <c r="W13" s="303"/>
      <c r="X13" s="303"/>
      <c r="Y13" s="303"/>
    </row>
    <row r="14" spans="1:25" s="300" customFormat="1" ht="11.25">
      <c r="B14" s="305"/>
      <c r="C14" s="305"/>
      <c r="D14" s="676" t="s">
        <v>35</v>
      </c>
      <c r="E14" s="676" t="s">
        <v>34</v>
      </c>
      <c r="F14" s="676" t="s">
        <v>33</v>
      </c>
      <c r="H14" s="303"/>
      <c r="I14" s="303"/>
      <c r="J14" s="303"/>
      <c r="K14" s="677"/>
      <c r="O14" s="301"/>
      <c r="P14" s="301"/>
      <c r="Q14" s="303"/>
      <c r="R14" s="303"/>
      <c r="S14" s="303"/>
      <c r="T14" s="303"/>
      <c r="U14" s="303"/>
      <c r="V14" s="303"/>
      <c r="W14" s="303"/>
      <c r="X14" s="303"/>
      <c r="Y14" s="303"/>
    </row>
    <row r="15" spans="1:25" s="300" customFormat="1">
      <c r="B15" s="678" t="s">
        <v>101</v>
      </c>
      <c r="C15" s="305"/>
      <c r="D15" s="679">
        <f>SUM(D9:D13)</f>
        <v>72000</v>
      </c>
      <c r="E15" s="679">
        <f>SUMPRODUCT(D9:D13,F9:F13)</f>
        <v>79200.000000000015</v>
      </c>
      <c r="F15" s="679">
        <f>SUMPRODUCT(D9:D13,G9:G13,F9:F13)</f>
        <v>87120.000000000015</v>
      </c>
      <c r="H15" s="303"/>
      <c r="I15" s="303"/>
      <c r="J15" s="303"/>
      <c r="K15" s="677"/>
      <c r="O15" s="301"/>
      <c r="P15" s="301"/>
      <c r="Q15" s="303"/>
      <c r="R15" s="303"/>
      <c r="S15" s="303"/>
      <c r="T15" s="303"/>
      <c r="U15" s="303"/>
      <c r="V15" s="303"/>
      <c r="W15" s="303"/>
      <c r="X15" s="303"/>
      <c r="Y15" s="303"/>
    </row>
    <row r="16" spans="1:25" s="300" customFormat="1" ht="11.25">
      <c r="B16" s="305"/>
      <c r="C16" s="305"/>
      <c r="H16" s="303"/>
      <c r="I16" s="303"/>
      <c r="J16" s="303"/>
      <c r="K16" s="677"/>
      <c r="O16" s="301"/>
      <c r="P16" s="301"/>
      <c r="Q16" s="303"/>
      <c r="R16" s="303"/>
      <c r="S16" s="303"/>
      <c r="T16" s="303"/>
      <c r="U16" s="303"/>
      <c r="V16" s="303"/>
      <c r="W16" s="303"/>
      <c r="X16" s="303"/>
      <c r="Y16" s="303"/>
    </row>
    <row r="17" spans="1:25" s="300" customFormat="1" ht="11.25">
      <c r="H17" s="303"/>
      <c r="I17" s="303"/>
      <c r="J17" s="303"/>
      <c r="K17" s="677"/>
      <c r="O17" s="301"/>
      <c r="P17" s="301"/>
      <c r="Q17" s="303"/>
      <c r="R17" s="303"/>
      <c r="S17" s="303"/>
      <c r="T17" s="303"/>
      <c r="U17" s="303"/>
      <c r="V17" s="303"/>
      <c r="W17" s="303"/>
      <c r="X17" s="303"/>
      <c r="Y17" s="303"/>
    </row>
    <row r="18" spans="1:25" s="300" customFormat="1" ht="15.75">
      <c r="A18" s="294">
        <v>2</v>
      </c>
      <c r="B18" s="1308" t="s">
        <v>453</v>
      </c>
      <c r="C18" s="1309"/>
      <c r="D18" s="1309"/>
      <c r="E18" s="1309"/>
      <c r="F18" s="1309"/>
      <c r="J18" s="304"/>
      <c r="K18" s="303"/>
      <c r="O18" s="301"/>
      <c r="P18" s="301"/>
      <c r="Q18" s="303"/>
      <c r="R18" s="303"/>
      <c r="S18" s="303"/>
      <c r="T18" s="303"/>
      <c r="U18" s="303"/>
      <c r="V18" s="303"/>
      <c r="W18" s="303"/>
      <c r="X18" s="303"/>
      <c r="Y18" s="303"/>
    </row>
    <row r="19" spans="1:25" s="300" customFormat="1" ht="12.75" customHeight="1">
      <c r="A19" s="345"/>
      <c r="B19" s="361"/>
      <c r="D19" s="312" t="s">
        <v>333</v>
      </c>
      <c r="E19" s="1458" t="s">
        <v>334</v>
      </c>
      <c r="F19" s="1458"/>
      <c r="J19" s="304"/>
      <c r="K19" s="303"/>
      <c r="O19" s="301"/>
      <c r="P19" s="301"/>
      <c r="Q19" s="303"/>
      <c r="R19" s="303"/>
      <c r="S19" s="303"/>
      <c r="T19" s="303"/>
      <c r="U19" s="303"/>
      <c r="V19" s="303"/>
      <c r="W19" s="303"/>
      <c r="X19" s="303"/>
      <c r="Y19" s="303"/>
    </row>
    <row r="20" spans="1:25" s="300" customFormat="1" ht="12.75" customHeight="1">
      <c r="A20" s="345"/>
      <c r="B20" s="361"/>
      <c r="D20" s="312" t="s">
        <v>35</v>
      </c>
      <c r="E20" s="312" t="s">
        <v>34</v>
      </c>
      <c r="F20" s="312" t="s">
        <v>33</v>
      </c>
      <c r="J20" s="304"/>
      <c r="K20" s="303"/>
      <c r="O20" s="301"/>
      <c r="P20" s="301"/>
      <c r="Q20" s="303"/>
      <c r="R20" s="303"/>
      <c r="S20" s="303"/>
      <c r="T20" s="303"/>
      <c r="U20" s="303"/>
      <c r="V20" s="303"/>
      <c r="W20" s="303"/>
      <c r="X20" s="303"/>
      <c r="Y20" s="303"/>
    </row>
    <row r="21" spans="1:25" s="300" customFormat="1" ht="12.75" customHeight="1">
      <c r="A21" s="345"/>
      <c r="B21" s="1306" t="s">
        <v>82</v>
      </c>
      <c r="C21" s="357"/>
      <c r="D21" s="766">
        <v>2000</v>
      </c>
      <c r="E21" s="767">
        <v>1</v>
      </c>
      <c r="F21" s="767">
        <v>1</v>
      </c>
      <c r="G21" s="305"/>
      <c r="H21" s="305"/>
      <c r="I21" s="348"/>
      <c r="O21" s="301"/>
      <c r="P21" s="301"/>
      <c r="Q21" s="303"/>
      <c r="R21" s="303"/>
      <c r="S21" s="303"/>
      <c r="T21" s="303"/>
      <c r="U21" s="303"/>
      <c r="V21" s="303"/>
      <c r="W21" s="303"/>
      <c r="X21" s="303"/>
      <c r="Y21" s="303"/>
    </row>
    <row r="22" spans="1:25" s="300" customFormat="1" ht="12.75" customHeight="1">
      <c r="A22" s="345"/>
      <c r="B22" s="1306" t="s">
        <v>81</v>
      </c>
      <c r="C22" s="357"/>
      <c r="D22" s="766">
        <v>3000</v>
      </c>
      <c r="E22" s="767">
        <v>1</v>
      </c>
      <c r="F22" s="767">
        <v>1</v>
      </c>
      <c r="G22" s="305"/>
      <c r="H22" s="305"/>
      <c r="I22" s="348"/>
      <c r="O22" s="301"/>
      <c r="P22" s="301"/>
      <c r="Q22" s="303"/>
      <c r="R22" s="303"/>
      <c r="S22" s="303"/>
      <c r="T22" s="303"/>
      <c r="U22" s="303"/>
      <c r="V22" s="303"/>
      <c r="W22" s="303"/>
      <c r="X22" s="303"/>
      <c r="Y22" s="303"/>
    </row>
    <row r="23" spans="1:25" s="300" customFormat="1" ht="12.75" customHeight="1">
      <c r="A23" s="345"/>
      <c r="B23" s="1306" t="s">
        <v>80</v>
      </c>
      <c r="C23" s="357"/>
      <c r="D23" s="766">
        <v>4000</v>
      </c>
      <c r="E23" s="767">
        <v>1</v>
      </c>
      <c r="F23" s="767">
        <v>1</v>
      </c>
      <c r="G23" s="305"/>
      <c r="H23" s="305"/>
      <c r="I23" s="348"/>
      <c r="O23" s="301"/>
      <c r="P23" s="301"/>
      <c r="Q23" s="303"/>
      <c r="R23" s="303"/>
      <c r="S23" s="303"/>
      <c r="T23" s="303"/>
      <c r="U23" s="303"/>
      <c r="V23" s="303"/>
      <c r="W23" s="303"/>
      <c r="X23" s="303"/>
      <c r="Y23" s="303"/>
    </row>
    <row r="24" spans="1:25" s="300" customFormat="1" ht="12.75" customHeight="1">
      <c r="A24" s="345"/>
      <c r="B24" s="1306" t="s">
        <v>77</v>
      </c>
      <c r="C24" s="357"/>
      <c r="D24" s="766">
        <v>4000</v>
      </c>
      <c r="E24" s="767">
        <v>1</v>
      </c>
      <c r="F24" s="767">
        <v>1</v>
      </c>
      <c r="G24" s="305"/>
      <c r="H24" s="305"/>
      <c r="I24" s="348"/>
      <c r="O24" s="301"/>
      <c r="P24" s="301"/>
      <c r="Q24" s="303"/>
      <c r="R24" s="303"/>
      <c r="S24" s="303"/>
      <c r="T24" s="303"/>
      <c r="U24" s="303"/>
      <c r="V24" s="303"/>
      <c r="W24" s="303"/>
      <c r="X24" s="303"/>
      <c r="Y24" s="303"/>
    </row>
    <row r="25" spans="1:25" s="300" customFormat="1" ht="12.75" customHeight="1">
      <c r="A25" s="345"/>
      <c r="B25" s="360" t="s">
        <v>76</v>
      </c>
      <c r="C25" s="303"/>
      <c r="D25" s="347">
        <v>7500</v>
      </c>
      <c r="E25" s="306">
        <v>1.9</v>
      </c>
      <c r="F25" s="306">
        <v>0.9</v>
      </c>
      <c r="G25" s="305"/>
      <c r="H25" s="305"/>
      <c r="I25" s="348"/>
      <c r="O25" s="301"/>
      <c r="P25" s="301"/>
      <c r="Q25" s="303"/>
      <c r="R25" s="303"/>
      <c r="S25" s="303"/>
      <c r="T25" s="303"/>
      <c r="U25" s="303"/>
      <c r="V25" s="303"/>
      <c r="W25" s="303"/>
      <c r="X25" s="303"/>
      <c r="Y25" s="303"/>
    </row>
    <row r="26" spans="1:25" s="300" customFormat="1" ht="12.75" customHeight="1">
      <c r="A26" s="345"/>
      <c r="G26" s="305"/>
      <c r="H26" s="305"/>
      <c r="I26" s="348"/>
      <c r="J26" s="301"/>
      <c r="K26" s="301"/>
      <c r="L26" s="303"/>
      <c r="M26" s="303"/>
      <c r="N26" s="303"/>
      <c r="O26" s="303"/>
      <c r="P26" s="301"/>
      <c r="Q26" s="303"/>
      <c r="R26" s="303"/>
      <c r="S26" s="303"/>
      <c r="T26" s="303"/>
      <c r="U26" s="303"/>
      <c r="V26" s="303"/>
      <c r="W26" s="303"/>
      <c r="X26" s="303"/>
      <c r="Y26" s="303"/>
    </row>
    <row r="27" spans="1:25" s="300" customFormat="1" ht="12.75" customHeight="1">
      <c r="A27" s="345"/>
      <c r="D27" s="676" t="s">
        <v>35</v>
      </c>
      <c r="E27" s="676" t="s">
        <v>34</v>
      </c>
      <c r="F27" s="676" t="s">
        <v>33</v>
      </c>
      <c r="G27" s="305"/>
      <c r="H27" s="305"/>
      <c r="I27" s="348"/>
      <c r="J27" s="301"/>
      <c r="K27" s="301"/>
      <c r="L27" s="303"/>
      <c r="M27" s="303"/>
      <c r="N27" s="303"/>
      <c r="O27" s="303"/>
      <c r="P27" s="301"/>
      <c r="Q27" s="303"/>
      <c r="R27" s="303"/>
      <c r="S27" s="303"/>
      <c r="T27" s="303"/>
      <c r="U27" s="303"/>
      <c r="V27" s="303"/>
      <c r="W27" s="303"/>
      <c r="X27" s="303"/>
      <c r="Y27" s="303"/>
    </row>
    <row r="28" spans="1:25" s="300" customFormat="1" ht="12.75" customHeight="1">
      <c r="A28" s="345"/>
      <c r="B28" s="361" t="s">
        <v>101</v>
      </c>
      <c r="C28" s="362"/>
      <c r="D28" s="363">
        <f>SUM(D21:D26)</f>
        <v>20500</v>
      </c>
      <c r="E28" s="363">
        <f>SUMPRODUCT(D21:D26,E21:E26)</f>
        <v>27250</v>
      </c>
      <c r="F28" s="363">
        <f>SUMPRODUCT(E21:E26,F21:F26,D21:D26)</f>
        <v>25825</v>
      </c>
      <c r="G28" s="305"/>
      <c r="H28" s="305"/>
      <c r="I28" s="348"/>
      <c r="J28" s="301"/>
      <c r="K28" s="301"/>
      <c r="L28" s="303"/>
      <c r="M28" s="303"/>
      <c r="N28" s="303"/>
      <c r="O28" s="303"/>
      <c r="P28" s="301"/>
      <c r="Q28" s="303"/>
      <c r="R28" s="303"/>
      <c r="S28" s="303"/>
      <c r="T28" s="303"/>
      <c r="U28" s="303"/>
      <c r="V28" s="303"/>
      <c r="W28" s="303"/>
      <c r="X28" s="303"/>
      <c r="Y28" s="303"/>
    </row>
    <row r="29" spans="1:25" s="300" customFormat="1" ht="12.75" customHeight="1">
      <c r="A29" s="345"/>
      <c r="D29" s="680"/>
      <c r="G29" s="305"/>
      <c r="H29" s="305"/>
      <c r="I29" s="348"/>
      <c r="J29" s="301"/>
      <c r="K29" s="301"/>
      <c r="L29" s="303"/>
      <c r="M29" s="303"/>
      <c r="N29" s="303"/>
      <c r="O29" s="303"/>
      <c r="P29" s="301"/>
      <c r="Q29" s="303"/>
      <c r="R29" s="303"/>
      <c r="S29" s="303"/>
      <c r="T29" s="303"/>
      <c r="U29" s="303"/>
      <c r="V29" s="303"/>
      <c r="W29" s="303"/>
      <c r="X29" s="303"/>
      <c r="Y29" s="303"/>
    </row>
    <row r="30" spans="1:25" s="300" customFormat="1" ht="12.75" customHeight="1">
      <c r="A30" s="345"/>
      <c r="G30" s="305"/>
      <c r="H30" s="305"/>
      <c r="I30" s="348"/>
      <c r="J30" s="301"/>
      <c r="K30" s="301"/>
      <c r="L30" s="303"/>
      <c r="M30" s="303"/>
      <c r="N30" s="303"/>
      <c r="O30" s="303"/>
      <c r="P30" s="301"/>
      <c r="Q30" s="303"/>
      <c r="R30" s="303"/>
      <c r="S30" s="303"/>
      <c r="T30" s="303"/>
      <c r="U30" s="303"/>
      <c r="V30" s="303"/>
      <c r="W30" s="303"/>
      <c r="X30" s="303"/>
      <c r="Y30" s="303"/>
    </row>
    <row r="31" spans="1:25" s="300" customFormat="1" ht="15.75">
      <c r="A31" s="294">
        <v>3</v>
      </c>
      <c r="B31" s="1310" t="s">
        <v>365</v>
      </c>
      <c r="C31" s="1311"/>
      <c r="D31" s="1312"/>
      <c r="E31" s="1313"/>
      <c r="F31" s="1313"/>
      <c r="G31" s="305"/>
      <c r="H31" s="305"/>
      <c r="I31" s="348"/>
      <c r="J31" s="301"/>
      <c r="K31" s="301"/>
      <c r="L31" s="303"/>
      <c r="M31" s="303"/>
      <c r="N31" s="303"/>
      <c r="O31" s="303"/>
      <c r="P31" s="301"/>
      <c r="Q31" s="303"/>
      <c r="R31" s="303"/>
      <c r="S31" s="303"/>
      <c r="T31" s="303"/>
      <c r="U31" s="303"/>
      <c r="V31" s="303"/>
      <c r="W31" s="303"/>
      <c r="X31" s="303"/>
      <c r="Y31" s="303"/>
    </row>
    <row r="32" spans="1:25" s="300" customFormat="1" ht="11.25">
      <c r="D32" s="312" t="s">
        <v>333</v>
      </c>
      <c r="E32" s="1458" t="s">
        <v>334</v>
      </c>
      <c r="F32" s="1458"/>
      <c r="G32" s="305"/>
      <c r="H32" s="305"/>
      <c r="I32" s="348"/>
      <c r="J32" s="301"/>
      <c r="K32" s="301"/>
      <c r="L32" s="303"/>
      <c r="M32" s="303"/>
      <c r="N32" s="303"/>
      <c r="O32" s="303"/>
      <c r="P32" s="301"/>
      <c r="Q32" s="303"/>
      <c r="R32" s="303"/>
      <c r="S32" s="303"/>
      <c r="T32" s="303"/>
      <c r="U32" s="303"/>
      <c r="V32" s="303"/>
      <c r="W32" s="303"/>
      <c r="X32" s="303"/>
      <c r="Y32" s="303"/>
    </row>
    <row r="33" spans="1:25" s="300" customFormat="1" ht="12.75" customHeight="1">
      <c r="A33" s="345"/>
      <c r="D33" s="312" t="s">
        <v>35</v>
      </c>
      <c r="E33" s="312" t="s">
        <v>34</v>
      </c>
      <c r="F33" s="312" t="s">
        <v>33</v>
      </c>
      <c r="G33" s="305"/>
      <c r="H33" s="305"/>
      <c r="I33" s="348"/>
      <c r="J33" s="301"/>
      <c r="K33" s="301"/>
      <c r="L33" s="303"/>
      <c r="M33" s="303"/>
      <c r="N33" s="303"/>
      <c r="O33" s="303"/>
      <c r="P33" s="301"/>
      <c r="Q33" s="303"/>
      <c r="R33" s="303"/>
      <c r="S33" s="303"/>
      <c r="T33" s="303"/>
      <c r="U33" s="303"/>
      <c r="V33" s="303"/>
      <c r="W33" s="303"/>
      <c r="X33" s="303"/>
      <c r="Y33" s="303"/>
    </row>
    <row r="34" spans="1:25" s="300" customFormat="1" ht="12.75" customHeight="1">
      <c r="A34" s="345"/>
      <c r="B34" s="1306" t="s">
        <v>79</v>
      </c>
      <c r="C34" s="357"/>
      <c r="D34" s="766">
        <v>35000</v>
      </c>
      <c r="E34" s="767">
        <v>1.1100000000000001</v>
      </c>
      <c r="F34" s="767">
        <v>1.2</v>
      </c>
      <c r="J34" s="303"/>
      <c r="K34" s="303"/>
      <c r="L34" s="303"/>
      <c r="M34" s="303"/>
      <c r="N34" s="303"/>
      <c r="O34" s="303"/>
      <c r="P34" s="301"/>
      <c r="Q34" s="303"/>
      <c r="R34" s="303"/>
      <c r="S34" s="303"/>
      <c r="T34" s="303"/>
      <c r="U34" s="303"/>
      <c r="V34" s="303"/>
      <c r="W34" s="303"/>
      <c r="X34" s="303"/>
      <c r="Y34" s="303"/>
    </row>
    <row r="35" spans="1:25" s="300" customFormat="1" ht="12.75" customHeight="1">
      <c r="A35" s="345"/>
      <c r="B35" s="1306" t="s">
        <v>78</v>
      </c>
      <c r="C35" s="357"/>
      <c r="D35" s="766">
        <v>3000</v>
      </c>
      <c r="E35" s="767">
        <v>1.1100000000000001</v>
      </c>
      <c r="F35" s="767">
        <v>1.2</v>
      </c>
      <c r="J35" s="303"/>
      <c r="K35" s="303"/>
      <c r="L35" s="303"/>
      <c r="M35" s="303"/>
      <c r="N35" s="303"/>
      <c r="O35" s="303"/>
      <c r="P35" s="301"/>
      <c r="Q35" s="303"/>
      <c r="R35" s="303"/>
      <c r="S35" s="303"/>
      <c r="T35" s="303"/>
      <c r="U35" s="303"/>
      <c r="V35" s="303"/>
      <c r="W35" s="303"/>
      <c r="X35" s="303"/>
      <c r="Y35" s="303"/>
    </row>
    <row r="36" spans="1:25" s="300" customFormat="1" ht="12.75" customHeight="1">
      <c r="A36" s="345"/>
      <c r="B36" s="1306" t="s">
        <v>1480</v>
      </c>
      <c r="C36" s="357"/>
      <c r="D36" s="766">
        <v>28000</v>
      </c>
      <c r="E36" s="1292">
        <v>1.1100000000000001</v>
      </c>
      <c r="F36" s="1292">
        <v>1.1499999999999999</v>
      </c>
      <c r="J36" s="303"/>
      <c r="K36" s="303"/>
      <c r="L36" s="303"/>
      <c r="M36" s="303"/>
      <c r="N36" s="303"/>
      <c r="O36" s="303"/>
      <c r="P36" s="301"/>
      <c r="Q36" s="303"/>
      <c r="R36" s="303"/>
      <c r="S36" s="303"/>
      <c r="T36" s="303"/>
      <c r="U36" s="303"/>
      <c r="V36" s="303"/>
      <c r="W36" s="303"/>
      <c r="X36" s="303"/>
      <c r="Y36" s="303"/>
    </row>
    <row r="37" spans="1:25" s="300" customFormat="1" ht="12.75" customHeight="1">
      <c r="A37" s="345"/>
      <c r="B37" s="1306" t="s">
        <v>1481</v>
      </c>
      <c r="C37" s="357"/>
      <c r="D37" s="766">
        <v>15000</v>
      </c>
      <c r="E37" s="1292">
        <v>1.1100000000000001</v>
      </c>
      <c r="F37" s="1292">
        <v>1.2</v>
      </c>
      <c r="J37" s="303"/>
      <c r="K37" s="303"/>
      <c r="L37" s="303"/>
      <c r="M37" s="303"/>
      <c r="N37" s="303"/>
      <c r="O37" s="303"/>
      <c r="P37" s="301"/>
      <c r="Q37" s="303"/>
      <c r="R37" s="303"/>
      <c r="S37" s="303"/>
      <c r="T37" s="303"/>
      <c r="U37" s="303"/>
      <c r="V37" s="303"/>
      <c r="W37" s="303"/>
      <c r="X37" s="303"/>
      <c r="Y37" s="303"/>
    </row>
    <row r="38" spans="1:25" s="300" customFormat="1" ht="12.75" customHeight="1">
      <c r="A38" s="345"/>
      <c r="B38" s="1306" t="s">
        <v>1482</v>
      </c>
      <c r="C38" s="357"/>
      <c r="D38" s="766">
        <v>3000</v>
      </c>
      <c r="E38" s="1292">
        <v>1.1100000000000001</v>
      </c>
      <c r="F38" s="1292">
        <v>1.2</v>
      </c>
      <c r="J38" s="303"/>
      <c r="K38" s="303"/>
      <c r="L38" s="303"/>
      <c r="M38" s="303"/>
      <c r="N38" s="303"/>
      <c r="O38" s="303"/>
      <c r="P38" s="301"/>
      <c r="Q38" s="303"/>
      <c r="R38" s="303"/>
      <c r="S38" s="303"/>
      <c r="T38" s="303"/>
      <c r="U38" s="303"/>
      <c r="V38" s="303"/>
      <c r="W38" s="303"/>
      <c r="X38" s="303"/>
      <c r="Y38" s="303"/>
    </row>
    <row r="39" spans="1:25" s="300" customFormat="1" ht="12.75" customHeight="1">
      <c r="A39" s="345"/>
      <c r="B39" s="1306" t="s">
        <v>1483</v>
      </c>
      <c r="C39" s="357"/>
      <c r="D39" s="766">
        <v>2900</v>
      </c>
      <c r="E39" s="1292">
        <v>1.1100000000000001</v>
      </c>
      <c r="F39" s="1292">
        <v>1.2</v>
      </c>
      <c r="J39" s="303"/>
      <c r="K39" s="303"/>
      <c r="L39" s="303"/>
      <c r="M39" s="303"/>
      <c r="N39" s="303"/>
      <c r="O39" s="303"/>
      <c r="P39" s="301"/>
      <c r="Q39" s="303"/>
      <c r="R39" s="303"/>
      <c r="S39" s="303"/>
      <c r="T39" s="303"/>
      <c r="U39" s="303"/>
      <c r="V39" s="303"/>
      <c r="W39" s="303"/>
      <c r="X39" s="303"/>
      <c r="Y39" s="303"/>
    </row>
    <row r="40" spans="1:25" s="300" customFormat="1" ht="12.75" customHeight="1">
      <c r="A40" s="345"/>
      <c r="B40" s="360"/>
      <c r="C40" s="303"/>
      <c r="D40" s="347"/>
      <c r="E40" s="306"/>
      <c r="F40" s="306"/>
      <c r="J40" s="303"/>
      <c r="K40" s="303"/>
      <c r="L40" s="303"/>
      <c r="M40" s="303"/>
      <c r="N40" s="303"/>
      <c r="O40" s="303"/>
      <c r="P40" s="301"/>
      <c r="Q40" s="303"/>
      <c r="R40" s="303"/>
      <c r="S40" s="303"/>
      <c r="T40" s="303"/>
      <c r="U40" s="303"/>
      <c r="V40" s="303"/>
      <c r="W40" s="303"/>
      <c r="X40" s="303"/>
      <c r="Y40" s="303"/>
    </row>
    <row r="41" spans="1:25" s="300" customFormat="1" ht="12.75" customHeight="1">
      <c r="A41" s="345"/>
      <c r="B41" s="361" t="s">
        <v>101</v>
      </c>
      <c r="C41" s="362"/>
      <c r="D41" s="363">
        <f>SUM(D34:D40)</f>
        <v>86900</v>
      </c>
      <c r="E41" s="363">
        <f>SUMPRODUCT(D34:D40,E34:E40)</f>
        <v>96459</v>
      </c>
      <c r="F41" s="363">
        <f>SUMPRODUCT(D34:D40,E34:E40,F34:F40)</f>
        <v>114196.8</v>
      </c>
      <c r="J41" s="303"/>
      <c r="K41" s="303"/>
      <c r="L41" s="303"/>
      <c r="M41" s="303"/>
      <c r="N41" s="303"/>
      <c r="O41" s="303"/>
      <c r="P41" s="301"/>
      <c r="Q41" s="303"/>
      <c r="R41" s="303"/>
      <c r="S41" s="303"/>
      <c r="T41" s="303"/>
      <c r="U41" s="303"/>
      <c r="V41" s="303"/>
      <c r="W41" s="303"/>
      <c r="X41" s="303"/>
      <c r="Y41" s="303"/>
    </row>
    <row r="42" spans="1:25" s="300" customFormat="1" ht="12.75" customHeight="1">
      <c r="A42" s="345"/>
      <c r="B42" s="360"/>
      <c r="C42" s="303"/>
      <c r="D42" s="347"/>
      <c r="E42" s="306"/>
      <c r="F42" s="306"/>
      <c r="J42" s="303"/>
      <c r="K42" s="303"/>
      <c r="L42" s="303"/>
      <c r="M42" s="303"/>
      <c r="N42" s="303"/>
      <c r="O42" s="303"/>
      <c r="P42" s="301"/>
      <c r="Q42" s="303"/>
      <c r="R42" s="303"/>
      <c r="S42" s="303"/>
      <c r="T42" s="303"/>
      <c r="U42" s="303"/>
      <c r="V42" s="303"/>
      <c r="W42" s="303"/>
      <c r="X42" s="303"/>
      <c r="Y42" s="303"/>
    </row>
    <row r="43" spans="1:25" s="300" customFormat="1" ht="12.75" customHeight="1">
      <c r="A43" s="345"/>
      <c r="B43" s="360"/>
      <c r="C43" s="303"/>
      <c r="D43" s="347"/>
      <c r="E43" s="306"/>
      <c r="F43" s="306"/>
      <c r="J43" s="303"/>
      <c r="K43" s="303"/>
      <c r="L43" s="303"/>
      <c r="M43" s="303"/>
      <c r="N43" s="303"/>
      <c r="O43" s="303"/>
      <c r="P43" s="301"/>
      <c r="Q43" s="303"/>
      <c r="R43" s="303"/>
      <c r="S43" s="303"/>
      <c r="T43" s="303"/>
      <c r="U43" s="303"/>
      <c r="V43" s="303"/>
      <c r="W43" s="303"/>
      <c r="X43" s="303"/>
      <c r="Y43" s="303"/>
    </row>
    <row r="44" spans="1:25" s="300" customFormat="1" ht="15.75">
      <c r="A44" s="294">
        <v>4</v>
      </c>
      <c r="B44" s="1308" t="s">
        <v>83</v>
      </c>
      <c r="C44" s="1314"/>
      <c r="D44" s="1314"/>
      <c r="E44" s="1314"/>
      <c r="F44" s="1314"/>
      <c r="J44" s="303"/>
      <c r="K44" s="681"/>
      <c r="L44" s="303"/>
      <c r="M44" s="303"/>
      <c r="N44" s="303"/>
      <c r="O44" s="303"/>
      <c r="P44" s="301"/>
      <c r="Q44" s="303"/>
      <c r="R44" s="303"/>
      <c r="S44" s="303"/>
      <c r="T44" s="303"/>
      <c r="U44" s="303"/>
      <c r="V44" s="303"/>
      <c r="W44" s="303"/>
      <c r="X44" s="303"/>
      <c r="Y44" s="303"/>
    </row>
    <row r="45" spans="1:25" s="300" customFormat="1" ht="12.75" customHeight="1">
      <c r="A45" s="345"/>
      <c r="F45" s="1458" t="s">
        <v>334</v>
      </c>
      <c r="G45" s="1458"/>
      <c r="L45" s="303"/>
      <c r="M45" s="303"/>
      <c r="N45" s="303"/>
      <c r="O45" s="303"/>
      <c r="P45" s="301"/>
      <c r="Q45" s="303"/>
      <c r="R45" s="303"/>
      <c r="S45" s="303"/>
      <c r="T45" s="303"/>
      <c r="U45" s="303"/>
      <c r="V45" s="303"/>
      <c r="W45" s="303"/>
      <c r="X45" s="303"/>
      <c r="Y45" s="303"/>
    </row>
    <row r="46" spans="1:25" s="300" customFormat="1" ht="12.75" customHeight="1">
      <c r="A46" s="345"/>
      <c r="D46" s="323" t="s">
        <v>333</v>
      </c>
      <c r="E46" s="671" t="s">
        <v>368</v>
      </c>
      <c r="F46" s="323" t="s">
        <v>34</v>
      </c>
      <c r="G46" s="323" t="s">
        <v>33</v>
      </c>
      <c r="H46" s="304"/>
      <c r="I46" s="304"/>
      <c r="L46" s="301"/>
      <c r="O46" s="301"/>
      <c r="P46" s="301"/>
      <c r="Q46" s="303"/>
      <c r="R46" s="303"/>
      <c r="S46" s="303"/>
      <c r="T46" s="303"/>
      <c r="U46" s="303"/>
      <c r="V46" s="303"/>
      <c r="W46" s="303"/>
      <c r="X46" s="303"/>
      <c r="Y46" s="303"/>
    </row>
    <row r="47" spans="1:25" s="300" customFormat="1" ht="11.25">
      <c r="B47" s="1306" t="s">
        <v>332</v>
      </c>
      <c r="C47" s="357"/>
      <c r="D47" s="766">
        <f>45*1500</f>
        <v>67500</v>
      </c>
      <c r="E47" s="640">
        <v>1500</v>
      </c>
      <c r="F47" s="767">
        <v>1.1100000000000001</v>
      </c>
      <c r="G47" s="767">
        <v>1.2</v>
      </c>
      <c r="H47" s="305"/>
      <c r="I47" s="348"/>
      <c r="L47" s="301"/>
      <c r="O47" s="301"/>
      <c r="P47" s="301"/>
      <c r="Q47" s="303"/>
      <c r="R47" s="303"/>
      <c r="S47" s="303"/>
      <c r="T47" s="303"/>
      <c r="U47" s="303"/>
      <c r="V47" s="303"/>
      <c r="W47" s="303"/>
      <c r="X47" s="303"/>
      <c r="Y47" s="303"/>
    </row>
    <row r="48" spans="1:25" s="300" customFormat="1" ht="11.25">
      <c r="B48" s="303"/>
      <c r="C48" s="303"/>
      <c r="D48" s="303"/>
      <c r="E48" s="303"/>
      <c r="F48" s="303"/>
      <c r="G48" s="303"/>
      <c r="J48" s="303"/>
      <c r="K48" s="303"/>
      <c r="L48" s="301"/>
      <c r="O48" s="301"/>
      <c r="P48" s="301"/>
      <c r="Q48" s="303"/>
      <c r="R48" s="303"/>
      <c r="S48" s="303"/>
      <c r="T48" s="303"/>
      <c r="U48" s="303"/>
      <c r="V48" s="303"/>
      <c r="W48" s="303"/>
      <c r="X48" s="303"/>
      <c r="Y48" s="303"/>
    </row>
    <row r="49" spans="1:25" s="300" customFormat="1" ht="12.75" customHeight="1">
      <c r="A49" s="345"/>
      <c r="B49" s="304"/>
      <c r="C49" s="682"/>
      <c r="D49" s="676" t="s">
        <v>35</v>
      </c>
      <c r="E49" s="676" t="s">
        <v>34</v>
      </c>
      <c r="F49" s="676" t="s">
        <v>33</v>
      </c>
      <c r="O49" s="301"/>
      <c r="P49" s="301"/>
      <c r="Q49" s="303"/>
      <c r="R49" s="303"/>
      <c r="S49" s="303"/>
      <c r="T49" s="303"/>
      <c r="U49" s="303"/>
      <c r="V49" s="303"/>
      <c r="W49" s="303"/>
      <c r="X49" s="303"/>
      <c r="Y49" s="303"/>
    </row>
    <row r="50" spans="1:25" s="300" customFormat="1">
      <c r="B50" s="361" t="s">
        <v>101</v>
      </c>
      <c r="C50" s="362"/>
      <c r="D50" s="679">
        <f>SUM(D47:D48)</f>
        <v>67500</v>
      </c>
      <c r="E50" s="679">
        <f>SUMPRODUCT(D47:D48,F47:F48)</f>
        <v>74925</v>
      </c>
      <c r="F50" s="679">
        <f>SUMPRODUCT(D47:D48,G47:G48,F47:F48)</f>
        <v>89910.000000000015</v>
      </c>
      <c r="I50" s="304"/>
      <c r="J50" s="303"/>
      <c r="K50" s="303"/>
      <c r="L50" s="301"/>
      <c r="O50" s="301"/>
      <c r="P50" s="301"/>
      <c r="Q50" s="303"/>
      <c r="R50" s="303"/>
      <c r="S50" s="303"/>
      <c r="T50" s="303"/>
      <c r="U50" s="303"/>
      <c r="V50" s="303"/>
      <c r="W50" s="303"/>
      <c r="X50" s="303"/>
      <c r="Y50" s="303"/>
    </row>
    <row r="51" spans="1:25" s="300" customFormat="1" ht="11.25">
      <c r="I51" s="304"/>
      <c r="J51" s="303"/>
      <c r="K51" s="303"/>
      <c r="L51" s="301"/>
      <c r="O51" s="301"/>
      <c r="P51" s="301"/>
      <c r="Q51" s="303"/>
      <c r="R51" s="303"/>
      <c r="S51" s="303"/>
      <c r="T51" s="303"/>
      <c r="U51" s="303"/>
      <c r="V51" s="303"/>
      <c r="W51" s="303"/>
      <c r="X51" s="303"/>
      <c r="Y51" s="303"/>
    </row>
    <row r="52" spans="1:25" s="300" customFormat="1" ht="11.25">
      <c r="E52" s="304"/>
      <c r="J52" s="303"/>
      <c r="K52" s="303"/>
      <c r="L52" s="301"/>
      <c r="O52" s="301"/>
      <c r="P52" s="301"/>
      <c r="Q52" s="303"/>
      <c r="R52" s="303"/>
      <c r="S52" s="303"/>
      <c r="T52" s="303"/>
      <c r="U52" s="303"/>
      <c r="V52" s="303"/>
      <c r="W52" s="303"/>
      <c r="X52" s="303"/>
      <c r="Y52" s="303"/>
    </row>
    <row r="53" spans="1:25" s="300" customFormat="1" ht="15.75">
      <c r="A53" s="294">
        <v>5</v>
      </c>
      <c r="B53" s="1308" t="s">
        <v>335</v>
      </c>
      <c r="C53" s="1314"/>
      <c r="D53" s="1314"/>
      <c r="E53" s="1314"/>
      <c r="F53" s="1314"/>
      <c r="J53" s="303"/>
      <c r="K53" s="489"/>
      <c r="L53" s="301"/>
      <c r="O53" s="301"/>
      <c r="P53" s="301"/>
      <c r="Q53" s="303"/>
      <c r="R53" s="303"/>
      <c r="S53" s="303"/>
      <c r="T53" s="303"/>
      <c r="U53" s="303"/>
      <c r="V53" s="303"/>
      <c r="W53" s="303"/>
      <c r="X53" s="303"/>
      <c r="Y53" s="303"/>
    </row>
    <row r="54" spans="1:25" s="300" customFormat="1" ht="11.25">
      <c r="B54" s="304"/>
      <c r="C54" s="682"/>
      <c r="D54" s="676" t="s">
        <v>35</v>
      </c>
      <c r="E54" s="676" t="s">
        <v>34</v>
      </c>
      <c r="F54" s="676" t="s">
        <v>33</v>
      </c>
      <c r="J54" s="301"/>
      <c r="K54" s="301"/>
      <c r="L54" s="301"/>
      <c r="O54" s="301"/>
      <c r="P54" s="301"/>
      <c r="Q54" s="303"/>
      <c r="R54" s="303"/>
      <c r="S54" s="303"/>
      <c r="T54" s="303"/>
      <c r="U54" s="303"/>
      <c r="V54" s="303"/>
      <c r="W54" s="303"/>
      <c r="X54" s="303"/>
      <c r="Y54" s="303"/>
    </row>
    <row r="55" spans="1:25" s="300" customFormat="1" ht="11.25">
      <c r="B55" s="1453" t="s">
        <v>340</v>
      </c>
      <c r="C55" s="1455"/>
      <c r="D55" s="323" t="s">
        <v>642</v>
      </c>
      <c r="E55" s="323" t="s">
        <v>336</v>
      </c>
      <c r="F55" s="323" t="s">
        <v>341</v>
      </c>
      <c r="G55" s="323" t="s">
        <v>339</v>
      </c>
      <c r="H55" s="323" t="s">
        <v>342</v>
      </c>
      <c r="I55" s="305"/>
      <c r="J55" s="301"/>
      <c r="K55" s="301"/>
      <c r="L55" s="301"/>
      <c r="O55" s="301"/>
      <c r="P55" s="301"/>
      <c r="Q55" s="303"/>
      <c r="R55" s="303"/>
      <c r="S55" s="303"/>
      <c r="T55" s="303"/>
      <c r="U55" s="303"/>
      <c r="V55" s="303"/>
      <c r="W55" s="303"/>
      <c r="X55" s="303"/>
      <c r="Y55" s="303"/>
    </row>
    <row r="56" spans="1:25" s="300" customFormat="1" ht="11.25">
      <c r="B56" s="768" t="s">
        <v>338</v>
      </c>
      <c r="C56" s="740"/>
      <c r="D56" s="1280">
        <v>40000</v>
      </c>
      <c r="E56" s="1281">
        <v>0.04</v>
      </c>
      <c r="F56" s="768">
        <v>36</v>
      </c>
      <c r="G56" s="768">
        <v>12</v>
      </c>
      <c r="H56" s="768" t="s">
        <v>371</v>
      </c>
      <c r="I56" s="305"/>
      <c r="J56" s="301"/>
      <c r="K56" s="301"/>
      <c r="L56" s="301"/>
      <c r="O56" s="301"/>
      <c r="P56" s="301"/>
      <c r="Q56" s="303"/>
      <c r="R56" s="303"/>
      <c r="S56" s="303"/>
      <c r="T56" s="303"/>
      <c r="U56" s="303"/>
      <c r="V56" s="303"/>
      <c r="W56" s="303"/>
      <c r="X56" s="303"/>
      <c r="Y56" s="303"/>
    </row>
    <row r="57" spans="1:25" s="300" customFormat="1" ht="11.25">
      <c r="B57" s="303"/>
      <c r="C57" s="303"/>
      <c r="D57" s="683"/>
      <c r="E57" s="1315"/>
      <c r="F57" s="303"/>
      <c r="G57" s="303"/>
      <c r="H57" s="303"/>
      <c r="O57" s="301"/>
      <c r="P57" s="301"/>
      <c r="Q57" s="303"/>
      <c r="R57" s="303"/>
      <c r="S57" s="303"/>
      <c r="T57" s="303"/>
      <c r="U57" s="303"/>
      <c r="V57" s="303"/>
      <c r="W57" s="303"/>
      <c r="X57" s="303"/>
      <c r="Y57" s="303"/>
    </row>
    <row r="58" spans="1:25" s="300" customFormat="1">
      <c r="B58" s="361" t="s">
        <v>679</v>
      </c>
      <c r="C58" s="362"/>
      <c r="D58" s="1316">
        <f>SUM(D56:D56)</f>
        <v>40000</v>
      </c>
      <c r="E58" s="1317"/>
      <c r="F58" s="1317"/>
      <c r="O58" s="301"/>
      <c r="P58" s="301"/>
      <c r="Q58" s="303"/>
      <c r="R58" s="303"/>
      <c r="S58" s="303"/>
      <c r="T58" s="303"/>
      <c r="U58" s="303"/>
      <c r="V58" s="303"/>
      <c r="W58" s="303"/>
      <c r="X58" s="303"/>
      <c r="Y58" s="303"/>
    </row>
    <row r="59" spans="1:25" s="300" customFormat="1">
      <c r="B59" s="361" t="s">
        <v>333</v>
      </c>
      <c r="C59" s="362"/>
      <c r="D59" s="1316">
        <f>debtAnnualPaymentsFY1(DebtRangeFin)</f>
        <v>14156.248179254284</v>
      </c>
      <c r="E59" s="1316">
        <f>debtAnnualPaymentsFY2(DebtRangeFin)</f>
        <v>14156.248179254284</v>
      </c>
      <c r="F59" s="1316">
        <f>debtAnnualPaymentsFY3(DebtRangeFin)</f>
        <v>14156.248179254284</v>
      </c>
      <c r="O59" s="301"/>
      <c r="P59" s="301"/>
      <c r="Q59" s="303"/>
      <c r="R59" s="303"/>
      <c r="S59" s="303"/>
      <c r="T59" s="303"/>
      <c r="U59" s="303"/>
      <c r="V59" s="303"/>
      <c r="W59" s="303"/>
      <c r="X59" s="303"/>
      <c r="Y59" s="303"/>
    </row>
    <row r="60" spans="1:25" s="300" customFormat="1">
      <c r="B60" s="361" t="s">
        <v>680</v>
      </c>
      <c r="C60" s="362"/>
      <c r="D60" s="1318">
        <v>150000</v>
      </c>
      <c r="E60" s="1317"/>
      <c r="F60" s="1317"/>
      <c r="O60" s="301"/>
      <c r="P60" s="301"/>
      <c r="Q60" s="303"/>
      <c r="R60" s="303"/>
      <c r="S60" s="303"/>
      <c r="T60" s="303"/>
      <c r="U60" s="303"/>
      <c r="V60" s="303"/>
      <c r="W60" s="303"/>
      <c r="X60" s="303"/>
      <c r="Y60" s="303"/>
    </row>
    <row r="61" spans="1:25" s="301" customFormat="1">
      <c r="B61" s="885"/>
      <c r="C61" s="774"/>
      <c r="D61" s="1318"/>
      <c r="E61" s="1319"/>
      <c r="F61" s="1319"/>
      <c r="Q61" s="303"/>
      <c r="R61" s="303"/>
      <c r="S61" s="303"/>
      <c r="T61" s="303"/>
      <c r="U61" s="303"/>
      <c r="V61" s="303"/>
      <c r="W61" s="303"/>
      <c r="X61" s="303"/>
      <c r="Y61" s="303"/>
    </row>
    <row r="62" spans="1:25" s="300" customFormat="1" ht="11.25">
      <c r="O62" s="301"/>
      <c r="P62" s="301"/>
      <c r="Q62" s="303"/>
      <c r="R62" s="303"/>
      <c r="S62" s="303"/>
      <c r="T62" s="303"/>
      <c r="U62" s="303"/>
      <c r="V62" s="303"/>
      <c r="W62" s="303"/>
      <c r="X62" s="303"/>
      <c r="Y62" s="303"/>
    </row>
    <row r="63" spans="1:25" s="300" customFormat="1" ht="15.75">
      <c r="A63" s="294">
        <v>6</v>
      </c>
      <c r="B63" s="1308" t="s">
        <v>343</v>
      </c>
      <c r="C63" s="1314"/>
      <c r="D63" s="1314"/>
      <c r="E63" s="1314"/>
      <c r="F63" s="1314"/>
      <c r="O63" s="301"/>
      <c r="P63" s="301"/>
      <c r="Q63" s="303"/>
      <c r="R63" s="303"/>
      <c r="S63" s="303"/>
      <c r="T63" s="303"/>
      <c r="U63" s="303"/>
      <c r="V63" s="303"/>
      <c r="W63" s="303"/>
      <c r="X63" s="303"/>
      <c r="Y63" s="303"/>
    </row>
    <row r="64" spans="1:25" s="300" customFormat="1" ht="11.25">
      <c r="B64" s="671" t="s">
        <v>344</v>
      </c>
      <c r="C64" s="685"/>
      <c r="D64" s="685" t="s">
        <v>345</v>
      </c>
      <c r="O64" s="301"/>
      <c r="P64" s="301"/>
      <c r="Q64" s="303"/>
      <c r="R64" s="303"/>
      <c r="S64" s="303"/>
      <c r="T64" s="303"/>
      <c r="U64" s="303"/>
      <c r="V64" s="303"/>
      <c r="W64" s="303"/>
      <c r="X64" s="303"/>
      <c r="Y64" s="303"/>
    </row>
    <row r="65" spans="1:25" s="300" customFormat="1" ht="11.25">
      <c r="B65" s="357" t="s">
        <v>118</v>
      </c>
      <c r="C65" s="357"/>
      <c r="D65" s="1282">
        <v>0.25</v>
      </c>
      <c r="O65" s="301"/>
      <c r="P65" s="301"/>
      <c r="Q65" s="303"/>
      <c r="R65" s="303"/>
      <c r="S65" s="303"/>
      <c r="T65" s="303"/>
      <c r="U65" s="303"/>
      <c r="V65" s="303"/>
      <c r="W65" s="303"/>
      <c r="X65" s="303"/>
      <c r="Y65" s="303"/>
    </row>
    <row r="66" spans="1:25" s="300" customFormat="1" ht="12.75" customHeight="1">
      <c r="A66" s="345"/>
      <c r="B66" s="304"/>
      <c r="C66" s="682"/>
      <c r="O66" s="301"/>
      <c r="P66" s="301"/>
      <c r="Q66" s="303"/>
      <c r="R66" s="303"/>
      <c r="S66" s="303"/>
      <c r="T66" s="303"/>
      <c r="U66" s="303"/>
      <c r="V66" s="303"/>
      <c r="W66" s="303"/>
      <c r="X66" s="303"/>
      <c r="Y66" s="303"/>
    </row>
    <row r="67" spans="1:25" s="300" customFormat="1" ht="12.75" customHeight="1">
      <c r="A67" s="345"/>
      <c r="B67" s="304"/>
      <c r="C67" s="682"/>
      <c r="O67" s="301"/>
      <c r="P67" s="301"/>
      <c r="Q67" s="303"/>
      <c r="R67" s="303"/>
      <c r="S67" s="303"/>
      <c r="T67" s="303"/>
      <c r="U67" s="303"/>
      <c r="V67" s="303"/>
      <c r="W67" s="303"/>
      <c r="X67" s="303"/>
      <c r="Y67" s="303"/>
    </row>
    <row r="68" spans="1:25" s="300" customFormat="1" ht="15.75" hidden="1">
      <c r="A68" s="294">
        <v>7</v>
      </c>
      <c r="B68" s="436" t="s">
        <v>356</v>
      </c>
      <c r="C68" s="1320"/>
      <c r="D68" s="1314"/>
      <c r="E68" s="1314"/>
      <c r="F68" s="1314"/>
      <c r="O68" s="301"/>
      <c r="P68" s="301"/>
      <c r="Q68" s="303"/>
      <c r="R68" s="303"/>
      <c r="S68" s="303"/>
      <c r="T68" s="303"/>
      <c r="U68" s="303"/>
      <c r="V68" s="303"/>
      <c r="W68" s="303"/>
      <c r="X68" s="303"/>
      <c r="Y68" s="303"/>
    </row>
    <row r="69" spans="1:25" s="300" customFormat="1" ht="11.25" hidden="1">
      <c r="B69" s="671" t="s">
        <v>357</v>
      </c>
      <c r="C69" s="685"/>
      <c r="D69" s="687" t="s">
        <v>337</v>
      </c>
      <c r="O69" s="301"/>
      <c r="P69" s="301"/>
      <c r="Q69" s="303"/>
      <c r="R69" s="303"/>
      <c r="S69" s="303"/>
      <c r="T69" s="303"/>
      <c r="U69" s="303"/>
      <c r="V69" s="303"/>
      <c r="W69" s="303"/>
      <c r="X69" s="303"/>
      <c r="Y69" s="303"/>
    </row>
    <row r="70" spans="1:25" s="300" customFormat="1" ht="11.25" hidden="1">
      <c r="B70" s="357"/>
      <c r="C70" s="1321"/>
      <c r="D70" s="768"/>
      <c r="O70" s="301"/>
      <c r="P70" s="301"/>
      <c r="Q70" s="303"/>
      <c r="R70" s="303"/>
      <c r="S70" s="303"/>
      <c r="T70" s="303"/>
      <c r="U70" s="303"/>
      <c r="V70" s="303"/>
      <c r="W70" s="303"/>
      <c r="X70" s="303"/>
      <c r="Y70" s="303"/>
    </row>
    <row r="71" spans="1:25" s="300" customFormat="1" ht="11.25" hidden="1">
      <c r="O71" s="301"/>
      <c r="P71" s="301"/>
      <c r="Q71" s="303"/>
      <c r="R71" s="303"/>
      <c r="S71" s="303"/>
      <c r="T71" s="303"/>
      <c r="U71" s="303"/>
      <c r="V71" s="303"/>
      <c r="W71" s="303"/>
      <c r="X71" s="303"/>
      <c r="Y71" s="303"/>
    </row>
    <row r="72" spans="1:25" s="300" customFormat="1" hidden="1">
      <c r="B72" s="361" t="s">
        <v>101</v>
      </c>
      <c r="D72" s="300" t="str">
        <f>IF(SUM(D70:D71)=0,"",SUM(D70:D71))</f>
        <v/>
      </c>
      <c r="O72" s="301"/>
      <c r="P72" s="301"/>
      <c r="Q72" s="303"/>
      <c r="R72" s="303"/>
      <c r="S72" s="303"/>
      <c r="T72" s="303"/>
      <c r="U72" s="303"/>
      <c r="V72" s="303"/>
      <c r="W72" s="303"/>
      <c r="X72" s="303"/>
      <c r="Y72" s="303"/>
    </row>
    <row r="73" spans="1:25" s="300" customFormat="1" ht="15.75">
      <c r="A73" s="294">
        <v>7</v>
      </c>
      <c r="B73" s="1308" t="s">
        <v>626</v>
      </c>
      <c r="C73" s="1322"/>
      <c r="D73" s="1322"/>
      <c r="E73" s="1322"/>
      <c r="F73" s="1322"/>
      <c r="O73" s="301"/>
      <c r="P73" s="301"/>
      <c r="Q73" s="303"/>
      <c r="R73" s="303"/>
      <c r="S73" s="303"/>
      <c r="T73" s="303"/>
      <c r="U73" s="303"/>
      <c r="V73" s="303"/>
      <c r="W73" s="303"/>
      <c r="X73" s="303"/>
      <c r="Y73" s="303"/>
    </row>
    <row r="74" spans="1:25" s="300" customFormat="1" ht="11.25">
      <c r="O74" s="301"/>
      <c r="P74" s="301"/>
      <c r="Q74" s="303"/>
      <c r="R74" s="303"/>
      <c r="S74" s="303"/>
      <c r="T74" s="303"/>
      <c r="U74" s="303"/>
      <c r="V74" s="303"/>
      <c r="W74" s="303"/>
      <c r="X74" s="303"/>
      <c r="Y74" s="303"/>
    </row>
    <row r="75" spans="1:25" s="38" customFormat="1" ht="15.75">
      <c r="A75" s="1323"/>
      <c r="B75" s="667"/>
      <c r="C75" s="1324"/>
      <c r="D75" s="1324"/>
      <c r="E75" s="303" t="s">
        <v>345</v>
      </c>
      <c r="F75" s="303"/>
      <c r="G75" s="303"/>
      <c r="H75" s="303"/>
      <c r="I75" s="381"/>
      <c r="J75" s="303"/>
      <c r="K75" s="303"/>
      <c r="L75" s="303"/>
      <c r="M75" s="360"/>
      <c r="N75" s="301"/>
      <c r="O75" s="301"/>
      <c r="P75" s="303"/>
      <c r="Q75" s="303"/>
      <c r="R75" s="373"/>
      <c r="S75" s="367"/>
      <c r="T75" s="367"/>
      <c r="U75" s="367"/>
      <c r="V75" s="368"/>
    </row>
    <row r="76" spans="1:25">
      <c r="B76" s="1325" t="s">
        <v>865</v>
      </c>
      <c r="C76" s="1326"/>
      <c r="D76" s="1326"/>
      <c r="E76" s="1330">
        <v>0.05</v>
      </c>
      <c r="F76" s="292"/>
      <c r="G76" s="292"/>
      <c r="H76" s="292"/>
      <c r="I76" s="292"/>
      <c r="J76" s="292"/>
      <c r="K76" s="292"/>
      <c r="L76" s="292"/>
      <c r="M76" s="292"/>
      <c r="N76" s="292"/>
      <c r="O76" s="292"/>
      <c r="P76" s="292"/>
      <c r="Q76" s="292"/>
      <c r="R76" s="292"/>
      <c r="S76" s="292"/>
      <c r="T76" s="292"/>
      <c r="U76" s="292"/>
      <c r="V76" s="292"/>
    </row>
    <row r="77" spans="1:25">
      <c r="B77" s="1327" t="s">
        <v>866</v>
      </c>
      <c r="C77" s="1328"/>
      <c r="D77" s="1329"/>
      <c r="E77" s="1331">
        <v>0.01</v>
      </c>
      <c r="F77" s="947"/>
      <c r="G77" s="1278"/>
      <c r="H77" s="292"/>
      <c r="I77" s="292"/>
      <c r="J77" s="292"/>
      <c r="K77" s="292"/>
      <c r="L77" s="292"/>
      <c r="M77" s="292"/>
      <c r="N77" s="292"/>
      <c r="O77" s="292"/>
      <c r="P77" s="292"/>
      <c r="Q77" s="292"/>
      <c r="R77" s="292"/>
      <c r="S77" s="292"/>
      <c r="T77" s="292"/>
      <c r="U77" s="292"/>
      <c r="V77" s="292"/>
    </row>
    <row r="78" spans="1:25">
      <c r="B78" s="292"/>
      <c r="C78" s="292"/>
      <c r="D78" s="292"/>
      <c r="E78" s="292"/>
      <c r="F78" s="292"/>
      <c r="G78" s="292"/>
      <c r="H78" s="292"/>
      <c r="I78" s="292"/>
      <c r="J78" s="292"/>
      <c r="K78" s="292"/>
      <c r="L78" s="292"/>
      <c r="M78" s="292"/>
      <c r="N78" s="292"/>
      <c r="O78" s="292"/>
      <c r="P78" s="292"/>
      <c r="Q78" s="292"/>
      <c r="R78" s="292"/>
      <c r="S78" s="292"/>
      <c r="T78" s="292"/>
      <c r="U78" s="292"/>
      <c r="V78" s="292"/>
    </row>
    <row r="79" spans="1:25">
      <c r="B79" s="292"/>
      <c r="C79" s="292"/>
      <c r="D79" s="292"/>
      <c r="E79" s="292"/>
      <c r="F79" s="292"/>
      <c r="G79" s="292"/>
      <c r="H79" s="292"/>
      <c r="I79" s="292"/>
      <c r="J79" s="292"/>
      <c r="K79" s="292"/>
      <c r="L79" s="292"/>
      <c r="M79" s="292"/>
      <c r="N79" s="292"/>
      <c r="O79" s="292"/>
      <c r="P79" s="292"/>
      <c r="Q79" s="292"/>
      <c r="R79" s="292"/>
      <c r="S79" s="292"/>
      <c r="T79" s="292"/>
      <c r="U79" s="292"/>
      <c r="V79" s="292"/>
    </row>
    <row r="80" spans="1:25">
      <c r="B80" s="292"/>
      <c r="C80" s="292"/>
      <c r="D80" s="292"/>
      <c r="E80" s="292"/>
      <c r="F80" s="292"/>
      <c r="G80" s="292"/>
      <c r="H80" s="292"/>
      <c r="I80" s="292"/>
      <c r="J80" s="292"/>
      <c r="K80" s="292"/>
      <c r="L80" s="292"/>
      <c r="M80" s="292"/>
      <c r="N80" s="292"/>
      <c r="O80" s="292"/>
      <c r="P80" s="292"/>
      <c r="Q80" s="292"/>
      <c r="R80" s="292"/>
      <c r="S80" s="292"/>
      <c r="T80" s="292"/>
      <c r="U80" s="292"/>
      <c r="V80" s="292"/>
    </row>
    <row r="81" spans="1:21">
      <c r="A81" s="292"/>
      <c r="B81" s="292"/>
      <c r="C81" s="292"/>
      <c r="D81" s="292"/>
      <c r="E81" s="292"/>
      <c r="F81" s="292"/>
      <c r="G81" s="292"/>
      <c r="H81" s="292"/>
      <c r="I81" s="292"/>
      <c r="J81" s="292"/>
      <c r="K81" s="292"/>
      <c r="L81" s="292"/>
      <c r="M81" s="292"/>
      <c r="N81" s="292"/>
      <c r="O81" s="292"/>
      <c r="P81" s="292"/>
      <c r="Q81" s="292"/>
      <c r="R81" s="292"/>
      <c r="S81" s="292"/>
      <c r="T81" s="292"/>
      <c r="U81" s="292"/>
    </row>
    <row r="82" spans="1:21">
      <c r="A82" s="292"/>
      <c r="B82" s="292"/>
      <c r="C82" s="292"/>
      <c r="D82" s="292"/>
      <c r="E82" s="292"/>
      <c r="F82" s="292"/>
      <c r="G82" s="292"/>
      <c r="H82" s="292"/>
      <c r="I82" s="292"/>
      <c r="J82" s="292"/>
      <c r="K82" s="292"/>
      <c r="L82" s="292"/>
      <c r="M82" s="292"/>
      <c r="N82" s="292"/>
      <c r="O82" s="292"/>
      <c r="P82" s="292"/>
      <c r="Q82" s="292"/>
      <c r="R82" s="292"/>
      <c r="S82" s="292"/>
      <c r="T82" s="292"/>
      <c r="U82" s="292"/>
    </row>
    <row r="83" spans="1:21">
      <c r="A83" s="292"/>
      <c r="B83" s="292"/>
      <c r="C83" s="292"/>
      <c r="D83" s="292"/>
      <c r="E83" s="292"/>
      <c r="F83" s="292"/>
      <c r="G83" s="292"/>
      <c r="H83" s="292"/>
      <c r="I83" s="292"/>
      <c r="J83" s="292"/>
      <c r="K83" s="292"/>
      <c r="L83" s="292"/>
      <c r="M83" s="292"/>
      <c r="N83" s="292"/>
      <c r="O83" s="292"/>
      <c r="P83" s="292"/>
      <c r="Q83" s="292"/>
      <c r="R83" s="292"/>
      <c r="S83" s="292"/>
      <c r="T83" s="292"/>
      <c r="U83" s="292"/>
    </row>
    <row r="84" spans="1:21">
      <c r="A84" s="292"/>
      <c r="B84" s="292"/>
      <c r="C84" s="292"/>
      <c r="D84" s="292"/>
      <c r="E84" s="292"/>
      <c r="F84" s="292"/>
      <c r="G84" s="292"/>
      <c r="H84" s="292"/>
      <c r="I84" s="292"/>
      <c r="J84" s="292"/>
      <c r="K84" s="292"/>
      <c r="L84" s="292"/>
      <c r="M84" s="292"/>
      <c r="N84" s="292"/>
      <c r="O84" s="292"/>
      <c r="P84" s="292"/>
      <c r="Q84" s="292"/>
      <c r="R84" s="292"/>
      <c r="S84" s="292"/>
      <c r="T84" s="292"/>
      <c r="U84" s="292"/>
    </row>
    <row r="85" spans="1:21">
      <c r="A85" s="292"/>
      <c r="B85" s="292"/>
      <c r="C85" s="292"/>
      <c r="D85" s="292"/>
      <c r="E85" s="292"/>
      <c r="F85" s="292"/>
      <c r="G85" s="292"/>
      <c r="H85" s="292"/>
      <c r="I85" s="292"/>
      <c r="J85" s="292"/>
      <c r="K85" s="292"/>
      <c r="L85" s="292"/>
      <c r="M85" s="292"/>
      <c r="N85" s="292"/>
      <c r="O85" s="292"/>
      <c r="P85" s="292"/>
      <c r="Q85" s="292"/>
      <c r="R85" s="292"/>
      <c r="S85" s="292"/>
      <c r="T85" s="292"/>
      <c r="U85" s="292"/>
    </row>
    <row r="86" spans="1:21">
      <c r="A86" s="292"/>
      <c r="B86" s="292"/>
      <c r="C86" s="292"/>
      <c r="D86" s="292"/>
      <c r="E86" s="292"/>
      <c r="F86" s="292"/>
      <c r="G86" s="292"/>
      <c r="H86" s="292"/>
      <c r="I86" s="292"/>
      <c r="J86" s="292"/>
      <c r="K86" s="292"/>
      <c r="L86" s="292"/>
      <c r="M86" s="292"/>
      <c r="N86" s="292"/>
      <c r="O86" s="292"/>
      <c r="P86" s="292"/>
      <c r="Q86" s="292"/>
      <c r="R86" s="292"/>
      <c r="S86" s="292"/>
      <c r="T86" s="292"/>
      <c r="U86" s="292"/>
    </row>
    <row r="87" spans="1:21">
      <c r="A87" s="292"/>
      <c r="B87" s="292"/>
      <c r="C87" s="292"/>
      <c r="D87" s="292"/>
      <c r="E87" s="292"/>
      <c r="F87" s="292"/>
      <c r="G87" s="292"/>
      <c r="H87" s="292"/>
      <c r="I87" s="292"/>
      <c r="J87" s="292"/>
      <c r="K87" s="292"/>
      <c r="L87" s="292"/>
      <c r="M87" s="292"/>
      <c r="N87" s="292"/>
      <c r="O87" s="292"/>
      <c r="P87" s="292"/>
      <c r="Q87" s="292"/>
      <c r="R87" s="292"/>
      <c r="S87" s="292"/>
      <c r="T87" s="292"/>
      <c r="U87" s="292"/>
    </row>
    <row r="88" spans="1:21">
      <c r="A88" s="292"/>
      <c r="B88" s="292"/>
      <c r="C88" s="292"/>
      <c r="D88" s="292"/>
      <c r="E88" s="292"/>
      <c r="F88" s="292"/>
      <c r="G88" s="292"/>
      <c r="H88" s="292"/>
      <c r="I88" s="292"/>
      <c r="J88" s="292"/>
      <c r="K88" s="292"/>
      <c r="L88" s="292"/>
      <c r="M88" s="292"/>
      <c r="N88" s="292"/>
      <c r="O88" s="292"/>
      <c r="P88" s="292"/>
      <c r="Q88" s="292"/>
      <c r="R88" s="292"/>
      <c r="S88" s="292"/>
      <c r="T88" s="292"/>
      <c r="U88" s="292"/>
    </row>
    <row r="89" spans="1:21">
      <c r="A89" s="292"/>
      <c r="B89" s="292"/>
      <c r="C89" s="292"/>
      <c r="D89" s="292"/>
      <c r="E89" s="292"/>
      <c r="F89" s="292"/>
      <c r="G89" s="292"/>
      <c r="H89" s="292"/>
      <c r="I89" s="292"/>
      <c r="J89" s="292"/>
      <c r="K89" s="292"/>
      <c r="L89" s="292"/>
      <c r="M89" s="292"/>
      <c r="N89" s="292"/>
      <c r="O89" s="292"/>
      <c r="P89" s="292"/>
      <c r="Q89" s="292"/>
      <c r="R89" s="292"/>
      <c r="S89" s="292"/>
      <c r="T89" s="292"/>
      <c r="U89" s="292"/>
    </row>
    <row r="90" spans="1:21">
      <c r="A90" s="292"/>
      <c r="B90" s="292"/>
      <c r="C90" s="292"/>
      <c r="D90" s="292"/>
      <c r="E90" s="292"/>
      <c r="F90" s="292"/>
      <c r="G90" s="292"/>
      <c r="H90" s="292"/>
      <c r="I90" s="292"/>
      <c r="J90" s="292"/>
      <c r="K90" s="292"/>
      <c r="L90" s="292"/>
      <c r="M90" s="292"/>
      <c r="N90" s="292"/>
      <c r="O90" s="292"/>
      <c r="P90" s="292"/>
      <c r="Q90" s="292"/>
      <c r="R90" s="292"/>
      <c r="S90" s="292"/>
      <c r="T90" s="292"/>
      <c r="U90" s="292"/>
    </row>
    <row r="91" spans="1:21">
      <c r="A91" s="292"/>
      <c r="B91" s="292"/>
      <c r="C91" s="292"/>
      <c r="D91" s="292"/>
      <c r="E91" s="292"/>
      <c r="F91" s="292"/>
      <c r="G91" s="292"/>
      <c r="H91" s="292"/>
      <c r="I91" s="292"/>
      <c r="J91" s="292"/>
      <c r="K91" s="292"/>
      <c r="L91" s="292"/>
      <c r="M91" s="292"/>
      <c r="N91" s="292"/>
      <c r="O91" s="292"/>
      <c r="P91" s="292"/>
      <c r="Q91" s="292"/>
      <c r="R91" s="292"/>
      <c r="S91" s="292"/>
      <c r="T91" s="292"/>
      <c r="U91" s="292"/>
    </row>
    <row r="92" spans="1:21">
      <c r="A92" s="292"/>
      <c r="B92" s="292"/>
      <c r="C92" s="292"/>
      <c r="D92" s="292"/>
      <c r="E92" s="292"/>
      <c r="F92" s="292"/>
      <c r="G92" s="292"/>
      <c r="H92" s="292"/>
      <c r="I92" s="292"/>
      <c r="J92" s="292"/>
      <c r="K92" s="292"/>
      <c r="L92" s="292"/>
      <c r="M92" s="292"/>
      <c r="N92" s="292"/>
      <c r="O92" s="292"/>
      <c r="P92" s="292"/>
      <c r="Q92" s="292"/>
      <c r="R92" s="292"/>
      <c r="S92" s="292"/>
      <c r="T92" s="292"/>
      <c r="U92" s="292"/>
    </row>
    <row r="93" spans="1:21">
      <c r="A93" s="292"/>
      <c r="B93" s="292"/>
      <c r="C93" s="292"/>
      <c r="D93" s="292"/>
      <c r="E93" s="292"/>
      <c r="F93" s="292"/>
      <c r="G93" s="292"/>
      <c r="H93" s="292"/>
      <c r="I93" s="292"/>
      <c r="J93" s="292"/>
      <c r="K93" s="292"/>
      <c r="L93" s="292"/>
      <c r="M93" s="292"/>
      <c r="N93" s="292"/>
      <c r="O93" s="292"/>
      <c r="P93" s="292"/>
      <c r="Q93" s="292"/>
      <c r="R93" s="292"/>
      <c r="S93" s="292"/>
      <c r="T93" s="292"/>
      <c r="U93" s="292"/>
    </row>
    <row r="94" spans="1:21">
      <c r="A94" s="292"/>
      <c r="B94" s="292"/>
      <c r="C94" s="292"/>
      <c r="D94" s="292"/>
      <c r="E94" s="292"/>
      <c r="F94" s="292"/>
      <c r="G94" s="292"/>
      <c r="H94" s="292"/>
      <c r="I94" s="292"/>
      <c r="J94" s="292"/>
      <c r="K94" s="292"/>
      <c r="L94" s="292"/>
      <c r="M94" s="292"/>
      <c r="N94" s="292"/>
      <c r="O94" s="292"/>
      <c r="P94" s="292"/>
      <c r="Q94" s="292"/>
      <c r="R94" s="292"/>
      <c r="S94" s="292"/>
      <c r="T94" s="292"/>
      <c r="U94" s="292"/>
    </row>
    <row r="95" spans="1:21">
      <c r="A95" s="292"/>
      <c r="B95" s="292"/>
      <c r="C95" s="292"/>
      <c r="D95" s="292"/>
      <c r="E95" s="292"/>
      <c r="F95" s="292"/>
      <c r="G95" s="292"/>
      <c r="H95" s="292"/>
      <c r="I95" s="292"/>
      <c r="J95" s="292"/>
      <c r="K95" s="292"/>
      <c r="L95" s="292"/>
      <c r="M95" s="292"/>
      <c r="N95" s="292"/>
      <c r="O95" s="292"/>
      <c r="P95" s="292"/>
      <c r="Q95" s="292"/>
      <c r="R95" s="292"/>
      <c r="S95" s="292"/>
      <c r="T95" s="292"/>
      <c r="U95" s="292"/>
    </row>
    <row r="96" spans="1:21">
      <c r="A96" s="292"/>
      <c r="B96" s="292"/>
      <c r="C96" s="292"/>
      <c r="D96" s="292"/>
      <c r="E96" s="292"/>
      <c r="F96" s="292"/>
      <c r="G96" s="292"/>
      <c r="H96" s="292"/>
      <c r="I96" s="292"/>
      <c r="J96" s="292"/>
      <c r="K96" s="292"/>
      <c r="L96" s="292"/>
      <c r="M96" s="292"/>
      <c r="N96" s="292"/>
      <c r="O96" s="292"/>
      <c r="P96" s="292"/>
      <c r="Q96" s="292"/>
      <c r="R96" s="292"/>
      <c r="S96" s="292"/>
      <c r="T96" s="292"/>
      <c r="U96" s="292"/>
    </row>
    <row r="97" spans="1:21">
      <c r="A97" s="292"/>
      <c r="B97" s="292"/>
      <c r="C97" s="292"/>
      <c r="D97" s="292"/>
      <c r="E97" s="292"/>
      <c r="F97" s="292"/>
      <c r="G97" s="292"/>
      <c r="H97" s="292"/>
      <c r="I97" s="292"/>
      <c r="J97" s="292"/>
      <c r="K97" s="292"/>
      <c r="L97" s="292"/>
      <c r="M97" s="292"/>
      <c r="N97" s="292"/>
      <c r="O97" s="292"/>
      <c r="P97" s="292"/>
      <c r="Q97" s="292"/>
      <c r="R97" s="292"/>
      <c r="S97" s="292"/>
      <c r="T97" s="292"/>
      <c r="U97" s="292"/>
    </row>
    <row r="98" spans="1:21">
      <c r="A98" s="292"/>
      <c r="B98" s="292"/>
      <c r="C98" s="292"/>
      <c r="D98" s="292"/>
      <c r="E98" s="292"/>
      <c r="F98" s="292"/>
      <c r="G98" s="292"/>
      <c r="H98" s="292"/>
      <c r="I98" s="292"/>
      <c r="J98" s="292"/>
      <c r="K98" s="292"/>
      <c r="L98" s="292"/>
      <c r="M98" s="292"/>
      <c r="N98" s="292"/>
      <c r="O98" s="292"/>
      <c r="P98" s="292"/>
      <c r="Q98" s="292"/>
      <c r="R98" s="292"/>
      <c r="S98" s="292"/>
      <c r="T98" s="292"/>
      <c r="U98" s="292"/>
    </row>
    <row r="99" spans="1:21">
      <c r="A99" s="292"/>
      <c r="B99" s="292"/>
      <c r="C99" s="292"/>
      <c r="D99" s="292"/>
      <c r="E99" s="292"/>
      <c r="F99" s="292"/>
      <c r="G99" s="292"/>
      <c r="H99" s="292"/>
      <c r="I99" s="292"/>
      <c r="J99" s="292"/>
      <c r="K99" s="292"/>
      <c r="L99" s="292"/>
      <c r="M99" s="292"/>
      <c r="N99" s="292"/>
      <c r="O99" s="292"/>
      <c r="P99" s="292"/>
      <c r="Q99" s="292"/>
      <c r="R99" s="292"/>
      <c r="S99" s="292"/>
      <c r="T99" s="292"/>
      <c r="U99" s="292"/>
    </row>
    <row r="100" spans="1:21">
      <c r="A100" s="292"/>
      <c r="B100" s="292"/>
      <c r="C100" s="292"/>
      <c r="D100" s="292"/>
      <c r="E100" s="292"/>
      <c r="F100" s="292"/>
      <c r="G100" s="292"/>
      <c r="H100" s="292"/>
      <c r="I100" s="292"/>
      <c r="J100" s="292"/>
      <c r="K100" s="292"/>
      <c r="L100" s="292"/>
      <c r="M100" s="292"/>
      <c r="N100" s="292"/>
      <c r="O100" s="292"/>
      <c r="P100" s="292"/>
      <c r="Q100" s="292"/>
      <c r="R100" s="292"/>
      <c r="S100" s="292"/>
      <c r="T100" s="292"/>
      <c r="U100" s="292"/>
    </row>
    <row r="101" spans="1:21">
      <c r="A101" s="292"/>
      <c r="B101" s="292"/>
      <c r="C101" s="292"/>
      <c r="D101" s="292"/>
      <c r="E101" s="292"/>
      <c r="F101" s="292"/>
      <c r="G101" s="292"/>
      <c r="H101" s="292"/>
      <c r="I101" s="292"/>
      <c r="J101" s="292"/>
      <c r="K101" s="292"/>
      <c r="L101" s="292"/>
      <c r="M101" s="292"/>
      <c r="N101" s="292"/>
      <c r="O101" s="292"/>
      <c r="P101" s="292"/>
      <c r="Q101" s="292"/>
      <c r="R101" s="292"/>
      <c r="S101" s="292"/>
      <c r="T101" s="292"/>
      <c r="U101" s="292"/>
    </row>
    <row r="102" spans="1:21">
      <c r="A102" s="292"/>
      <c r="B102" s="292"/>
      <c r="C102" s="292"/>
      <c r="D102" s="292"/>
      <c r="E102" s="292"/>
      <c r="F102" s="292"/>
      <c r="G102" s="292"/>
      <c r="H102" s="292"/>
      <c r="I102" s="292"/>
      <c r="J102" s="292"/>
      <c r="K102" s="292"/>
      <c r="L102" s="292"/>
      <c r="M102" s="292"/>
      <c r="N102" s="292"/>
      <c r="O102" s="292"/>
      <c r="P102" s="292"/>
      <c r="Q102" s="292"/>
      <c r="R102" s="292"/>
      <c r="S102" s="292"/>
      <c r="T102" s="292"/>
      <c r="U102" s="292"/>
    </row>
    <row r="103" spans="1:21">
      <c r="A103" s="292"/>
      <c r="B103" s="292"/>
      <c r="C103" s="292"/>
      <c r="D103" s="292"/>
      <c r="E103" s="292"/>
      <c r="F103" s="292"/>
      <c r="G103" s="292"/>
      <c r="H103" s="292"/>
      <c r="I103" s="292"/>
      <c r="J103" s="292"/>
      <c r="K103" s="292"/>
      <c r="L103" s="292"/>
      <c r="M103" s="292"/>
      <c r="N103" s="292"/>
      <c r="O103" s="292"/>
      <c r="P103" s="292"/>
      <c r="Q103" s="292"/>
      <c r="R103" s="292"/>
      <c r="S103" s="292"/>
      <c r="T103" s="292"/>
      <c r="U103" s="292"/>
    </row>
    <row r="104" spans="1:21">
      <c r="A104" s="292"/>
      <c r="B104" s="292"/>
      <c r="C104" s="292"/>
      <c r="D104" s="292"/>
      <c r="E104" s="292"/>
      <c r="F104" s="292"/>
      <c r="G104" s="292"/>
      <c r="H104" s="292"/>
      <c r="I104" s="292"/>
      <c r="J104" s="292"/>
      <c r="K104" s="292"/>
      <c r="L104" s="292"/>
      <c r="M104" s="292"/>
      <c r="N104" s="292"/>
      <c r="O104" s="292"/>
      <c r="P104" s="292"/>
      <c r="Q104" s="292"/>
      <c r="R104" s="292"/>
      <c r="S104" s="292"/>
      <c r="T104" s="292"/>
      <c r="U104" s="292"/>
    </row>
    <row r="105" spans="1:21">
      <c r="A105" s="292"/>
      <c r="B105" s="292"/>
      <c r="C105" s="292"/>
      <c r="D105" s="292"/>
      <c r="E105" s="292"/>
      <c r="F105" s="292"/>
      <c r="G105" s="292"/>
      <c r="H105" s="292"/>
      <c r="I105" s="292"/>
      <c r="J105" s="292"/>
      <c r="K105" s="292"/>
      <c r="L105" s="292"/>
      <c r="M105" s="292"/>
      <c r="N105" s="292"/>
      <c r="O105" s="292"/>
      <c r="P105" s="292"/>
      <c r="Q105" s="292"/>
      <c r="R105" s="292"/>
      <c r="S105" s="292"/>
      <c r="T105" s="292"/>
      <c r="U105" s="292"/>
    </row>
    <row r="106" spans="1:21">
      <c r="A106" s="292"/>
      <c r="B106" s="292"/>
      <c r="C106" s="292"/>
      <c r="D106" s="292"/>
      <c r="E106" s="292"/>
      <c r="F106" s="292"/>
      <c r="G106" s="292"/>
      <c r="H106" s="292"/>
      <c r="I106" s="292"/>
      <c r="J106" s="292"/>
      <c r="K106" s="292"/>
      <c r="L106" s="292"/>
      <c r="M106" s="292"/>
      <c r="N106" s="292"/>
      <c r="O106" s="292"/>
      <c r="P106" s="292"/>
      <c r="Q106" s="292"/>
      <c r="R106" s="292"/>
      <c r="S106" s="292"/>
      <c r="T106" s="292"/>
      <c r="U106" s="292"/>
    </row>
    <row r="107" spans="1:21">
      <c r="A107" s="292"/>
      <c r="B107" s="292"/>
      <c r="C107" s="292"/>
      <c r="D107" s="292"/>
      <c r="E107" s="292"/>
      <c r="F107" s="292"/>
      <c r="G107" s="292"/>
      <c r="H107" s="292"/>
      <c r="I107" s="292"/>
      <c r="J107" s="292"/>
      <c r="K107" s="292"/>
      <c r="L107" s="292"/>
      <c r="M107" s="292"/>
      <c r="N107" s="292"/>
      <c r="O107" s="292"/>
      <c r="P107" s="292"/>
      <c r="Q107" s="292"/>
      <c r="R107" s="292"/>
      <c r="S107" s="292"/>
      <c r="T107" s="292"/>
      <c r="U107" s="292"/>
    </row>
    <row r="108" spans="1:21">
      <c r="A108" s="292"/>
      <c r="B108" s="292"/>
      <c r="C108" s="292"/>
      <c r="D108" s="292"/>
      <c r="E108" s="292"/>
      <c r="F108" s="292"/>
      <c r="G108" s="292"/>
      <c r="H108" s="292"/>
      <c r="I108" s="292"/>
      <c r="J108" s="292"/>
      <c r="K108" s="292"/>
      <c r="L108" s="292"/>
      <c r="M108" s="292"/>
      <c r="N108" s="292"/>
      <c r="O108" s="292"/>
      <c r="P108" s="292"/>
      <c r="Q108" s="292"/>
      <c r="R108" s="292"/>
      <c r="S108" s="292"/>
      <c r="T108" s="292"/>
      <c r="U108" s="292"/>
    </row>
    <row r="109" spans="1:21">
      <c r="A109" s="292"/>
      <c r="B109" s="292"/>
      <c r="C109" s="292"/>
      <c r="D109" s="292"/>
      <c r="E109" s="292"/>
      <c r="F109" s="292"/>
      <c r="G109" s="292"/>
      <c r="H109" s="292"/>
      <c r="I109" s="292"/>
      <c r="J109" s="292"/>
      <c r="K109" s="292"/>
      <c r="L109" s="292"/>
      <c r="M109" s="292"/>
      <c r="N109" s="292"/>
      <c r="O109" s="292"/>
      <c r="P109" s="292"/>
      <c r="Q109" s="292"/>
      <c r="R109" s="292"/>
      <c r="S109" s="292"/>
      <c r="T109" s="292"/>
      <c r="U109" s="292"/>
    </row>
    <row r="110" spans="1:21">
      <c r="A110" s="292"/>
      <c r="B110" s="292"/>
      <c r="C110" s="292"/>
      <c r="D110" s="292"/>
      <c r="E110" s="292"/>
      <c r="F110" s="292"/>
      <c r="G110" s="292"/>
      <c r="H110" s="292"/>
      <c r="I110" s="292"/>
      <c r="J110" s="292"/>
      <c r="K110" s="292"/>
      <c r="L110" s="292"/>
      <c r="M110" s="292"/>
      <c r="N110" s="292"/>
      <c r="O110" s="292"/>
      <c r="P110" s="292"/>
      <c r="Q110" s="292"/>
      <c r="R110" s="292"/>
      <c r="S110" s="292"/>
      <c r="T110" s="292"/>
      <c r="U110" s="292"/>
    </row>
    <row r="111" spans="1:21">
      <c r="A111" s="292"/>
      <c r="B111" s="292"/>
      <c r="C111" s="292"/>
      <c r="D111" s="292"/>
      <c r="E111" s="292"/>
      <c r="F111" s="292"/>
      <c r="G111" s="292"/>
      <c r="H111" s="292"/>
      <c r="I111" s="292"/>
      <c r="J111" s="292"/>
      <c r="K111" s="292"/>
      <c r="L111" s="292"/>
      <c r="M111" s="292"/>
      <c r="N111" s="292"/>
      <c r="O111" s="292"/>
      <c r="P111" s="292"/>
      <c r="Q111" s="292"/>
      <c r="R111" s="292"/>
      <c r="S111" s="292"/>
      <c r="T111" s="292"/>
      <c r="U111" s="292"/>
    </row>
    <row r="112" spans="1:21">
      <c r="A112" s="292"/>
      <c r="B112" s="292"/>
      <c r="C112" s="292"/>
      <c r="D112" s="292"/>
      <c r="E112" s="292"/>
      <c r="F112" s="292"/>
      <c r="G112" s="292"/>
      <c r="H112" s="292"/>
      <c r="I112" s="292"/>
      <c r="J112" s="292"/>
      <c r="K112" s="292"/>
      <c r="L112" s="292"/>
      <c r="M112" s="292"/>
      <c r="N112" s="292"/>
      <c r="O112" s="292"/>
      <c r="P112" s="292"/>
      <c r="Q112" s="292"/>
      <c r="R112" s="292"/>
      <c r="S112" s="292"/>
      <c r="T112" s="292"/>
      <c r="U112" s="292"/>
    </row>
    <row r="113" spans="1:21">
      <c r="A113" s="292"/>
      <c r="B113" s="292"/>
      <c r="C113" s="292"/>
      <c r="D113" s="292"/>
      <c r="E113" s="292"/>
      <c r="F113" s="292"/>
      <c r="G113" s="292"/>
      <c r="H113" s="292"/>
      <c r="I113" s="292"/>
      <c r="J113" s="292"/>
      <c r="K113" s="292"/>
      <c r="L113" s="292"/>
      <c r="M113" s="292"/>
      <c r="N113" s="292"/>
      <c r="O113" s="292"/>
      <c r="P113" s="292"/>
      <c r="Q113" s="292"/>
      <c r="R113" s="292"/>
      <c r="S113" s="292"/>
      <c r="T113" s="292"/>
      <c r="U113" s="292"/>
    </row>
    <row r="114" spans="1:21">
      <c r="A114" s="292"/>
      <c r="B114" s="292"/>
      <c r="C114" s="292"/>
      <c r="D114" s="292"/>
      <c r="E114" s="292"/>
      <c r="F114" s="292"/>
      <c r="G114" s="292"/>
      <c r="H114" s="292"/>
      <c r="I114" s="292"/>
      <c r="J114" s="292"/>
      <c r="K114" s="292"/>
      <c r="L114" s="292"/>
      <c r="M114" s="292"/>
      <c r="N114" s="292"/>
      <c r="O114" s="292"/>
      <c r="P114" s="292"/>
      <c r="Q114" s="292"/>
      <c r="R114" s="292"/>
      <c r="S114" s="292"/>
      <c r="T114" s="292"/>
      <c r="U114" s="292"/>
    </row>
    <row r="115" spans="1:21">
      <c r="A115" s="292"/>
      <c r="B115" s="292"/>
      <c r="C115" s="292"/>
      <c r="D115" s="292"/>
      <c r="E115" s="292"/>
      <c r="F115" s="292"/>
      <c r="G115" s="292"/>
      <c r="H115" s="292"/>
      <c r="I115" s="292"/>
      <c r="J115" s="292"/>
      <c r="K115" s="292"/>
      <c r="L115" s="292"/>
      <c r="M115" s="292"/>
      <c r="N115" s="292"/>
      <c r="O115" s="292"/>
      <c r="P115" s="292"/>
      <c r="Q115" s="292"/>
      <c r="R115" s="292"/>
      <c r="S115" s="292"/>
      <c r="T115" s="292"/>
      <c r="U115" s="292"/>
    </row>
    <row r="116" spans="1:21">
      <c r="A116" s="292"/>
      <c r="B116" s="292"/>
      <c r="C116" s="292"/>
      <c r="D116" s="292"/>
      <c r="E116" s="292"/>
      <c r="F116" s="292"/>
      <c r="G116" s="292"/>
      <c r="H116" s="292"/>
      <c r="I116" s="292"/>
      <c r="J116" s="292"/>
      <c r="K116" s="292"/>
      <c r="L116" s="292"/>
      <c r="M116" s="292"/>
      <c r="N116" s="292"/>
      <c r="O116" s="292"/>
      <c r="P116" s="292"/>
      <c r="Q116" s="292"/>
      <c r="R116" s="292"/>
      <c r="S116" s="292"/>
      <c r="T116" s="292"/>
      <c r="U116" s="292"/>
    </row>
    <row r="117" spans="1:21">
      <c r="A117" s="292"/>
      <c r="B117" s="292"/>
      <c r="C117" s="292"/>
      <c r="D117" s="292"/>
      <c r="E117" s="292"/>
      <c r="F117" s="292"/>
      <c r="G117" s="292"/>
      <c r="H117" s="292"/>
      <c r="I117" s="292"/>
      <c r="J117" s="292"/>
      <c r="K117" s="292"/>
      <c r="L117" s="292"/>
      <c r="M117" s="292"/>
      <c r="N117" s="292"/>
      <c r="O117" s="292"/>
      <c r="P117" s="292"/>
      <c r="Q117" s="292"/>
      <c r="R117" s="292"/>
      <c r="S117" s="292"/>
      <c r="T117" s="292"/>
    </row>
    <row r="118" spans="1:21">
      <c r="A118" s="292"/>
      <c r="B118" s="292"/>
      <c r="C118" s="292"/>
      <c r="D118" s="292"/>
      <c r="E118" s="292"/>
      <c r="F118" s="292"/>
      <c r="G118" s="292"/>
      <c r="H118" s="292"/>
      <c r="I118" s="292"/>
      <c r="J118" s="292"/>
      <c r="K118" s="292"/>
      <c r="L118" s="292"/>
      <c r="M118" s="292"/>
      <c r="N118" s="292"/>
      <c r="O118" s="292"/>
      <c r="P118" s="292"/>
      <c r="Q118" s="292"/>
      <c r="R118" s="292"/>
      <c r="S118" s="292"/>
      <c r="T118" s="292"/>
    </row>
    <row r="119" spans="1:21">
      <c r="A119" s="292"/>
      <c r="B119" s="292"/>
      <c r="C119" s="292"/>
      <c r="D119" s="292"/>
      <c r="E119" s="292"/>
      <c r="F119" s="292"/>
      <c r="G119" s="292"/>
      <c r="H119" s="292"/>
      <c r="I119" s="292"/>
      <c r="J119" s="292"/>
      <c r="K119" s="292"/>
      <c r="L119" s="292"/>
      <c r="M119" s="292"/>
      <c r="N119" s="292"/>
      <c r="O119" s="292"/>
      <c r="P119" s="292"/>
      <c r="Q119" s="292"/>
      <c r="R119" s="292"/>
      <c r="S119" s="292"/>
      <c r="T119" s="292"/>
    </row>
    <row r="120" spans="1:21">
      <c r="A120" s="292"/>
      <c r="B120" s="292"/>
      <c r="C120" s="292"/>
      <c r="D120" s="292"/>
      <c r="E120" s="292"/>
      <c r="F120" s="292"/>
      <c r="G120" s="292"/>
      <c r="H120" s="292"/>
      <c r="I120" s="292"/>
      <c r="J120" s="292"/>
      <c r="K120" s="292"/>
      <c r="L120" s="292"/>
      <c r="M120" s="292"/>
      <c r="N120" s="292"/>
      <c r="O120" s="292"/>
      <c r="P120" s="292"/>
      <c r="Q120" s="292"/>
      <c r="R120" s="292"/>
      <c r="S120" s="292"/>
      <c r="T120" s="292"/>
    </row>
    <row r="121" spans="1:21">
      <c r="A121" s="292"/>
      <c r="B121" s="292"/>
      <c r="C121" s="292"/>
      <c r="D121" s="292"/>
      <c r="E121" s="292"/>
      <c r="F121" s="292"/>
      <c r="G121" s="292"/>
      <c r="H121" s="292"/>
      <c r="I121" s="292"/>
      <c r="J121" s="292"/>
      <c r="K121" s="292"/>
      <c r="L121" s="292"/>
      <c r="M121" s="292"/>
      <c r="N121" s="292"/>
      <c r="O121" s="292"/>
      <c r="P121" s="292"/>
      <c r="Q121" s="292"/>
      <c r="R121" s="292"/>
      <c r="S121" s="292"/>
      <c r="T121" s="292"/>
    </row>
    <row r="122" spans="1:21">
      <c r="A122" s="292"/>
      <c r="B122" s="292"/>
      <c r="C122" s="292"/>
      <c r="D122" s="292"/>
      <c r="E122" s="292"/>
      <c r="F122" s="292"/>
      <c r="G122" s="292"/>
      <c r="H122" s="292"/>
      <c r="I122" s="292"/>
      <c r="J122" s="292"/>
      <c r="K122" s="292"/>
      <c r="L122" s="292"/>
      <c r="M122" s="292"/>
      <c r="N122" s="292"/>
      <c r="O122" s="292"/>
      <c r="P122" s="292"/>
      <c r="Q122" s="292"/>
      <c r="R122" s="292"/>
      <c r="S122" s="292"/>
      <c r="T122" s="292"/>
    </row>
    <row r="123" spans="1:21">
      <c r="A123" s="292"/>
      <c r="B123" s="292"/>
      <c r="C123" s="292"/>
      <c r="D123" s="292"/>
      <c r="E123" s="292"/>
      <c r="F123" s="292"/>
      <c r="G123" s="292"/>
      <c r="H123" s="292"/>
      <c r="I123" s="292"/>
      <c r="J123" s="292"/>
      <c r="K123" s="292"/>
      <c r="L123" s="292"/>
      <c r="M123" s="292"/>
      <c r="N123" s="292"/>
      <c r="O123" s="292"/>
      <c r="P123" s="292"/>
      <c r="Q123" s="292"/>
      <c r="R123" s="292"/>
      <c r="S123" s="292"/>
      <c r="T123" s="292"/>
    </row>
    <row r="124" spans="1:21">
      <c r="A124" s="292"/>
      <c r="B124" s="292"/>
      <c r="C124" s="292"/>
      <c r="D124" s="292"/>
      <c r="E124" s="292"/>
      <c r="F124" s="292"/>
      <c r="G124" s="292"/>
      <c r="H124" s="292"/>
      <c r="I124" s="292"/>
      <c r="J124" s="292"/>
      <c r="K124" s="292"/>
      <c r="L124" s="292"/>
      <c r="M124" s="292"/>
      <c r="N124" s="292"/>
      <c r="O124" s="292"/>
      <c r="P124" s="292"/>
      <c r="Q124" s="292"/>
      <c r="R124" s="292"/>
      <c r="S124" s="292"/>
      <c r="T124" s="292"/>
    </row>
    <row r="125" spans="1:21">
      <c r="A125" s="292"/>
      <c r="B125" s="292"/>
      <c r="C125" s="292"/>
      <c r="D125" s="292"/>
      <c r="E125" s="292"/>
      <c r="F125" s="292"/>
      <c r="G125" s="292"/>
      <c r="H125" s="292"/>
      <c r="I125" s="292"/>
      <c r="J125" s="292"/>
      <c r="K125" s="292"/>
      <c r="L125" s="292"/>
      <c r="M125" s="292"/>
      <c r="N125" s="292"/>
      <c r="O125" s="292"/>
      <c r="P125" s="292"/>
      <c r="Q125" s="292"/>
      <c r="R125" s="292"/>
      <c r="S125" s="292"/>
      <c r="T125" s="292"/>
    </row>
    <row r="126" spans="1:21">
      <c r="A126" s="292"/>
      <c r="B126" s="292"/>
      <c r="C126" s="292"/>
      <c r="D126" s="292"/>
      <c r="E126" s="292"/>
      <c r="F126" s="292"/>
      <c r="G126" s="292"/>
      <c r="H126" s="292"/>
      <c r="I126" s="292"/>
      <c r="J126" s="292"/>
      <c r="K126" s="292"/>
      <c r="L126" s="292"/>
      <c r="M126" s="292"/>
      <c r="N126" s="292"/>
      <c r="O126" s="292"/>
      <c r="P126" s="292"/>
      <c r="Q126" s="292"/>
      <c r="R126" s="292"/>
      <c r="S126" s="292"/>
      <c r="T126" s="292"/>
    </row>
    <row r="127" spans="1:21">
      <c r="A127" s="292"/>
      <c r="B127" s="292"/>
      <c r="C127" s="292"/>
      <c r="D127" s="292"/>
      <c r="E127" s="292"/>
      <c r="F127" s="292"/>
      <c r="G127" s="292"/>
      <c r="H127" s="292"/>
      <c r="I127" s="292"/>
      <c r="J127" s="292"/>
      <c r="K127" s="292"/>
      <c r="L127" s="292"/>
      <c r="M127" s="292"/>
      <c r="N127" s="292"/>
      <c r="O127" s="292"/>
      <c r="P127" s="292"/>
      <c r="Q127" s="292"/>
      <c r="R127" s="292"/>
      <c r="S127" s="292"/>
      <c r="T127" s="292"/>
    </row>
    <row r="128" spans="1:21">
      <c r="A128" s="292"/>
      <c r="B128" s="292"/>
      <c r="C128" s="292"/>
      <c r="D128" s="292"/>
      <c r="E128" s="292"/>
      <c r="F128" s="292"/>
      <c r="G128" s="292"/>
      <c r="H128" s="292"/>
      <c r="I128" s="292"/>
      <c r="J128" s="292"/>
      <c r="K128" s="292"/>
      <c r="L128" s="292"/>
      <c r="M128" s="292"/>
      <c r="N128" s="292"/>
      <c r="O128" s="292"/>
      <c r="P128" s="292"/>
      <c r="Q128" s="292"/>
      <c r="R128" s="292"/>
      <c r="S128" s="292"/>
      <c r="T128" s="292"/>
    </row>
    <row r="129" spans="1:20">
      <c r="A129" s="292"/>
      <c r="B129" s="292"/>
      <c r="C129" s="292"/>
      <c r="D129" s="292"/>
      <c r="E129" s="292"/>
      <c r="F129" s="292"/>
      <c r="G129" s="292"/>
      <c r="H129" s="292"/>
      <c r="I129" s="292"/>
      <c r="J129" s="292"/>
      <c r="K129" s="292"/>
      <c r="L129" s="292"/>
      <c r="M129" s="292"/>
      <c r="N129" s="292"/>
      <c r="O129" s="292"/>
      <c r="P129" s="292"/>
      <c r="Q129" s="292"/>
      <c r="R129" s="292"/>
      <c r="S129" s="292"/>
      <c r="T129" s="292"/>
    </row>
    <row r="130" spans="1:20">
      <c r="A130" s="292"/>
      <c r="B130" s="292"/>
      <c r="C130" s="292"/>
      <c r="D130" s="292"/>
      <c r="E130" s="292"/>
      <c r="F130" s="292"/>
      <c r="G130" s="292"/>
      <c r="H130" s="292"/>
      <c r="I130" s="292"/>
      <c r="J130" s="292"/>
      <c r="K130" s="292"/>
      <c r="L130" s="292"/>
      <c r="M130" s="292"/>
      <c r="N130" s="292"/>
      <c r="O130" s="292"/>
      <c r="P130" s="292"/>
      <c r="Q130" s="292"/>
      <c r="R130" s="292"/>
      <c r="S130" s="292"/>
      <c r="T130" s="292"/>
    </row>
    <row r="131" spans="1:20">
      <c r="A131" s="292"/>
      <c r="B131" s="292"/>
      <c r="C131" s="292"/>
      <c r="D131" s="292"/>
      <c r="E131" s="292"/>
      <c r="F131" s="292"/>
      <c r="G131" s="292"/>
      <c r="H131" s="292"/>
      <c r="I131" s="292"/>
      <c r="J131" s="292"/>
      <c r="K131" s="292"/>
      <c r="L131" s="292"/>
      <c r="M131" s="292"/>
      <c r="N131" s="292"/>
      <c r="O131" s="292"/>
      <c r="P131" s="292"/>
      <c r="Q131" s="292"/>
      <c r="R131" s="292"/>
      <c r="S131" s="292"/>
      <c r="T131" s="292"/>
    </row>
    <row r="132" spans="1:20">
      <c r="A132" s="292"/>
      <c r="B132" s="292"/>
      <c r="C132" s="292"/>
      <c r="D132" s="292"/>
      <c r="E132" s="292"/>
      <c r="F132" s="292"/>
      <c r="G132" s="292"/>
      <c r="H132" s="292"/>
      <c r="I132" s="292"/>
      <c r="J132" s="292"/>
      <c r="K132" s="292"/>
      <c r="L132" s="292"/>
      <c r="M132" s="292"/>
      <c r="N132" s="292"/>
      <c r="O132" s="292"/>
      <c r="P132" s="292"/>
      <c r="Q132" s="292"/>
      <c r="R132" s="292"/>
      <c r="S132" s="292"/>
      <c r="T132" s="292"/>
    </row>
    <row r="133" spans="1:20">
      <c r="A133" s="292"/>
      <c r="B133" s="292"/>
      <c r="C133" s="292"/>
      <c r="D133" s="292"/>
      <c r="E133" s="292"/>
      <c r="F133" s="292"/>
      <c r="G133" s="292"/>
      <c r="H133" s="292"/>
      <c r="I133" s="292"/>
      <c r="J133" s="292"/>
      <c r="K133" s="292"/>
      <c r="L133" s="292"/>
      <c r="M133" s="292"/>
      <c r="N133" s="292"/>
      <c r="O133" s="292"/>
      <c r="P133" s="292"/>
      <c r="Q133" s="292"/>
      <c r="R133" s="292"/>
      <c r="S133" s="292"/>
      <c r="T133" s="292"/>
    </row>
    <row r="134" spans="1:20">
      <c r="A134" s="292"/>
      <c r="B134" s="292"/>
      <c r="C134" s="292"/>
      <c r="D134" s="292"/>
      <c r="E134" s="292"/>
      <c r="F134" s="292"/>
      <c r="G134" s="292"/>
      <c r="H134" s="292"/>
      <c r="I134" s="292"/>
      <c r="J134" s="292"/>
      <c r="K134" s="292"/>
      <c r="L134" s="292"/>
      <c r="M134" s="292"/>
      <c r="N134" s="292"/>
      <c r="O134" s="292"/>
      <c r="P134" s="292"/>
      <c r="Q134" s="292"/>
      <c r="R134" s="292"/>
      <c r="S134" s="292"/>
      <c r="T134" s="292"/>
    </row>
    <row r="135" spans="1:20">
      <c r="A135" s="292"/>
      <c r="B135" s="292"/>
      <c r="C135" s="292"/>
      <c r="D135" s="292"/>
      <c r="E135" s="292"/>
      <c r="F135" s="292"/>
      <c r="G135" s="292"/>
      <c r="H135" s="292"/>
      <c r="I135" s="292"/>
      <c r="J135" s="292"/>
      <c r="K135" s="292"/>
      <c r="L135" s="292"/>
      <c r="M135" s="292"/>
      <c r="N135" s="292"/>
      <c r="O135" s="292"/>
      <c r="P135" s="292"/>
      <c r="Q135" s="292"/>
      <c r="R135" s="292"/>
      <c r="S135" s="292"/>
      <c r="T135" s="292"/>
    </row>
    <row r="136" spans="1:20">
      <c r="A136" s="292"/>
      <c r="B136" s="292"/>
      <c r="C136" s="292"/>
      <c r="D136" s="292"/>
      <c r="E136" s="292"/>
      <c r="F136" s="292"/>
      <c r="G136" s="292"/>
      <c r="H136" s="292"/>
      <c r="I136" s="292"/>
      <c r="J136" s="292"/>
      <c r="K136" s="292"/>
      <c r="L136" s="292"/>
      <c r="M136" s="292"/>
      <c r="N136" s="292"/>
      <c r="O136" s="292"/>
      <c r="P136" s="292"/>
      <c r="Q136" s="292"/>
      <c r="R136" s="292"/>
      <c r="S136" s="292"/>
      <c r="T136" s="292"/>
    </row>
    <row r="137" spans="1:20">
      <c r="A137" s="292"/>
      <c r="B137" s="292"/>
      <c r="C137" s="292"/>
      <c r="D137" s="292"/>
      <c r="E137" s="292"/>
      <c r="F137" s="292"/>
      <c r="G137" s="292"/>
      <c r="H137" s="292"/>
      <c r="I137" s="292"/>
      <c r="J137" s="292"/>
      <c r="K137" s="292"/>
      <c r="L137" s="292"/>
      <c r="M137" s="292"/>
      <c r="N137" s="292"/>
      <c r="O137" s="292"/>
      <c r="P137" s="292"/>
      <c r="Q137" s="292"/>
      <c r="R137" s="292"/>
      <c r="S137" s="292"/>
      <c r="T137" s="292"/>
    </row>
    <row r="138" spans="1:20">
      <c r="A138" s="292"/>
      <c r="B138" s="292"/>
      <c r="C138" s="292"/>
      <c r="D138" s="292"/>
      <c r="E138" s="292"/>
      <c r="F138" s="292"/>
      <c r="G138" s="292"/>
      <c r="H138" s="292"/>
      <c r="I138" s="292"/>
      <c r="J138" s="292"/>
      <c r="K138" s="292"/>
      <c r="L138" s="292"/>
      <c r="M138" s="292"/>
      <c r="N138" s="292"/>
      <c r="O138" s="292"/>
      <c r="P138" s="292"/>
      <c r="Q138" s="292"/>
      <c r="R138" s="292"/>
      <c r="S138" s="292"/>
      <c r="T138" s="292"/>
    </row>
    <row r="139" spans="1:20">
      <c r="A139" s="292"/>
      <c r="B139" s="292"/>
      <c r="C139" s="292"/>
      <c r="D139" s="292"/>
      <c r="E139" s="292"/>
      <c r="F139" s="292"/>
      <c r="G139" s="292"/>
      <c r="H139" s="292"/>
      <c r="I139" s="292"/>
      <c r="J139" s="292"/>
      <c r="K139" s="292"/>
      <c r="L139" s="292"/>
      <c r="M139" s="292"/>
      <c r="N139" s="292"/>
      <c r="O139" s="292"/>
      <c r="P139" s="292"/>
      <c r="Q139" s="292"/>
      <c r="R139" s="292"/>
      <c r="S139" s="292"/>
      <c r="T139" s="292"/>
    </row>
    <row r="140" spans="1:20">
      <c r="A140" s="292"/>
      <c r="B140" s="292"/>
      <c r="C140" s="292"/>
      <c r="D140" s="292"/>
      <c r="E140" s="292"/>
      <c r="F140" s="292"/>
      <c r="G140" s="292"/>
      <c r="H140" s="292"/>
      <c r="I140" s="292"/>
      <c r="J140" s="292"/>
      <c r="K140" s="292"/>
      <c r="L140" s="292"/>
      <c r="M140" s="292"/>
      <c r="N140" s="292"/>
      <c r="O140" s="292"/>
      <c r="P140" s="292"/>
      <c r="Q140" s="292"/>
      <c r="R140" s="292"/>
      <c r="S140" s="292"/>
      <c r="T140" s="292"/>
    </row>
    <row r="141" spans="1:20">
      <c r="A141" s="292"/>
      <c r="B141" s="292"/>
      <c r="C141" s="292"/>
      <c r="D141" s="292"/>
      <c r="E141" s="292"/>
      <c r="F141" s="292"/>
      <c r="G141" s="292"/>
      <c r="H141" s="292"/>
      <c r="I141" s="292"/>
      <c r="J141" s="292"/>
      <c r="K141" s="292"/>
      <c r="L141" s="292"/>
      <c r="M141" s="292"/>
      <c r="N141" s="292"/>
      <c r="O141" s="292"/>
      <c r="P141" s="292"/>
      <c r="Q141" s="292"/>
      <c r="R141" s="292"/>
      <c r="S141" s="292"/>
      <c r="T141" s="292"/>
    </row>
    <row r="142" spans="1:20">
      <c r="A142" s="292"/>
      <c r="B142" s="292"/>
      <c r="C142" s="292"/>
      <c r="D142" s="292"/>
      <c r="E142" s="292"/>
      <c r="F142" s="292"/>
      <c r="G142" s="292"/>
      <c r="H142" s="292"/>
      <c r="I142" s="292"/>
      <c r="J142" s="292"/>
      <c r="K142" s="292"/>
      <c r="L142" s="292"/>
      <c r="M142" s="292"/>
      <c r="N142" s="292"/>
      <c r="O142" s="292"/>
      <c r="P142" s="292"/>
      <c r="Q142" s="292"/>
      <c r="R142" s="292"/>
      <c r="S142" s="292"/>
      <c r="T142" s="292"/>
    </row>
    <row r="143" spans="1:20">
      <c r="A143" s="292"/>
      <c r="B143" s="292"/>
      <c r="C143" s="292"/>
      <c r="D143" s="292"/>
      <c r="E143" s="292"/>
      <c r="F143" s="292"/>
      <c r="G143" s="292"/>
      <c r="H143" s="292"/>
      <c r="I143" s="292"/>
      <c r="J143" s="292"/>
      <c r="K143" s="292"/>
      <c r="L143" s="292"/>
      <c r="M143" s="292"/>
      <c r="N143" s="292"/>
      <c r="O143" s="292"/>
      <c r="P143" s="292"/>
      <c r="Q143" s="292"/>
      <c r="R143" s="292"/>
      <c r="S143" s="292"/>
      <c r="T143" s="292"/>
    </row>
    <row r="144" spans="1:20">
      <c r="A144" s="292"/>
      <c r="B144" s="292"/>
      <c r="C144" s="292"/>
      <c r="D144" s="292"/>
      <c r="E144" s="292"/>
      <c r="F144" s="292"/>
      <c r="G144" s="292"/>
      <c r="H144" s="292"/>
      <c r="I144" s="292"/>
      <c r="J144" s="292"/>
      <c r="K144" s="292"/>
      <c r="L144" s="292"/>
      <c r="M144" s="292"/>
      <c r="N144" s="292"/>
      <c r="O144" s="292"/>
      <c r="P144" s="292"/>
      <c r="Q144" s="292"/>
      <c r="R144" s="292"/>
      <c r="S144" s="292"/>
      <c r="T144" s="292"/>
    </row>
    <row r="145" spans="1:20">
      <c r="A145" s="292"/>
      <c r="B145" s="292"/>
      <c r="C145" s="292"/>
      <c r="D145" s="292"/>
      <c r="E145" s="292"/>
      <c r="F145" s="292"/>
      <c r="G145" s="292"/>
      <c r="H145" s="292"/>
      <c r="I145" s="292"/>
      <c r="J145" s="292"/>
      <c r="K145" s="292"/>
      <c r="L145" s="292"/>
      <c r="M145" s="292"/>
      <c r="N145" s="292"/>
      <c r="O145" s="292"/>
      <c r="P145" s="292"/>
      <c r="Q145" s="292"/>
      <c r="R145" s="292"/>
      <c r="S145" s="292"/>
      <c r="T145" s="292"/>
    </row>
    <row r="146" spans="1:20">
      <c r="A146" s="292"/>
      <c r="B146" s="292"/>
      <c r="C146" s="292"/>
      <c r="D146" s="292"/>
      <c r="E146" s="292"/>
      <c r="F146" s="292"/>
      <c r="G146" s="292"/>
      <c r="H146" s="292"/>
      <c r="I146" s="292"/>
      <c r="J146" s="292"/>
      <c r="K146" s="292"/>
      <c r="L146" s="292"/>
      <c r="M146" s="292"/>
      <c r="N146" s="292"/>
      <c r="O146" s="292"/>
      <c r="P146" s="292"/>
      <c r="Q146" s="292"/>
      <c r="R146" s="292"/>
      <c r="S146" s="292"/>
      <c r="T146" s="292"/>
    </row>
    <row r="147" spans="1:20">
      <c r="A147" s="292"/>
      <c r="B147" s="292"/>
      <c r="C147" s="292"/>
      <c r="D147" s="292"/>
      <c r="E147" s="292"/>
      <c r="F147" s="292"/>
      <c r="G147" s="292"/>
      <c r="H147" s="292"/>
      <c r="I147" s="292"/>
      <c r="J147" s="292"/>
      <c r="K147" s="292"/>
      <c r="L147" s="292"/>
      <c r="M147" s="292"/>
      <c r="N147" s="292"/>
      <c r="O147" s="292"/>
      <c r="P147" s="292"/>
      <c r="Q147" s="292"/>
      <c r="R147" s="292"/>
      <c r="S147" s="292"/>
      <c r="T147" s="292"/>
    </row>
    <row r="148" spans="1:20">
      <c r="A148" s="292"/>
      <c r="B148" s="292"/>
      <c r="C148" s="292"/>
      <c r="D148" s="292"/>
      <c r="E148" s="292"/>
      <c r="F148" s="292"/>
      <c r="G148" s="292"/>
      <c r="H148" s="292"/>
      <c r="I148" s="292"/>
      <c r="J148" s="292"/>
      <c r="K148" s="292"/>
      <c r="L148" s="292"/>
      <c r="M148" s="292"/>
      <c r="N148" s="292"/>
      <c r="O148" s="292"/>
      <c r="P148" s="292"/>
      <c r="Q148" s="292"/>
      <c r="R148" s="292"/>
      <c r="S148" s="292"/>
      <c r="T148" s="292"/>
    </row>
    <row r="149" spans="1:20">
      <c r="A149" s="292"/>
      <c r="B149" s="292"/>
      <c r="C149" s="292"/>
      <c r="D149" s="292"/>
      <c r="E149" s="292"/>
      <c r="F149" s="292"/>
      <c r="G149" s="292"/>
      <c r="H149" s="292"/>
      <c r="I149" s="292"/>
      <c r="J149" s="292"/>
      <c r="K149" s="292"/>
      <c r="L149" s="292"/>
      <c r="M149" s="292"/>
      <c r="N149" s="292"/>
      <c r="O149" s="292"/>
      <c r="P149" s="292"/>
      <c r="Q149" s="292"/>
      <c r="R149" s="292"/>
      <c r="S149" s="292"/>
      <c r="T149" s="292"/>
    </row>
    <row r="150" spans="1:20">
      <c r="A150" s="292"/>
      <c r="B150" s="292"/>
      <c r="C150" s="292"/>
      <c r="D150" s="292"/>
      <c r="E150" s="292"/>
      <c r="F150" s="292"/>
      <c r="G150" s="292"/>
      <c r="H150" s="292"/>
      <c r="I150" s="292"/>
      <c r="J150" s="292"/>
      <c r="K150" s="292"/>
      <c r="L150" s="292"/>
      <c r="M150" s="292"/>
      <c r="N150" s="292"/>
      <c r="O150" s="292"/>
      <c r="P150" s="292"/>
      <c r="Q150" s="292"/>
      <c r="R150" s="292"/>
      <c r="S150" s="292"/>
      <c r="T150" s="292"/>
    </row>
    <row r="151" spans="1:20">
      <c r="A151" s="292"/>
      <c r="B151" s="292"/>
      <c r="C151" s="292"/>
      <c r="D151" s="292"/>
      <c r="E151" s="292"/>
      <c r="F151" s="292"/>
      <c r="G151" s="292"/>
      <c r="H151" s="292"/>
      <c r="I151" s="292"/>
      <c r="J151" s="292"/>
      <c r="K151" s="292"/>
      <c r="L151" s="292"/>
      <c r="M151" s="292"/>
      <c r="N151" s="292"/>
      <c r="O151" s="292"/>
      <c r="P151" s="292"/>
      <c r="Q151" s="292"/>
      <c r="R151" s="292"/>
      <c r="S151" s="292"/>
      <c r="T151" s="292"/>
    </row>
    <row r="152" spans="1:20">
      <c r="A152" s="292"/>
      <c r="B152" s="292"/>
      <c r="C152" s="292"/>
      <c r="D152" s="292"/>
      <c r="E152" s="292"/>
      <c r="F152" s="292"/>
      <c r="G152" s="292"/>
      <c r="H152" s="292"/>
      <c r="I152" s="292"/>
      <c r="J152" s="292"/>
      <c r="K152" s="292"/>
      <c r="L152" s="292"/>
      <c r="M152" s="292"/>
      <c r="N152" s="292"/>
      <c r="O152" s="292"/>
      <c r="P152" s="292"/>
      <c r="Q152" s="292"/>
      <c r="R152" s="292"/>
      <c r="S152" s="292"/>
      <c r="T152" s="292"/>
    </row>
    <row r="153" spans="1:20">
      <c r="A153" s="292"/>
      <c r="B153" s="292"/>
      <c r="C153" s="292"/>
      <c r="D153" s="292"/>
      <c r="E153" s="292"/>
      <c r="F153" s="292"/>
      <c r="G153" s="292"/>
      <c r="H153" s="292"/>
      <c r="I153" s="292"/>
      <c r="J153" s="292"/>
      <c r="K153" s="292"/>
      <c r="L153" s="292"/>
      <c r="M153" s="292"/>
      <c r="N153" s="292"/>
      <c r="O153" s="292"/>
      <c r="P153" s="292"/>
      <c r="Q153" s="292"/>
      <c r="R153" s="292"/>
      <c r="S153" s="292"/>
      <c r="T153" s="292"/>
    </row>
    <row r="154" spans="1:20">
      <c r="A154" s="292"/>
      <c r="B154" s="292"/>
      <c r="C154" s="292"/>
      <c r="D154" s="292"/>
      <c r="E154" s="292"/>
      <c r="F154" s="292"/>
      <c r="G154" s="292"/>
      <c r="H154" s="292"/>
      <c r="I154" s="292"/>
      <c r="J154" s="292"/>
      <c r="K154" s="292"/>
      <c r="L154" s="292"/>
      <c r="M154" s="292"/>
      <c r="N154" s="292"/>
      <c r="O154" s="292"/>
      <c r="P154" s="292"/>
      <c r="Q154" s="292"/>
      <c r="R154" s="292"/>
      <c r="S154" s="292"/>
      <c r="T154" s="292"/>
    </row>
    <row r="155" spans="1:20">
      <c r="A155" s="292"/>
      <c r="B155" s="292"/>
      <c r="C155" s="292"/>
      <c r="D155" s="292"/>
      <c r="E155" s="292"/>
      <c r="F155" s="292"/>
      <c r="G155" s="292"/>
      <c r="H155" s="292"/>
      <c r="I155" s="292"/>
      <c r="J155" s="292"/>
      <c r="K155" s="292"/>
      <c r="L155" s="292"/>
      <c r="M155" s="292"/>
      <c r="N155" s="292"/>
      <c r="O155" s="292"/>
      <c r="P155" s="292"/>
      <c r="Q155" s="292"/>
      <c r="R155" s="292"/>
      <c r="S155" s="292"/>
      <c r="T155" s="292"/>
    </row>
    <row r="156" spans="1:20">
      <c r="A156" s="292"/>
      <c r="B156" s="292"/>
      <c r="C156" s="292"/>
      <c r="D156" s="292"/>
      <c r="E156" s="292"/>
      <c r="F156" s="292"/>
      <c r="G156" s="292"/>
      <c r="H156" s="292"/>
      <c r="I156" s="292"/>
      <c r="J156" s="292"/>
      <c r="K156" s="292"/>
      <c r="L156" s="292"/>
      <c r="M156" s="292"/>
      <c r="N156" s="292"/>
      <c r="O156" s="292"/>
      <c r="P156" s="292"/>
      <c r="Q156" s="292"/>
      <c r="R156" s="292"/>
      <c r="S156" s="292"/>
      <c r="T156" s="292"/>
    </row>
    <row r="157" spans="1:20">
      <c r="A157" s="292"/>
      <c r="B157" s="292"/>
      <c r="C157" s="292"/>
      <c r="D157" s="292"/>
      <c r="E157" s="292"/>
      <c r="F157" s="292"/>
      <c r="G157" s="292"/>
      <c r="H157" s="292"/>
      <c r="I157" s="292"/>
      <c r="J157" s="292"/>
      <c r="K157" s="292"/>
      <c r="L157" s="292"/>
      <c r="M157" s="292"/>
      <c r="N157" s="292"/>
      <c r="O157" s="292"/>
      <c r="P157" s="292"/>
      <c r="Q157" s="292"/>
      <c r="R157" s="292"/>
      <c r="S157" s="292"/>
      <c r="T157" s="292"/>
    </row>
    <row r="158" spans="1:20">
      <c r="A158" s="292"/>
      <c r="B158" s="292"/>
      <c r="C158" s="292"/>
      <c r="D158" s="292"/>
      <c r="E158" s="292"/>
      <c r="F158" s="292"/>
      <c r="G158" s="292"/>
      <c r="H158" s="292"/>
      <c r="I158" s="292"/>
      <c r="J158" s="292"/>
      <c r="K158" s="292"/>
      <c r="L158" s="292"/>
      <c r="M158" s="292"/>
      <c r="N158" s="292"/>
      <c r="O158" s="292"/>
      <c r="P158" s="292"/>
      <c r="Q158" s="292"/>
      <c r="R158" s="292"/>
      <c r="S158" s="292"/>
      <c r="T158" s="292"/>
    </row>
    <row r="159" spans="1:20">
      <c r="A159" s="292"/>
      <c r="B159" s="292"/>
      <c r="C159" s="292"/>
      <c r="D159" s="292"/>
      <c r="E159" s="292"/>
      <c r="F159" s="292"/>
      <c r="G159" s="292"/>
      <c r="H159" s="292"/>
      <c r="I159" s="292"/>
      <c r="J159" s="292"/>
      <c r="K159" s="292"/>
      <c r="L159" s="292"/>
      <c r="M159" s="292"/>
      <c r="N159" s="292"/>
      <c r="O159" s="292"/>
      <c r="P159" s="292"/>
      <c r="Q159" s="292"/>
      <c r="R159" s="292"/>
      <c r="S159" s="292"/>
      <c r="T159" s="292"/>
    </row>
    <row r="160" spans="1:20">
      <c r="A160" s="292"/>
      <c r="B160" s="292"/>
      <c r="C160" s="292"/>
      <c r="D160" s="292"/>
      <c r="E160" s="292"/>
      <c r="F160" s="292"/>
      <c r="G160" s="292"/>
      <c r="H160" s="292"/>
      <c r="I160" s="292"/>
      <c r="J160" s="292"/>
      <c r="K160" s="292"/>
      <c r="L160" s="292"/>
      <c r="M160" s="292"/>
      <c r="N160" s="292"/>
      <c r="O160" s="292"/>
      <c r="P160" s="292"/>
      <c r="Q160" s="292"/>
      <c r="R160" s="292"/>
      <c r="S160" s="292"/>
      <c r="T160" s="292"/>
    </row>
    <row r="161" spans="1:20">
      <c r="A161" s="292"/>
      <c r="B161" s="292"/>
      <c r="C161" s="292"/>
      <c r="D161" s="292"/>
      <c r="E161" s="292"/>
      <c r="F161" s="292"/>
      <c r="G161" s="292"/>
      <c r="H161" s="292"/>
      <c r="I161" s="292"/>
      <c r="J161" s="292"/>
      <c r="K161" s="292"/>
      <c r="L161" s="292"/>
      <c r="M161" s="292"/>
      <c r="N161" s="292"/>
      <c r="O161" s="292"/>
      <c r="P161" s="292"/>
      <c r="Q161" s="292"/>
      <c r="R161" s="292"/>
      <c r="S161" s="292"/>
      <c r="T161" s="292"/>
    </row>
    <row r="162" spans="1:20">
      <c r="A162" s="292"/>
      <c r="B162" s="292"/>
      <c r="C162" s="292"/>
      <c r="D162" s="292"/>
      <c r="E162" s="292"/>
      <c r="F162" s="292"/>
      <c r="G162" s="292"/>
      <c r="H162" s="292"/>
      <c r="I162" s="292"/>
      <c r="J162" s="292"/>
      <c r="K162" s="292"/>
      <c r="L162" s="292"/>
      <c r="M162" s="292"/>
      <c r="N162" s="292"/>
      <c r="O162" s="292"/>
      <c r="P162" s="292"/>
      <c r="Q162" s="292"/>
      <c r="R162" s="292"/>
      <c r="S162" s="292"/>
      <c r="T162" s="292"/>
    </row>
    <row r="163" spans="1:20">
      <c r="A163" s="292"/>
      <c r="B163" s="292"/>
      <c r="C163" s="292"/>
      <c r="D163" s="292"/>
      <c r="E163" s="292"/>
      <c r="F163" s="292"/>
      <c r="G163" s="292"/>
      <c r="H163" s="292"/>
      <c r="I163" s="292"/>
      <c r="J163" s="292"/>
      <c r="K163" s="292"/>
      <c r="L163" s="292"/>
      <c r="M163" s="292"/>
      <c r="N163" s="292"/>
      <c r="O163" s="292"/>
      <c r="P163" s="292"/>
      <c r="Q163" s="292"/>
      <c r="R163" s="292"/>
      <c r="S163" s="292"/>
      <c r="T163" s="292"/>
    </row>
    <row r="164" spans="1:20">
      <c r="A164" s="292"/>
      <c r="B164" s="292"/>
      <c r="C164" s="292"/>
      <c r="D164" s="292"/>
      <c r="E164" s="292"/>
      <c r="F164" s="292"/>
      <c r="G164" s="292"/>
      <c r="H164" s="292"/>
      <c r="I164" s="292"/>
      <c r="J164" s="292"/>
      <c r="K164" s="292"/>
      <c r="L164" s="292"/>
      <c r="M164" s="292"/>
      <c r="N164" s="292"/>
      <c r="O164" s="292"/>
      <c r="P164" s="292"/>
      <c r="Q164" s="292"/>
      <c r="R164" s="292"/>
      <c r="S164" s="292"/>
      <c r="T164" s="292"/>
    </row>
    <row r="165" spans="1:20">
      <c r="A165" s="292"/>
      <c r="B165" s="292"/>
      <c r="C165" s="292"/>
      <c r="D165" s="292"/>
      <c r="E165" s="292"/>
      <c r="F165" s="292"/>
      <c r="G165" s="292"/>
      <c r="H165" s="292"/>
      <c r="I165" s="292"/>
      <c r="J165" s="292"/>
      <c r="K165" s="292"/>
      <c r="L165" s="292"/>
      <c r="M165" s="292"/>
      <c r="N165" s="292"/>
      <c r="O165" s="292"/>
      <c r="P165" s="292"/>
      <c r="Q165" s="292"/>
      <c r="R165" s="292"/>
      <c r="S165" s="292"/>
      <c r="T165" s="292"/>
    </row>
    <row r="166" spans="1:20">
      <c r="A166" s="292"/>
      <c r="B166" s="292"/>
      <c r="C166" s="292"/>
      <c r="D166" s="292"/>
      <c r="E166" s="292"/>
      <c r="F166" s="292"/>
      <c r="G166" s="292"/>
      <c r="H166" s="292"/>
      <c r="I166" s="292"/>
      <c r="J166" s="292"/>
      <c r="K166" s="292"/>
      <c r="L166" s="292"/>
      <c r="M166" s="292"/>
      <c r="N166" s="292"/>
      <c r="O166" s="292"/>
      <c r="P166" s="292"/>
      <c r="Q166" s="292"/>
      <c r="R166" s="292"/>
      <c r="S166" s="292"/>
      <c r="T166" s="292"/>
    </row>
    <row r="167" spans="1:20">
      <c r="A167" s="292"/>
      <c r="B167" s="292"/>
      <c r="C167" s="292"/>
      <c r="D167" s="292"/>
      <c r="E167" s="292"/>
      <c r="F167" s="292"/>
      <c r="G167" s="292"/>
      <c r="H167" s="292"/>
      <c r="I167" s="292"/>
      <c r="J167" s="292"/>
      <c r="K167" s="292"/>
      <c r="L167" s="292"/>
      <c r="M167" s="292"/>
      <c r="N167" s="292"/>
      <c r="O167" s="292"/>
      <c r="P167" s="292"/>
      <c r="Q167" s="292"/>
      <c r="R167" s="292"/>
      <c r="S167" s="292"/>
      <c r="T167" s="292"/>
    </row>
    <row r="168" spans="1:20">
      <c r="A168" s="292"/>
      <c r="B168" s="292"/>
      <c r="C168" s="292"/>
      <c r="D168" s="292"/>
      <c r="E168" s="292"/>
      <c r="F168" s="292"/>
      <c r="G168" s="292"/>
      <c r="H168" s="292"/>
      <c r="I168" s="292"/>
      <c r="J168" s="292"/>
      <c r="K168" s="292"/>
      <c r="L168" s="292"/>
      <c r="M168" s="292"/>
      <c r="N168" s="292"/>
      <c r="O168" s="292"/>
      <c r="P168" s="292"/>
      <c r="Q168" s="292"/>
      <c r="R168" s="292"/>
      <c r="S168" s="292"/>
      <c r="T168" s="292"/>
    </row>
    <row r="169" spans="1:20">
      <c r="A169" s="292"/>
      <c r="B169" s="292"/>
      <c r="C169" s="292"/>
      <c r="D169" s="292"/>
      <c r="E169" s="292"/>
      <c r="F169" s="292"/>
      <c r="G169" s="292"/>
      <c r="H169" s="292"/>
      <c r="I169" s="292"/>
      <c r="J169" s="292"/>
      <c r="K169" s="292"/>
      <c r="L169" s="292"/>
      <c r="M169" s="292"/>
      <c r="N169" s="292"/>
      <c r="O169" s="292"/>
      <c r="P169" s="292"/>
      <c r="Q169" s="292"/>
      <c r="R169" s="292"/>
      <c r="S169" s="292"/>
      <c r="T169" s="292"/>
    </row>
    <row r="170" spans="1:20">
      <c r="A170" s="292"/>
      <c r="B170" s="292"/>
      <c r="C170" s="292"/>
      <c r="D170" s="292"/>
      <c r="E170" s="292"/>
      <c r="F170" s="292"/>
      <c r="G170" s="292"/>
      <c r="H170" s="292"/>
      <c r="I170" s="292"/>
      <c r="J170" s="292"/>
      <c r="K170" s="292"/>
      <c r="L170" s="292"/>
      <c r="M170" s="292"/>
      <c r="N170" s="292"/>
      <c r="O170" s="292"/>
      <c r="P170" s="292"/>
      <c r="Q170" s="292"/>
      <c r="R170" s="292"/>
      <c r="S170" s="292"/>
      <c r="T170" s="292"/>
    </row>
    <row r="171" spans="1:20">
      <c r="A171" s="292"/>
      <c r="B171" s="292"/>
      <c r="C171" s="292"/>
      <c r="D171" s="292"/>
      <c r="E171" s="292"/>
      <c r="F171" s="292"/>
      <c r="G171" s="292"/>
      <c r="H171" s="292"/>
      <c r="I171" s="292"/>
      <c r="J171" s="292"/>
      <c r="K171" s="292"/>
      <c r="L171" s="292"/>
      <c r="M171" s="292"/>
      <c r="N171" s="292"/>
      <c r="O171" s="292"/>
      <c r="P171" s="292"/>
      <c r="Q171" s="292"/>
      <c r="R171" s="292"/>
      <c r="S171" s="292"/>
      <c r="T171" s="292"/>
    </row>
    <row r="172" spans="1:20">
      <c r="A172" s="292"/>
      <c r="B172" s="292"/>
      <c r="C172" s="292"/>
      <c r="D172" s="292"/>
      <c r="E172" s="292"/>
      <c r="F172" s="292"/>
      <c r="G172" s="292"/>
      <c r="H172" s="292"/>
      <c r="I172" s="292"/>
      <c r="J172" s="292"/>
      <c r="K172" s="292"/>
      <c r="L172" s="292"/>
      <c r="M172" s="292"/>
      <c r="N172" s="292"/>
      <c r="O172" s="292"/>
      <c r="P172" s="292"/>
      <c r="Q172" s="292"/>
      <c r="R172" s="292"/>
      <c r="S172" s="292"/>
      <c r="T172" s="292"/>
    </row>
    <row r="173" spans="1:20">
      <c r="A173" s="292"/>
      <c r="B173" s="292"/>
      <c r="C173" s="292"/>
      <c r="D173" s="292"/>
      <c r="E173" s="292"/>
      <c r="F173" s="292"/>
      <c r="G173" s="292"/>
      <c r="H173" s="292"/>
      <c r="I173" s="292"/>
      <c r="J173" s="292"/>
      <c r="K173" s="292"/>
      <c r="L173" s="292"/>
      <c r="M173" s="292"/>
      <c r="N173" s="292"/>
      <c r="O173" s="292"/>
      <c r="P173" s="292"/>
      <c r="Q173" s="292"/>
      <c r="R173" s="292"/>
      <c r="S173" s="292"/>
      <c r="T173" s="292"/>
    </row>
    <row r="174" spans="1:20">
      <c r="A174" s="292"/>
      <c r="B174" s="292"/>
      <c r="C174" s="292"/>
      <c r="D174" s="292"/>
      <c r="E174" s="292"/>
      <c r="F174" s="292"/>
      <c r="G174" s="292"/>
      <c r="H174" s="292"/>
      <c r="I174" s="292"/>
      <c r="J174" s="292"/>
      <c r="K174" s="292"/>
      <c r="L174" s="292"/>
      <c r="M174" s="292"/>
      <c r="N174" s="292"/>
      <c r="O174" s="292"/>
      <c r="P174" s="292"/>
      <c r="Q174" s="292"/>
      <c r="R174" s="292"/>
      <c r="S174" s="292"/>
      <c r="T174" s="292"/>
    </row>
    <row r="175" spans="1:20">
      <c r="A175" s="292"/>
      <c r="B175" s="292"/>
      <c r="C175" s="292"/>
      <c r="D175" s="292"/>
      <c r="E175" s="292"/>
      <c r="F175" s="292"/>
      <c r="G175" s="292"/>
      <c r="H175" s="292"/>
      <c r="I175" s="292"/>
      <c r="J175" s="292"/>
      <c r="K175" s="292"/>
      <c r="L175" s="292"/>
      <c r="M175" s="292"/>
      <c r="N175" s="292"/>
      <c r="O175" s="292"/>
      <c r="P175" s="292"/>
      <c r="Q175" s="292"/>
      <c r="R175" s="292"/>
      <c r="S175" s="292"/>
      <c r="T175" s="292"/>
    </row>
    <row r="176" spans="1:20">
      <c r="A176" s="292"/>
      <c r="B176" s="292"/>
      <c r="C176" s="292"/>
      <c r="D176" s="292"/>
      <c r="E176" s="292"/>
      <c r="F176" s="292"/>
      <c r="G176" s="292"/>
      <c r="H176" s="292"/>
      <c r="I176" s="292"/>
      <c r="J176" s="292"/>
      <c r="K176" s="292"/>
      <c r="L176" s="292"/>
      <c r="M176" s="292"/>
      <c r="N176" s="292"/>
      <c r="O176" s="292"/>
      <c r="P176" s="292"/>
      <c r="Q176" s="292"/>
      <c r="R176" s="292"/>
      <c r="S176" s="292"/>
      <c r="T176" s="292"/>
    </row>
    <row r="177" spans="1:20">
      <c r="A177" s="292"/>
      <c r="B177" s="292"/>
      <c r="C177" s="292"/>
      <c r="D177" s="292"/>
      <c r="E177" s="292"/>
      <c r="F177" s="292"/>
      <c r="G177" s="292"/>
      <c r="H177" s="292"/>
      <c r="I177" s="292"/>
      <c r="J177" s="292"/>
      <c r="K177" s="292"/>
      <c r="L177" s="292"/>
      <c r="M177" s="292"/>
      <c r="N177" s="292"/>
      <c r="O177" s="292"/>
      <c r="P177" s="292"/>
      <c r="Q177" s="292"/>
      <c r="R177" s="292"/>
      <c r="S177" s="292"/>
      <c r="T177" s="292"/>
    </row>
    <row r="178" spans="1:20">
      <c r="A178" s="292"/>
      <c r="B178" s="292"/>
      <c r="C178" s="292"/>
      <c r="D178" s="292"/>
      <c r="E178" s="292"/>
      <c r="F178" s="292"/>
      <c r="G178" s="292"/>
      <c r="H178" s="292"/>
      <c r="I178" s="292"/>
      <c r="J178" s="292"/>
      <c r="K178" s="292"/>
      <c r="L178" s="292"/>
      <c r="M178" s="292"/>
      <c r="N178" s="292"/>
      <c r="O178" s="292"/>
      <c r="P178" s="292"/>
      <c r="Q178" s="292"/>
      <c r="R178" s="292"/>
      <c r="S178" s="292"/>
      <c r="T178" s="292"/>
    </row>
    <row r="179" spans="1:20">
      <c r="A179" s="292"/>
      <c r="B179" s="292"/>
      <c r="C179" s="292"/>
      <c r="D179" s="292"/>
      <c r="E179" s="292"/>
      <c r="F179" s="292"/>
      <c r="G179" s="292"/>
      <c r="H179" s="292"/>
      <c r="I179" s="292"/>
      <c r="J179" s="292"/>
      <c r="K179" s="292"/>
      <c r="L179" s="292"/>
      <c r="M179" s="292"/>
      <c r="N179" s="292"/>
      <c r="O179" s="292"/>
      <c r="P179" s="292"/>
      <c r="Q179" s="292"/>
      <c r="R179" s="292"/>
      <c r="S179" s="292"/>
      <c r="T179" s="292"/>
    </row>
    <row r="180" spans="1:20">
      <c r="A180" s="292"/>
      <c r="B180" s="292"/>
      <c r="C180" s="292"/>
      <c r="D180" s="292"/>
      <c r="E180" s="292"/>
      <c r="F180" s="292"/>
      <c r="G180" s="292"/>
      <c r="H180" s="292"/>
      <c r="I180" s="292"/>
      <c r="J180" s="292"/>
      <c r="K180" s="292"/>
      <c r="L180" s="292"/>
      <c r="M180" s="292"/>
      <c r="N180" s="292"/>
      <c r="O180" s="292"/>
      <c r="P180" s="292"/>
      <c r="Q180" s="292"/>
      <c r="R180" s="292"/>
      <c r="S180" s="292"/>
      <c r="T180" s="292"/>
    </row>
    <row r="181" spans="1:20">
      <c r="A181" s="292"/>
      <c r="B181" s="292"/>
      <c r="C181" s="292"/>
      <c r="D181" s="292"/>
      <c r="E181" s="292"/>
      <c r="F181" s="292"/>
      <c r="G181" s="292"/>
      <c r="H181" s="292"/>
      <c r="I181" s="292"/>
      <c r="J181" s="292"/>
      <c r="K181" s="292"/>
      <c r="L181" s="292"/>
      <c r="M181" s="292"/>
      <c r="N181" s="292"/>
      <c r="O181" s="292"/>
      <c r="P181" s="292"/>
      <c r="Q181" s="292"/>
      <c r="R181" s="292"/>
      <c r="S181" s="292"/>
      <c r="T181" s="292"/>
    </row>
    <row r="182" spans="1:20">
      <c r="A182" s="292"/>
      <c r="B182" s="292"/>
      <c r="C182" s="292"/>
      <c r="D182" s="292"/>
      <c r="E182" s="292"/>
      <c r="F182" s="292"/>
      <c r="G182" s="292"/>
      <c r="H182" s="292"/>
      <c r="I182" s="292"/>
      <c r="J182" s="292"/>
      <c r="K182" s="292"/>
      <c r="L182" s="292"/>
      <c r="M182" s="292"/>
      <c r="N182" s="292"/>
      <c r="O182" s="292"/>
      <c r="P182" s="292"/>
      <c r="Q182" s="292"/>
      <c r="R182" s="292"/>
      <c r="S182" s="292"/>
      <c r="T182" s="292"/>
    </row>
    <row r="183" spans="1:20">
      <c r="A183" s="292"/>
      <c r="B183" s="292"/>
      <c r="C183" s="292"/>
      <c r="D183" s="292"/>
      <c r="E183" s="292"/>
      <c r="F183" s="292"/>
      <c r="G183" s="292"/>
      <c r="H183" s="292"/>
      <c r="I183" s="292"/>
      <c r="J183" s="292"/>
      <c r="K183" s="292"/>
      <c r="L183" s="292"/>
      <c r="M183" s="292"/>
      <c r="N183" s="292"/>
      <c r="O183" s="292"/>
      <c r="P183" s="292"/>
      <c r="Q183" s="292"/>
      <c r="R183" s="292"/>
      <c r="S183" s="292"/>
      <c r="T183" s="292"/>
    </row>
    <row r="184" spans="1:20">
      <c r="A184" s="292"/>
      <c r="B184" s="292"/>
      <c r="C184" s="292"/>
      <c r="D184" s="292"/>
      <c r="E184" s="292"/>
      <c r="F184" s="292"/>
      <c r="G184" s="292"/>
      <c r="H184" s="292"/>
      <c r="I184" s="292"/>
      <c r="J184" s="292"/>
      <c r="K184" s="292"/>
      <c r="L184" s="292"/>
      <c r="M184" s="292"/>
      <c r="N184" s="292"/>
      <c r="O184" s="292"/>
      <c r="P184" s="292"/>
      <c r="Q184" s="292"/>
      <c r="R184" s="292"/>
      <c r="S184" s="292"/>
      <c r="T184" s="292"/>
    </row>
    <row r="185" spans="1:20">
      <c r="A185" s="292"/>
      <c r="B185" s="292"/>
      <c r="C185" s="292"/>
      <c r="D185" s="292"/>
      <c r="E185" s="292"/>
      <c r="F185" s="292"/>
      <c r="G185" s="292"/>
      <c r="H185" s="292"/>
      <c r="I185" s="292"/>
      <c r="J185" s="292"/>
      <c r="K185" s="292"/>
      <c r="L185" s="292"/>
      <c r="M185" s="292"/>
      <c r="N185" s="292"/>
      <c r="O185" s="292"/>
      <c r="P185" s="292"/>
      <c r="Q185" s="292"/>
      <c r="R185" s="292"/>
      <c r="S185" s="292"/>
      <c r="T185" s="292"/>
    </row>
    <row r="186" spans="1:20">
      <c r="A186" s="292"/>
      <c r="B186" s="292"/>
      <c r="C186" s="292"/>
      <c r="D186" s="292"/>
      <c r="E186" s="292"/>
      <c r="F186" s="292"/>
      <c r="G186" s="292"/>
      <c r="H186" s="292"/>
      <c r="I186" s="292"/>
      <c r="J186" s="292"/>
      <c r="K186" s="292"/>
      <c r="L186" s="292"/>
      <c r="M186" s="292"/>
      <c r="N186" s="292"/>
      <c r="O186" s="292"/>
      <c r="P186" s="292"/>
      <c r="Q186" s="292"/>
      <c r="R186" s="292"/>
      <c r="S186" s="292"/>
      <c r="T186" s="292"/>
    </row>
    <row r="187" spans="1:20">
      <c r="A187" s="292"/>
      <c r="B187" s="292"/>
      <c r="C187" s="292"/>
      <c r="D187" s="292"/>
      <c r="E187" s="292"/>
      <c r="F187" s="292"/>
      <c r="G187" s="292"/>
      <c r="H187" s="292"/>
      <c r="I187" s="292"/>
      <c r="J187" s="292"/>
      <c r="K187" s="292"/>
      <c r="L187" s="292"/>
      <c r="M187" s="292"/>
      <c r="N187" s="292"/>
      <c r="O187" s="292"/>
      <c r="P187" s="292"/>
      <c r="Q187" s="292"/>
      <c r="R187" s="292"/>
      <c r="S187" s="292"/>
      <c r="T187" s="292"/>
    </row>
    <row r="188" spans="1:20">
      <c r="A188" s="292"/>
      <c r="B188" s="292"/>
      <c r="C188" s="292"/>
      <c r="D188" s="292"/>
      <c r="E188" s="292"/>
      <c r="F188" s="292"/>
      <c r="G188" s="292"/>
      <c r="H188" s="292"/>
      <c r="I188" s="292"/>
      <c r="J188" s="292"/>
      <c r="K188" s="292"/>
      <c r="L188" s="292"/>
      <c r="M188" s="292"/>
      <c r="N188" s="292"/>
      <c r="O188" s="292"/>
      <c r="P188" s="292"/>
      <c r="Q188" s="292"/>
      <c r="R188" s="292"/>
      <c r="S188" s="292"/>
      <c r="T188" s="292"/>
    </row>
    <row r="189" spans="1:20">
      <c r="A189" s="292"/>
      <c r="B189" s="292"/>
      <c r="C189" s="292"/>
      <c r="D189" s="292"/>
      <c r="E189" s="292"/>
      <c r="F189" s="292"/>
      <c r="G189" s="292"/>
      <c r="H189" s="292"/>
      <c r="I189" s="292"/>
      <c r="J189" s="292"/>
      <c r="K189" s="292"/>
      <c r="L189" s="292"/>
      <c r="M189" s="292"/>
      <c r="N189" s="292"/>
      <c r="O189" s="292"/>
      <c r="P189" s="292"/>
      <c r="Q189" s="292"/>
      <c r="R189" s="292"/>
      <c r="S189" s="292"/>
      <c r="T189" s="292"/>
    </row>
    <row r="190" spans="1:20">
      <c r="A190" s="292"/>
      <c r="B190" s="292"/>
      <c r="C190" s="292"/>
      <c r="D190" s="292"/>
      <c r="E190" s="292"/>
      <c r="F190" s="292"/>
      <c r="G190" s="292"/>
      <c r="H190" s="292"/>
      <c r="I190" s="292"/>
      <c r="J190" s="292"/>
      <c r="K190" s="292"/>
      <c r="L190" s="292"/>
      <c r="M190" s="292"/>
      <c r="N190" s="292"/>
      <c r="O190" s="292"/>
      <c r="P190" s="292"/>
      <c r="Q190" s="292"/>
      <c r="R190" s="292"/>
      <c r="S190" s="292"/>
      <c r="T190" s="292"/>
    </row>
    <row r="191" spans="1:20">
      <c r="A191" s="292"/>
      <c r="B191" s="292"/>
      <c r="C191" s="292"/>
      <c r="D191" s="292"/>
      <c r="E191" s="292"/>
      <c r="F191" s="292"/>
      <c r="G191" s="292"/>
      <c r="H191" s="292"/>
      <c r="I191" s="292"/>
      <c r="J191" s="292"/>
      <c r="K191" s="292"/>
      <c r="L191" s="292"/>
      <c r="M191" s="292"/>
      <c r="N191" s="292"/>
      <c r="O191" s="292"/>
      <c r="P191" s="292"/>
      <c r="Q191" s="292"/>
      <c r="R191" s="292"/>
      <c r="S191" s="292"/>
      <c r="T191" s="292"/>
    </row>
    <row r="192" spans="1:20">
      <c r="A192" s="292"/>
      <c r="B192" s="292"/>
      <c r="C192" s="292"/>
      <c r="D192" s="292"/>
      <c r="E192" s="292"/>
      <c r="F192" s="292"/>
      <c r="G192" s="292"/>
      <c r="H192" s="292"/>
      <c r="I192" s="292"/>
      <c r="J192" s="292"/>
      <c r="K192" s="292"/>
      <c r="L192" s="292"/>
      <c r="M192" s="292"/>
      <c r="N192" s="292"/>
      <c r="O192" s="292"/>
      <c r="P192" s="292"/>
      <c r="Q192" s="292"/>
      <c r="R192" s="292"/>
      <c r="S192" s="292"/>
      <c r="T192" s="292"/>
    </row>
    <row r="193" spans="1:20">
      <c r="A193" s="292"/>
      <c r="B193" s="292"/>
      <c r="C193" s="292"/>
      <c r="D193" s="292"/>
      <c r="E193" s="292"/>
      <c r="F193" s="292"/>
      <c r="G193" s="292"/>
      <c r="H193" s="292"/>
      <c r="I193" s="292"/>
      <c r="J193" s="292"/>
      <c r="K193" s="292"/>
      <c r="L193" s="292"/>
      <c r="M193" s="292"/>
      <c r="N193" s="292"/>
      <c r="O193" s="292"/>
      <c r="P193" s="292"/>
      <c r="Q193" s="292"/>
      <c r="R193" s="292"/>
      <c r="S193" s="292"/>
      <c r="T193" s="292"/>
    </row>
    <row r="194" spans="1:20">
      <c r="A194" s="292"/>
      <c r="B194" s="292"/>
      <c r="C194" s="292"/>
      <c r="D194" s="292"/>
      <c r="E194" s="292"/>
      <c r="F194" s="292"/>
      <c r="G194" s="292"/>
      <c r="H194" s="292"/>
      <c r="I194" s="292"/>
      <c r="J194" s="292"/>
      <c r="K194" s="292"/>
      <c r="L194" s="292"/>
      <c r="M194" s="292"/>
      <c r="N194" s="292"/>
      <c r="O194" s="292"/>
      <c r="P194" s="292"/>
      <c r="Q194" s="292"/>
      <c r="R194" s="292"/>
      <c r="S194" s="292"/>
      <c r="T194" s="292"/>
    </row>
    <row r="195" spans="1:20">
      <c r="A195" s="292"/>
      <c r="B195" s="292"/>
      <c r="C195" s="292"/>
      <c r="D195" s="292"/>
      <c r="E195" s="292"/>
      <c r="F195" s="292"/>
      <c r="G195" s="292"/>
      <c r="H195" s="292"/>
      <c r="I195" s="292"/>
      <c r="J195" s="292"/>
      <c r="K195" s="292"/>
      <c r="L195" s="292"/>
      <c r="M195" s="292"/>
      <c r="N195" s="292"/>
      <c r="O195" s="292"/>
      <c r="P195" s="292"/>
      <c r="Q195" s="292"/>
      <c r="R195" s="292"/>
      <c r="S195" s="292"/>
      <c r="T195" s="292"/>
    </row>
    <row r="196" spans="1:20">
      <c r="A196" s="292"/>
      <c r="B196" s="292"/>
      <c r="C196" s="292"/>
      <c r="D196" s="292"/>
      <c r="E196" s="292"/>
      <c r="F196" s="292"/>
      <c r="G196" s="292"/>
      <c r="H196" s="292"/>
      <c r="I196" s="292"/>
      <c r="J196" s="292"/>
      <c r="K196" s="292"/>
      <c r="L196" s="292"/>
      <c r="M196" s="292"/>
      <c r="N196" s="292"/>
      <c r="O196" s="292"/>
      <c r="P196" s="292"/>
      <c r="Q196" s="292"/>
      <c r="R196" s="292"/>
      <c r="S196" s="292"/>
      <c r="T196" s="292"/>
    </row>
    <row r="197" spans="1:20">
      <c r="A197" s="292"/>
      <c r="B197" s="292"/>
      <c r="C197" s="292"/>
      <c r="D197" s="292"/>
      <c r="E197" s="292"/>
      <c r="F197" s="292"/>
      <c r="G197" s="292"/>
      <c r="H197" s="292"/>
      <c r="I197" s="292"/>
      <c r="J197" s="292"/>
      <c r="K197" s="292"/>
      <c r="L197" s="292"/>
      <c r="M197" s="292"/>
      <c r="N197" s="292"/>
      <c r="O197" s="292"/>
      <c r="P197" s="292"/>
      <c r="Q197" s="292"/>
      <c r="R197" s="292"/>
      <c r="S197" s="292"/>
      <c r="T197" s="292"/>
    </row>
    <row r="198" spans="1:20">
      <c r="A198" s="292"/>
      <c r="B198" s="292"/>
      <c r="C198" s="292"/>
      <c r="D198" s="292"/>
      <c r="E198" s="292"/>
      <c r="F198" s="292"/>
      <c r="G198" s="292"/>
      <c r="H198" s="292"/>
      <c r="I198" s="292"/>
      <c r="J198" s="292"/>
      <c r="K198" s="292"/>
      <c r="L198" s="292"/>
      <c r="M198" s="292"/>
      <c r="N198" s="292"/>
      <c r="O198" s="292"/>
      <c r="P198" s="292"/>
      <c r="Q198" s="292"/>
      <c r="R198" s="292"/>
      <c r="S198" s="292"/>
      <c r="T198" s="292"/>
    </row>
    <row r="199" spans="1:20">
      <c r="A199" s="292"/>
      <c r="B199" s="292"/>
      <c r="C199" s="292"/>
      <c r="D199" s="292"/>
      <c r="E199" s="292"/>
      <c r="F199" s="292"/>
      <c r="G199" s="292"/>
      <c r="H199" s="292"/>
      <c r="I199" s="292"/>
      <c r="J199" s="292"/>
      <c r="K199" s="292"/>
      <c r="L199" s="292"/>
      <c r="M199" s="292"/>
      <c r="N199" s="292"/>
      <c r="O199" s="292"/>
      <c r="P199" s="292"/>
      <c r="Q199" s="292"/>
      <c r="R199" s="292"/>
      <c r="S199" s="292"/>
      <c r="T199" s="292"/>
    </row>
    <row r="200" spans="1:20">
      <c r="A200" s="292"/>
      <c r="B200" s="292"/>
      <c r="C200" s="292"/>
      <c r="D200" s="292"/>
      <c r="E200" s="292"/>
      <c r="F200" s="292"/>
      <c r="G200" s="292"/>
      <c r="H200" s="292"/>
      <c r="I200" s="292"/>
      <c r="J200" s="292"/>
      <c r="K200" s="292"/>
      <c r="L200" s="292"/>
      <c r="M200" s="292"/>
      <c r="N200" s="292"/>
      <c r="O200" s="292"/>
      <c r="P200" s="292"/>
      <c r="Q200" s="292"/>
      <c r="R200" s="292"/>
      <c r="S200" s="292"/>
      <c r="T200" s="292"/>
    </row>
    <row r="201" spans="1:20">
      <c r="A201" s="292"/>
      <c r="B201" s="292"/>
      <c r="C201" s="292"/>
      <c r="D201" s="292"/>
      <c r="E201" s="292"/>
      <c r="F201" s="292"/>
      <c r="G201" s="292"/>
      <c r="H201" s="292"/>
      <c r="I201" s="292"/>
      <c r="J201" s="292"/>
      <c r="K201" s="292"/>
      <c r="L201" s="292"/>
      <c r="M201" s="292"/>
      <c r="N201" s="292"/>
      <c r="O201" s="292"/>
      <c r="P201" s="292"/>
      <c r="Q201" s="292"/>
      <c r="R201" s="292"/>
      <c r="S201" s="292"/>
      <c r="T201" s="292"/>
    </row>
    <row r="202" spans="1:20">
      <c r="A202" s="292"/>
      <c r="B202" s="292"/>
      <c r="C202" s="292"/>
      <c r="D202" s="292"/>
      <c r="E202" s="292"/>
      <c r="F202" s="292"/>
      <c r="G202" s="292"/>
      <c r="H202" s="292"/>
      <c r="I202" s="292"/>
      <c r="J202" s="292"/>
      <c r="K202" s="292"/>
      <c r="L202" s="292"/>
      <c r="M202" s="292"/>
      <c r="N202" s="292"/>
      <c r="O202" s="292"/>
      <c r="P202" s="292"/>
      <c r="Q202" s="292"/>
      <c r="R202" s="292"/>
      <c r="S202" s="292"/>
      <c r="T202" s="292"/>
    </row>
    <row r="203" spans="1:20">
      <c r="A203" s="292"/>
      <c r="B203" s="292"/>
      <c r="C203" s="292"/>
      <c r="D203" s="292"/>
      <c r="E203" s="292"/>
      <c r="F203" s="292"/>
      <c r="G203" s="292"/>
      <c r="H203" s="292"/>
      <c r="I203" s="292"/>
      <c r="J203" s="292"/>
      <c r="K203" s="292"/>
      <c r="L203" s="292"/>
      <c r="M203" s="292"/>
      <c r="N203" s="292"/>
      <c r="O203" s="292"/>
      <c r="P203" s="292"/>
      <c r="Q203" s="292"/>
      <c r="R203" s="292"/>
      <c r="S203" s="292"/>
      <c r="T203" s="292"/>
    </row>
    <row r="204" spans="1:20">
      <c r="A204" s="292"/>
      <c r="B204" s="292"/>
      <c r="C204" s="292"/>
      <c r="D204" s="292"/>
      <c r="E204" s="292"/>
      <c r="F204" s="292"/>
      <c r="G204" s="292"/>
      <c r="H204" s="292"/>
      <c r="I204" s="292"/>
      <c r="J204" s="292"/>
      <c r="K204" s="292"/>
      <c r="L204" s="292"/>
      <c r="M204" s="292"/>
      <c r="N204" s="292"/>
      <c r="O204" s="292"/>
      <c r="P204" s="292"/>
      <c r="Q204" s="292"/>
      <c r="R204" s="292"/>
      <c r="S204" s="292"/>
      <c r="T204" s="292"/>
    </row>
    <row r="205" spans="1:20">
      <c r="A205" s="292"/>
      <c r="B205" s="292"/>
      <c r="C205" s="292"/>
      <c r="D205" s="292"/>
      <c r="E205" s="292"/>
      <c r="F205" s="292"/>
      <c r="G205" s="292"/>
      <c r="H205" s="292"/>
      <c r="I205" s="292"/>
      <c r="J205" s="292"/>
      <c r="K205" s="292"/>
      <c r="L205" s="292"/>
      <c r="M205" s="292"/>
      <c r="N205" s="292"/>
      <c r="O205" s="292"/>
      <c r="P205" s="292"/>
      <c r="Q205" s="292"/>
      <c r="R205" s="292"/>
      <c r="S205" s="292"/>
      <c r="T205" s="292"/>
    </row>
    <row r="206" spans="1:20">
      <c r="A206" s="292"/>
      <c r="B206" s="292"/>
      <c r="C206" s="292"/>
      <c r="D206" s="292"/>
      <c r="E206" s="292"/>
      <c r="F206" s="292"/>
      <c r="G206" s="292"/>
      <c r="H206" s="292"/>
      <c r="I206" s="292"/>
      <c r="J206" s="292"/>
      <c r="K206" s="292"/>
      <c r="L206" s="292"/>
      <c r="M206" s="292"/>
      <c r="N206" s="292"/>
      <c r="O206" s="292"/>
      <c r="P206" s="292"/>
      <c r="Q206" s="292"/>
      <c r="R206" s="292"/>
      <c r="S206" s="292"/>
      <c r="T206" s="292"/>
    </row>
    <row r="207" spans="1:20">
      <c r="A207" s="292"/>
      <c r="B207" s="292"/>
      <c r="C207" s="292"/>
      <c r="D207" s="292"/>
      <c r="E207" s="292"/>
      <c r="F207" s="292"/>
      <c r="G207" s="292"/>
      <c r="H207" s="292"/>
      <c r="I207" s="292"/>
      <c r="J207" s="292"/>
      <c r="K207" s="292"/>
      <c r="L207" s="292"/>
      <c r="M207" s="292"/>
      <c r="N207" s="292"/>
      <c r="O207" s="292"/>
      <c r="P207" s="292"/>
      <c r="Q207" s="292"/>
      <c r="R207" s="292"/>
      <c r="S207" s="292"/>
      <c r="T207" s="292"/>
    </row>
    <row r="208" spans="1:20">
      <c r="A208" s="292"/>
      <c r="B208" s="292"/>
      <c r="C208" s="292"/>
      <c r="D208" s="292"/>
      <c r="E208" s="292"/>
      <c r="F208" s="292"/>
      <c r="G208" s="292"/>
      <c r="H208" s="292"/>
      <c r="I208" s="292"/>
      <c r="J208" s="292"/>
      <c r="K208" s="292"/>
      <c r="L208" s="292"/>
      <c r="M208" s="292"/>
      <c r="N208" s="292"/>
      <c r="O208" s="292"/>
      <c r="P208" s="292"/>
      <c r="Q208" s="292"/>
      <c r="R208" s="292"/>
      <c r="S208" s="292"/>
      <c r="T208" s="292"/>
    </row>
    <row r="209" spans="1:20">
      <c r="A209" s="292"/>
      <c r="B209" s="292"/>
      <c r="C209" s="292"/>
      <c r="D209" s="292"/>
      <c r="E209" s="292"/>
      <c r="F209" s="292"/>
      <c r="G209" s="292"/>
      <c r="H209" s="292"/>
      <c r="I209" s="292"/>
      <c r="J209" s="292"/>
      <c r="K209" s="292"/>
      <c r="L209" s="292"/>
      <c r="M209" s="292"/>
      <c r="N209" s="292"/>
      <c r="O209" s="292"/>
      <c r="P209" s="292"/>
      <c r="Q209" s="292"/>
      <c r="R209" s="292"/>
      <c r="S209" s="292"/>
      <c r="T209" s="292"/>
    </row>
    <row r="210" spans="1:20">
      <c r="A210" s="292"/>
      <c r="B210" s="292"/>
      <c r="C210" s="292"/>
      <c r="D210" s="292"/>
      <c r="E210" s="292"/>
      <c r="F210" s="292"/>
      <c r="G210" s="292"/>
      <c r="H210" s="292"/>
      <c r="I210" s="292"/>
      <c r="J210" s="292"/>
      <c r="K210" s="292"/>
      <c r="L210" s="292"/>
      <c r="M210" s="292"/>
      <c r="N210" s="292"/>
      <c r="O210" s="292"/>
      <c r="P210" s="292"/>
      <c r="Q210" s="292"/>
      <c r="R210" s="292"/>
      <c r="S210" s="292"/>
      <c r="T210" s="292"/>
    </row>
    <row r="211" spans="1:20">
      <c r="A211" s="292"/>
      <c r="B211" s="292"/>
      <c r="C211" s="292"/>
      <c r="D211" s="292"/>
      <c r="E211" s="292"/>
      <c r="F211" s="292"/>
      <c r="G211" s="292"/>
      <c r="H211" s="292"/>
      <c r="I211" s="292"/>
      <c r="J211" s="292"/>
      <c r="K211" s="292"/>
      <c r="L211" s="292"/>
      <c r="M211" s="292"/>
      <c r="N211" s="292"/>
      <c r="O211" s="292"/>
      <c r="P211" s="292"/>
      <c r="Q211" s="292"/>
      <c r="R211" s="292"/>
      <c r="S211" s="292"/>
      <c r="T211" s="292"/>
    </row>
    <row r="212" spans="1:20">
      <c r="A212" s="292"/>
      <c r="B212" s="292"/>
      <c r="C212" s="292"/>
      <c r="D212" s="292"/>
      <c r="E212" s="292"/>
      <c r="F212" s="292"/>
      <c r="G212" s="292"/>
      <c r="H212" s="292"/>
      <c r="I212" s="292"/>
      <c r="J212" s="292"/>
      <c r="K212" s="292"/>
      <c r="L212" s="292"/>
      <c r="M212" s="292"/>
      <c r="N212" s="292"/>
      <c r="O212" s="292"/>
      <c r="P212" s="292"/>
      <c r="Q212" s="292"/>
      <c r="R212" s="292"/>
      <c r="S212" s="292"/>
      <c r="T212" s="292"/>
    </row>
    <row r="213" spans="1:20">
      <c r="A213" s="292"/>
      <c r="B213" s="292"/>
      <c r="C213" s="292"/>
      <c r="D213" s="292"/>
      <c r="E213" s="292"/>
      <c r="F213" s="292"/>
      <c r="G213" s="292"/>
      <c r="H213" s="292"/>
      <c r="I213" s="292"/>
      <c r="J213" s="292"/>
      <c r="K213" s="292"/>
      <c r="L213" s="292"/>
      <c r="M213" s="292"/>
      <c r="N213" s="292"/>
      <c r="O213" s="292"/>
      <c r="P213" s="292"/>
      <c r="Q213" s="292"/>
      <c r="R213" s="292"/>
      <c r="S213" s="292"/>
      <c r="T213" s="292"/>
    </row>
    <row r="214" spans="1:20">
      <c r="A214" s="292"/>
      <c r="B214" s="292"/>
      <c r="C214" s="292"/>
      <c r="D214" s="292"/>
      <c r="E214" s="292"/>
      <c r="F214" s="292"/>
      <c r="G214" s="292"/>
      <c r="H214" s="292"/>
      <c r="I214" s="292"/>
      <c r="J214" s="292"/>
      <c r="K214" s="292"/>
      <c r="L214" s="292"/>
      <c r="M214" s="292"/>
      <c r="N214" s="292"/>
      <c r="O214" s="292"/>
      <c r="P214" s="292"/>
      <c r="Q214" s="292"/>
      <c r="R214" s="292"/>
      <c r="S214" s="292"/>
      <c r="T214" s="292"/>
    </row>
    <row r="215" spans="1:20">
      <c r="A215" s="292"/>
      <c r="B215" s="292"/>
      <c r="C215" s="292"/>
      <c r="D215" s="292"/>
      <c r="E215" s="292"/>
      <c r="F215" s="292"/>
      <c r="G215" s="292"/>
      <c r="H215" s="292"/>
      <c r="I215" s="292"/>
      <c r="J215" s="292"/>
      <c r="K215" s="292"/>
      <c r="L215" s="292"/>
      <c r="M215" s="292"/>
      <c r="N215" s="292"/>
      <c r="O215" s="292"/>
      <c r="P215" s="292"/>
      <c r="Q215" s="292"/>
      <c r="R215" s="292"/>
      <c r="S215" s="292"/>
      <c r="T215" s="292"/>
    </row>
    <row r="216" spans="1:20">
      <c r="A216" s="292"/>
      <c r="B216" s="292"/>
      <c r="C216" s="292"/>
      <c r="D216" s="292"/>
      <c r="E216" s="292"/>
      <c r="F216" s="292"/>
      <c r="G216" s="292"/>
      <c r="H216" s="292"/>
      <c r="I216" s="292"/>
      <c r="J216" s="292"/>
      <c r="K216" s="292"/>
      <c r="L216" s="292"/>
      <c r="M216" s="292"/>
      <c r="N216" s="292"/>
      <c r="O216" s="292"/>
      <c r="P216" s="292"/>
      <c r="Q216" s="292"/>
      <c r="R216" s="292"/>
      <c r="S216" s="292"/>
      <c r="T216" s="292"/>
    </row>
    <row r="217" spans="1:20">
      <c r="A217" s="292"/>
      <c r="B217" s="292"/>
      <c r="C217" s="292"/>
      <c r="D217" s="292"/>
      <c r="E217" s="292"/>
      <c r="F217" s="292"/>
      <c r="G217" s="292"/>
      <c r="H217" s="292"/>
      <c r="I217" s="292"/>
      <c r="J217" s="292"/>
      <c r="K217" s="292"/>
      <c r="L217" s="292"/>
      <c r="M217" s="292"/>
      <c r="N217" s="292"/>
      <c r="O217" s="292"/>
      <c r="P217" s="292"/>
      <c r="Q217" s="292"/>
      <c r="R217" s="292"/>
      <c r="S217" s="292"/>
      <c r="T217" s="292"/>
    </row>
    <row r="218" spans="1:20">
      <c r="A218" s="292"/>
      <c r="B218" s="292"/>
      <c r="C218" s="292"/>
      <c r="D218" s="292"/>
      <c r="E218" s="292"/>
      <c r="F218" s="292"/>
      <c r="G218" s="292"/>
      <c r="H218" s="292"/>
      <c r="I218" s="292"/>
      <c r="J218" s="292"/>
      <c r="K218" s="292"/>
      <c r="L218" s="292"/>
      <c r="M218" s="292"/>
      <c r="N218" s="292"/>
      <c r="O218" s="292"/>
      <c r="P218" s="292"/>
      <c r="Q218" s="292"/>
      <c r="R218" s="292"/>
      <c r="S218" s="292"/>
      <c r="T218" s="292"/>
    </row>
    <row r="219" spans="1:20">
      <c r="A219" s="292"/>
      <c r="B219" s="292"/>
      <c r="C219" s="292"/>
      <c r="D219" s="292"/>
      <c r="E219" s="292"/>
      <c r="F219" s="292"/>
      <c r="G219" s="292"/>
      <c r="H219" s="292"/>
      <c r="I219" s="292"/>
      <c r="J219" s="292"/>
      <c r="K219" s="292"/>
      <c r="L219" s="292"/>
      <c r="M219" s="292"/>
      <c r="N219" s="292"/>
      <c r="O219" s="292"/>
      <c r="P219" s="292"/>
      <c r="Q219" s="292"/>
      <c r="R219" s="292"/>
      <c r="S219" s="292"/>
      <c r="T219" s="292"/>
    </row>
    <row r="220" spans="1:20">
      <c r="A220" s="292"/>
      <c r="B220" s="292"/>
      <c r="C220" s="292"/>
      <c r="D220" s="292"/>
      <c r="E220" s="292"/>
      <c r="F220" s="292"/>
      <c r="G220" s="292"/>
      <c r="H220" s="292"/>
      <c r="I220" s="292"/>
      <c r="J220" s="292"/>
      <c r="K220" s="292"/>
      <c r="L220" s="292"/>
      <c r="M220" s="292"/>
      <c r="N220" s="292"/>
      <c r="O220" s="292"/>
      <c r="P220" s="292"/>
      <c r="Q220" s="292"/>
      <c r="R220" s="292"/>
      <c r="S220" s="292"/>
      <c r="T220" s="292"/>
    </row>
    <row r="221" spans="1:20">
      <c r="A221" s="292"/>
      <c r="B221" s="292"/>
      <c r="C221" s="292"/>
      <c r="D221" s="292"/>
      <c r="E221" s="292"/>
      <c r="F221" s="292"/>
      <c r="G221" s="292"/>
      <c r="H221" s="292"/>
      <c r="I221" s="292"/>
      <c r="J221" s="292"/>
      <c r="K221" s="292"/>
      <c r="L221" s="292"/>
      <c r="M221" s="292"/>
      <c r="N221" s="292"/>
      <c r="O221" s="292"/>
      <c r="P221" s="292"/>
      <c r="Q221" s="292"/>
      <c r="R221" s="292"/>
      <c r="S221" s="292"/>
      <c r="T221" s="292"/>
    </row>
    <row r="222" spans="1:20">
      <c r="A222" s="292"/>
      <c r="B222" s="292"/>
      <c r="C222" s="292"/>
      <c r="D222" s="292"/>
      <c r="E222" s="292"/>
      <c r="F222" s="292"/>
      <c r="G222" s="292"/>
      <c r="H222" s="292"/>
      <c r="I222" s="292"/>
      <c r="J222" s="292"/>
      <c r="K222" s="292"/>
      <c r="L222" s="292"/>
      <c r="M222" s="292"/>
      <c r="N222" s="292"/>
      <c r="O222" s="292"/>
      <c r="P222" s="292"/>
      <c r="Q222" s="292"/>
      <c r="R222" s="292"/>
      <c r="S222" s="292"/>
      <c r="T222" s="292"/>
    </row>
    <row r="223" spans="1:20">
      <c r="A223" s="292"/>
      <c r="B223" s="292"/>
      <c r="C223" s="292"/>
      <c r="D223" s="292"/>
      <c r="E223" s="292"/>
      <c r="F223" s="292"/>
      <c r="G223" s="292"/>
      <c r="H223" s="292"/>
      <c r="I223" s="292"/>
      <c r="J223" s="292"/>
      <c r="K223" s="292"/>
      <c r="L223" s="292"/>
      <c r="M223" s="292"/>
      <c r="N223" s="292"/>
      <c r="O223" s="292"/>
      <c r="P223" s="292"/>
      <c r="Q223" s="292"/>
      <c r="R223" s="292"/>
      <c r="S223" s="292"/>
      <c r="T223" s="292"/>
    </row>
    <row r="224" spans="1:20">
      <c r="A224" s="292"/>
      <c r="B224" s="292"/>
      <c r="C224" s="292"/>
      <c r="D224" s="292"/>
      <c r="E224" s="292"/>
      <c r="F224" s="292"/>
      <c r="G224" s="292"/>
      <c r="H224" s="292"/>
      <c r="I224" s="292"/>
      <c r="J224" s="292"/>
      <c r="K224" s="292"/>
      <c r="L224" s="292"/>
      <c r="M224" s="292"/>
      <c r="N224" s="292"/>
      <c r="O224" s="292"/>
      <c r="P224" s="292"/>
      <c r="Q224" s="292"/>
      <c r="R224" s="292"/>
      <c r="S224" s="292"/>
      <c r="T224" s="292"/>
    </row>
    <row r="225" spans="1:20">
      <c r="A225" s="292"/>
      <c r="B225" s="292"/>
      <c r="C225" s="292"/>
      <c r="D225" s="292"/>
      <c r="E225" s="292"/>
      <c r="F225" s="292"/>
      <c r="G225" s="292"/>
      <c r="H225" s="292"/>
      <c r="I225" s="292"/>
      <c r="J225" s="292"/>
      <c r="K225" s="292"/>
      <c r="L225" s="292"/>
      <c r="M225" s="292"/>
      <c r="N225" s="292"/>
      <c r="O225" s="292"/>
      <c r="P225" s="292"/>
      <c r="Q225" s="292"/>
      <c r="R225" s="292"/>
      <c r="S225" s="292"/>
      <c r="T225" s="292"/>
    </row>
    <row r="226" spans="1:20">
      <c r="A226" s="292"/>
      <c r="B226" s="292"/>
      <c r="C226" s="292"/>
      <c r="D226" s="292"/>
      <c r="E226" s="292"/>
      <c r="F226" s="292"/>
      <c r="G226" s="292"/>
      <c r="H226" s="292"/>
      <c r="I226" s="292"/>
      <c r="J226" s="292"/>
      <c r="K226" s="292"/>
      <c r="L226" s="292"/>
      <c r="M226" s="292"/>
      <c r="N226" s="292"/>
      <c r="O226" s="292"/>
      <c r="P226" s="292"/>
      <c r="Q226" s="292"/>
      <c r="R226" s="292"/>
      <c r="S226" s="292"/>
      <c r="T226" s="292"/>
    </row>
    <row r="227" spans="1:20">
      <c r="A227" s="292"/>
      <c r="B227" s="292"/>
      <c r="C227" s="292"/>
      <c r="D227" s="292"/>
      <c r="E227" s="292"/>
      <c r="F227" s="292"/>
      <c r="G227" s="292"/>
      <c r="H227" s="292"/>
      <c r="I227" s="292"/>
      <c r="J227" s="292"/>
      <c r="K227" s="292"/>
      <c r="L227" s="292"/>
      <c r="M227" s="292"/>
      <c r="N227" s="292"/>
      <c r="O227" s="292"/>
      <c r="P227" s="292"/>
      <c r="Q227" s="292"/>
      <c r="R227" s="292"/>
      <c r="S227" s="292"/>
      <c r="T227" s="292"/>
    </row>
    <row r="228" spans="1:20">
      <c r="A228" s="292"/>
      <c r="B228" s="292"/>
      <c r="C228" s="292"/>
      <c r="D228" s="292"/>
      <c r="E228" s="292"/>
      <c r="F228" s="292"/>
      <c r="G228" s="292"/>
      <c r="H228" s="292"/>
      <c r="I228" s="292"/>
      <c r="J228" s="292"/>
      <c r="K228" s="292"/>
      <c r="L228" s="292"/>
      <c r="M228" s="292"/>
      <c r="N228" s="292"/>
      <c r="O228" s="292"/>
      <c r="P228" s="292"/>
      <c r="Q228" s="292"/>
      <c r="R228" s="292"/>
      <c r="S228" s="292"/>
      <c r="T228" s="292"/>
    </row>
    <row r="229" spans="1:20">
      <c r="A229" s="292"/>
      <c r="B229" s="292"/>
      <c r="C229" s="292"/>
      <c r="D229" s="292"/>
      <c r="E229" s="292"/>
      <c r="F229" s="292"/>
      <c r="G229" s="292"/>
      <c r="H229" s="292"/>
      <c r="I229" s="292"/>
      <c r="J229" s="292"/>
      <c r="K229" s="292"/>
      <c r="L229" s="292"/>
      <c r="M229" s="292"/>
      <c r="N229" s="292"/>
      <c r="O229" s="292"/>
      <c r="P229" s="292"/>
      <c r="Q229" s="292"/>
      <c r="R229" s="292"/>
      <c r="S229" s="292"/>
      <c r="T229" s="292"/>
    </row>
    <row r="230" spans="1:20">
      <c r="A230" s="292"/>
      <c r="B230" s="292"/>
      <c r="C230" s="292"/>
      <c r="D230" s="292"/>
      <c r="E230" s="292"/>
      <c r="F230" s="292"/>
      <c r="G230" s="292"/>
      <c r="H230" s="292"/>
      <c r="I230" s="292"/>
      <c r="J230" s="292"/>
      <c r="K230" s="292"/>
      <c r="L230" s="292"/>
      <c r="M230" s="292"/>
      <c r="N230" s="292"/>
      <c r="O230" s="292"/>
      <c r="P230" s="292"/>
      <c r="Q230" s="292"/>
      <c r="R230" s="292"/>
      <c r="S230" s="292"/>
      <c r="T230" s="292"/>
    </row>
    <row r="231" spans="1:20">
      <c r="A231" s="292"/>
      <c r="B231" s="292"/>
      <c r="C231" s="292"/>
      <c r="D231" s="292"/>
      <c r="E231" s="292"/>
      <c r="F231" s="292"/>
      <c r="G231" s="292"/>
      <c r="H231" s="292"/>
      <c r="I231" s="292"/>
      <c r="J231" s="292"/>
      <c r="K231" s="292"/>
      <c r="L231" s="292"/>
      <c r="M231" s="292"/>
      <c r="N231" s="292"/>
      <c r="O231" s="292"/>
      <c r="P231" s="292"/>
      <c r="Q231" s="292"/>
      <c r="R231" s="292"/>
      <c r="S231" s="292"/>
      <c r="T231" s="292"/>
    </row>
    <row r="232" spans="1:20">
      <c r="A232" s="292"/>
      <c r="B232" s="292"/>
      <c r="C232" s="292"/>
      <c r="D232" s="292"/>
      <c r="E232" s="292"/>
      <c r="F232" s="292"/>
      <c r="G232" s="292"/>
      <c r="H232" s="292"/>
      <c r="I232" s="292"/>
      <c r="J232" s="292"/>
      <c r="K232" s="292"/>
      <c r="L232" s="292"/>
      <c r="M232" s="292"/>
      <c r="N232" s="292"/>
      <c r="O232" s="292"/>
      <c r="P232" s="292"/>
      <c r="Q232" s="292"/>
      <c r="R232" s="292"/>
      <c r="S232" s="292"/>
      <c r="T232" s="292"/>
    </row>
    <row r="233" spans="1:20">
      <c r="A233" s="292"/>
      <c r="B233" s="292"/>
      <c r="C233" s="292"/>
      <c r="D233" s="292"/>
      <c r="E233" s="292"/>
      <c r="F233" s="292"/>
      <c r="G233" s="292"/>
      <c r="H233" s="292"/>
      <c r="I233" s="292"/>
      <c r="J233" s="292"/>
      <c r="K233" s="292"/>
      <c r="L233" s="292"/>
      <c r="M233" s="292"/>
      <c r="N233" s="292"/>
      <c r="O233" s="292"/>
      <c r="P233" s="292"/>
      <c r="Q233" s="292"/>
      <c r="R233" s="292"/>
      <c r="S233" s="292"/>
      <c r="T233" s="292"/>
    </row>
    <row r="234" spans="1:20">
      <c r="A234" s="292"/>
      <c r="B234" s="292"/>
      <c r="C234" s="292"/>
      <c r="D234" s="292"/>
      <c r="E234" s="292"/>
      <c r="F234" s="292"/>
      <c r="G234" s="292"/>
      <c r="H234" s="292"/>
      <c r="I234" s="292"/>
      <c r="J234" s="292"/>
      <c r="K234" s="292"/>
      <c r="L234" s="292"/>
      <c r="M234" s="292"/>
      <c r="N234" s="292"/>
      <c r="O234" s="292"/>
      <c r="P234" s="292"/>
      <c r="Q234" s="292"/>
      <c r="R234" s="292"/>
      <c r="S234" s="292"/>
      <c r="T234" s="292"/>
    </row>
    <row r="235" spans="1:20">
      <c r="A235" s="292"/>
      <c r="B235" s="292"/>
      <c r="C235" s="292"/>
      <c r="D235" s="292"/>
      <c r="E235" s="292"/>
      <c r="F235" s="292"/>
      <c r="G235" s="292"/>
      <c r="H235" s="292"/>
      <c r="I235" s="292"/>
      <c r="J235" s="292"/>
      <c r="K235" s="292"/>
      <c r="L235" s="292"/>
      <c r="M235" s="292"/>
      <c r="N235" s="292"/>
      <c r="O235" s="292"/>
      <c r="P235" s="292"/>
      <c r="Q235" s="292"/>
      <c r="R235" s="292"/>
      <c r="S235" s="292"/>
      <c r="T235" s="292"/>
    </row>
    <row r="236" spans="1:20">
      <c r="A236" s="292"/>
      <c r="B236" s="292"/>
      <c r="C236" s="292"/>
      <c r="D236" s="292"/>
      <c r="E236" s="292"/>
      <c r="F236" s="292"/>
      <c r="G236" s="292"/>
      <c r="H236" s="292"/>
      <c r="I236" s="292"/>
      <c r="J236" s="292"/>
      <c r="K236" s="292"/>
      <c r="L236" s="292"/>
      <c r="M236" s="292"/>
      <c r="N236" s="292"/>
      <c r="O236" s="292"/>
      <c r="P236" s="292"/>
      <c r="Q236" s="292"/>
      <c r="R236" s="292"/>
      <c r="S236" s="292"/>
      <c r="T236" s="292"/>
    </row>
    <row r="237" spans="1:20">
      <c r="A237" s="292"/>
      <c r="B237" s="292"/>
      <c r="C237" s="292"/>
      <c r="D237" s="292"/>
      <c r="E237" s="292"/>
      <c r="F237" s="292"/>
      <c r="G237" s="292"/>
      <c r="H237" s="292"/>
      <c r="I237" s="292"/>
      <c r="J237" s="292"/>
      <c r="K237" s="292"/>
      <c r="L237" s="292"/>
      <c r="M237" s="292"/>
      <c r="N237" s="292"/>
      <c r="O237" s="292"/>
      <c r="P237" s="292"/>
      <c r="Q237" s="292"/>
      <c r="R237" s="292"/>
      <c r="S237" s="292"/>
      <c r="T237" s="292"/>
    </row>
    <row r="238" spans="1:20">
      <c r="A238" s="292"/>
      <c r="B238" s="292"/>
      <c r="C238" s="292"/>
      <c r="D238" s="292"/>
      <c r="E238" s="292"/>
      <c r="F238" s="292"/>
      <c r="G238" s="292"/>
      <c r="H238" s="292"/>
      <c r="I238" s="292"/>
      <c r="J238" s="292"/>
      <c r="K238" s="292"/>
      <c r="L238" s="292"/>
      <c r="M238" s="292"/>
      <c r="N238" s="292"/>
      <c r="O238" s="292"/>
      <c r="P238" s="292"/>
      <c r="Q238" s="292"/>
      <c r="R238" s="292"/>
      <c r="S238" s="292"/>
      <c r="T238" s="292"/>
    </row>
    <row r="239" spans="1:20">
      <c r="A239" s="292"/>
      <c r="B239" s="292"/>
      <c r="C239" s="292"/>
      <c r="D239" s="292"/>
      <c r="E239" s="292"/>
      <c r="F239" s="292"/>
      <c r="G239" s="292"/>
      <c r="H239" s="292"/>
      <c r="I239" s="292"/>
      <c r="J239" s="292"/>
      <c r="K239" s="292"/>
      <c r="L239" s="292"/>
      <c r="M239" s="292"/>
      <c r="N239" s="292"/>
      <c r="O239" s="292"/>
      <c r="P239" s="292"/>
      <c r="Q239" s="292"/>
      <c r="R239" s="292"/>
      <c r="S239" s="292"/>
      <c r="T239" s="292"/>
    </row>
    <row r="240" spans="1:20">
      <c r="A240" s="292"/>
      <c r="B240" s="292"/>
      <c r="C240" s="292"/>
      <c r="D240" s="292"/>
      <c r="E240" s="292"/>
      <c r="F240" s="292"/>
      <c r="G240" s="292"/>
      <c r="H240" s="292"/>
      <c r="I240" s="292"/>
      <c r="J240" s="292"/>
      <c r="K240" s="292"/>
      <c r="L240" s="292"/>
      <c r="M240" s="292"/>
      <c r="N240" s="292"/>
      <c r="O240" s="292"/>
      <c r="P240" s="292"/>
      <c r="Q240" s="292"/>
      <c r="R240" s="292"/>
      <c r="S240" s="292"/>
      <c r="T240" s="292"/>
    </row>
    <row r="241" spans="1:20">
      <c r="A241" s="292"/>
      <c r="B241" s="292"/>
      <c r="C241" s="292"/>
      <c r="D241" s="292"/>
      <c r="E241" s="292"/>
      <c r="F241" s="292"/>
      <c r="G241" s="292"/>
      <c r="H241" s="292"/>
      <c r="I241" s="292"/>
      <c r="J241" s="292"/>
      <c r="K241" s="292"/>
      <c r="L241" s="292"/>
      <c r="M241" s="292"/>
      <c r="N241" s="292"/>
      <c r="O241" s="292"/>
      <c r="P241" s="292"/>
      <c r="Q241" s="292"/>
      <c r="R241" s="292"/>
      <c r="S241" s="292"/>
      <c r="T241" s="292"/>
    </row>
    <row r="242" spans="1:20">
      <c r="A242" s="292"/>
      <c r="B242" s="292"/>
      <c r="C242" s="292"/>
      <c r="D242" s="292"/>
      <c r="E242" s="292"/>
      <c r="F242" s="292"/>
      <c r="G242" s="292"/>
      <c r="H242" s="292"/>
      <c r="I242" s="292"/>
      <c r="J242" s="292"/>
      <c r="K242" s="292"/>
      <c r="L242" s="292"/>
      <c r="M242" s="292"/>
      <c r="N242" s="292"/>
      <c r="O242" s="292"/>
      <c r="P242" s="292"/>
      <c r="Q242" s="292"/>
      <c r="R242" s="292"/>
      <c r="S242" s="292"/>
      <c r="T242" s="292"/>
    </row>
    <row r="243" spans="1:20">
      <c r="A243" s="292"/>
      <c r="B243" s="292"/>
      <c r="C243" s="292"/>
      <c r="D243" s="292"/>
      <c r="E243" s="292"/>
      <c r="F243" s="292"/>
      <c r="G243" s="292"/>
      <c r="H243" s="292"/>
      <c r="I243" s="292"/>
      <c r="J243" s="292"/>
      <c r="K243" s="292"/>
      <c r="L243" s="292"/>
      <c r="M243" s="292"/>
      <c r="N243" s="292"/>
      <c r="O243" s="292"/>
      <c r="P243" s="292"/>
      <c r="Q243" s="292"/>
      <c r="R243" s="292"/>
      <c r="S243" s="292"/>
      <c r="T243" s="292"/>
    </row>
    <row r="244" spans="1:20">
      <c r="A244" s="292"/>
      <c r="B244" s="292"/>
      <c r="C244" s="292"/>
      <c r="D244" s="292"/>
      <c r="E244" s="292"/>
      <c r="F244" s="292"/>
      <c r="G244" s="292"/>
      <c r="H244" s="292"/>
      <c r="I244" s="292"/>
      <c r="J244" s="292"/>
      <c r="K244" s="292"/>
      <c r="L244" s="292"/>
      <c r="M244" s="292"/>
      <c r="N244" s="292"/>
      <c r="O244" s="292"/>
      <c r="P244" s="292"/>
      <c r="Q244" s="292"/>
      <c r="R244" s="292"/>
      <c r="S244" s="292"/>
      <c r="T244" s="292"/>
    </row>
    <row r="245" spans="1:20">
      <c r="A245" s="292"/>
      <c r="B245" s="292"/>
      <c r="C245" s="292"/>
      <c r="D245" s="292"/>
      <c r="E245" s="292"/>
      <c r="F245" s="292"/>
      <c r="G245" s="292"/>
      <c r="H245" s="292"/>
      <c r="I245" s="292"/>
      <c r="J245" s="292"/>
      <c r="K245" s="292"/>
      <c r="L245" s="292"/>
      <c r="M245" s="292"/>
      <c r="N245" s="292"/>
      <c r="O245" s="292"/>
      <c r="P245" s="292"/>
      <c r="Q245" s="292"/>
      <c r="R245" s="292"/>
      <c r="S245" s="292"/>
      <c r="T245" s="292"/>
    </row>
    <row r="246" spans="1:20">
      <c r="A246" s="292"/>
      <c r="B246" s="292"/>
      <c r="C246" s="292"/>
      <c r="D246" s="292"/>
      <c r="E246" s="292"/>
      <c r="F246" s="292"/>
      <c r="G246" s="292"/>
      <c r="H246" s="292"/>
      <c r="I246" s="292"/>
      <c r="J246" s="292"/>
      <c r="K246" s="292"/>
      <c r="L246" s="292"/>
      <c r="M246" s="292"/>
      <c r="N246" s="292"/>
      <c r="O246" s="292"/>
      <c r="P246" s="292"/>
      <c r="Q246" s="292"/>
      <c r="R246" s="292"/>
      <c r="S246" s="292"/>
      <c r="T246" s="292"/>
    </row>
    <row r="247" spans="1:20">
      <c r="A247" s="292"/>
      <c r="B247" s="292"/>
      <c r="C247" s="292"/>
      <c r="D247" s="292"/>
      <c r="E247" s="292"/>
      <c r="F247" s="292"/>
      <c r="G247" s="292"/>
      <c r="H247" s="292"/>
      <c r="I247" s="292"/>
      <c r="J247" s="292"/>
      <c r="K247" s="292"/>
      <c r="L247" s="292"/>
      <c r="M247" s="292"/>
      <c r="N247" s="292"/>
      <c r="O247" s="292"/>
      <c r="P247" s="292"/>
      <c r="Q247" s="292"/>
      <c r="R247" s="292"/>
      <c r="S247" s="292"/>
      <c r="T247" s="292"/>
    </row>
    <row r="248" spans="1:20">
      <c r="A248" s="292"/>
      <c r="B248" s="292"/>
      <c r="C248" s="292"/>
      <c r="D248" s="292"/>
      <c r="E248" s="292"/>
      <c r="F248" s="292"/>
      <c r="G248" s="292"/>
      <c r="H248" s="292"/>
      <c r="I248" s="292"/>
      <c r="J248" s="292"/>
      <c r="K248" s="292"/>
      <c r="L248" s="292"/>
      <c r="M248" s="292"/>
      <c r="N248" s="292"/>
      <c r="O248" s="292"/>
      <c r="P248" s="292"/>
      <c r="Q248" s="292"/>
      <c r="R248" s="292"/>
      <c r="S248" s="292"/>
      <c r="T248" s="292"/>
    </row>
    <row r="249" spans="1:20">
      <c r="A249" s="292"/>
      <c r="B249" s="292"/>
      <c r="C249" s="292"/>
      <c r="D249" s="292"/>
      <c r="E249" s="292"/>
      <c r="F249" s="292"/>
      <c r="G249" s="292"/>
      <c r="H249" s="292"/>
      <c r="I249" s="292"/>
      <c r="J249" s="292"/>
      <c r="K249" s="292"/>
      <c r="L249" s="292"/>
      <c r="M249" s="292"/>
      <c r="N249" s="292"/>
      <c r="O249" s="292"/>
      <c r="P249" s="292"/>
      <c r="Q249" s="292"/>
      <c r="R249" s="292"/>
      <c r="S249" s="292"/>
      <c r="T249" s="292"/>
    </row>
    <row r="250" spans="1:20">
      <c r="A250" s="292"/>
      <c r="B250" s="292"/>
      <c r="C250" s="292"/>
      <c r="D250" s="292"/>
      <c r="E250" s="292"/>
      <c r="F250" s="292"/>
      <c r="G250" s="292"/>
      <c r="H250" s="292"/>
      <c r="I250" s="292"/>
      <c r="J250" s="292"/>
      <c r="K250" s="292"/>
      <c r="L250" s="292"/>
      <c r="M250" s="292"/>
      <c r="N250" s="292"/>
      <c r="O250" s="292"/>
      <c r="P250" s="292"/>
      <c r="Q250" s="292"/>
      <c r="R250" s="292"/>
      <c r="S250" s="292"/>
      <c r="T250" s="292"/>
    </row>
    <row r="251" spans="1:20">
      <c r="A251" s="292"/>
      <c r="B251" s="292"/>
      <c r="C251" s="292"/>
      <c r="D251" s="292"/>
      <c r="E251" s="292"/>
      <c r="F251" s="292"/>
      <c r="G251" s="292"/>
      <c r="H251" s="292"/>
      <c r="I251" s="292"/>
      <c r="J251" s="292"/>
      <c r="K251" s="292"/>
      <c r="L251" s="292"/>
      <c r="M251" s="292"/>
      <c r="N251" s="292"/>
      <c r="O251" s="292"/>
      <c r="P251" s="292"/>
      <c r="Q251" s="292"/>
      <c r="R251" s="292"/>
      <c r="S251" s="292"/>
      <c r="T251" s="292"/>
    </row>
    <row r="252" spans="1:20">
      <c r="A252" s="292"/>
      <c r="B252" s="292"/>
      <c r="C252" s="292"/>
      <c r="D252" s="292"/>
      <c r="E252" s="292"/>
      <c r="F252" s="292"/>
      <c r="G252" s="292"/>
      <c r="H252" s="292"/>
      <c r="I252" s="292"/>
      <c r="J252" s="292"/>
      <c r="K252" s="292"/>
      <c r="L252" s="292"/>
      <c r="M252" s="292"/>
      <c r="N252" s="292"/>
      <c r="O252" s="292"/>
      <c r="P252" s="292"/>
      <c r="Q252" s="292"/>
      <c r="R252" s="292"/>
      <c r="S252" s="292"/>
      <c r="T252" s="292"/>
    </row>
    <row r="253" spans="1:20">
      <c r="A253" s="292"/>
      <c r="B253" s="292"/>
      <c r="C253" s="292"/>
      <c r="D253" s="292"/>
      <c r="E253" s="292"/>
      <c r="F253" s="292"/>
      <c r="G253" s="292"/>
      <c r="H253" s="292"/>
      <c r="I253" s="292"/>
      <c r="J253" s="292"/>
      <c r="K253" s="292"/>
      <c r="L253" s="292"/>
      <c r="M253" s="292"/>
      <c r="N253" s="292"/>
      <c r="O253" s="292"/>
      <c r="P253" s="292"/>
      <c r="Q253" s="292"/>
      <c r="R253" s="292"/>
      <c r="S253" s="292"/>
      <c r="T253" s="292"/>
    </row>
    <row r="254" spans="1:20">
      <c r="A254" s="292"/>
      <c r="B254" s="292"/>
      <c r="C254" s="292"/>
      <c r="D254" s="292"/>
      <c r="E254" s="292"/>
      <c r="F254" s="292"/>
      <c r="G254" s="292"/>
      <c r="H254" s="292"/>
      <c r="I254" s="292"/>
      <c r="J254" s="292"/>
      <c r="K254" s="292"/>
      <c r="L254" s="292"/>
      <c r="M254" s="292"/>
      <c r="N254" s="292"/>
      <c r="O254" s="292"/>
      <c r="P254" s="292"/>
      <c r="Q254" s="292"/>
      <c r="R254" s="292"/>
      <c r="S254" s="292"/>
      <c r="T254" s="292"/>
    </row>
    <row r="255" spans="1:20">
      <c r="A255" s="292"/>
      <c r="B255" s="292"/>
      <c r="C255" s="292"/>
      <c r="D255" s="292"/>
      <c r="E255" s="292"/>
      <c r="F255" s="292"/>
      <c r="G255" s="292"/>
      <c r="H255" s="292"/>
      <c r="I255" s="292"/>
      <c r="J255" s="292"/>
      <c r="K255" s="292"/>
      <c r="L255" s="292"/>
      <c r="M255" s="292"/>
      <c r="N255" s="292"/>
      <c r="O255" s="292"/>
      <c r="P255" s="292"/>
      <c r="Q255" s="292"/>
      <c r="R255" s="292"/>
      <c r="S255" s="292"/>
      <c r="T255" s="292"/>
    </row>
    <row r="256" spans="1:20">
      <c r="A256" s="292"/>
      <c r="B256" s="292"/>
      <c r="C256" s="292"/>
      <c r="D256" s="292"/>
      <c r="E256" s="292"/>
      <c r="F256" s="292"/>
      <c r="G256" s="292"/>
      <c r="H256" s="292"/>
      <c r="I256" s="292"/>
      <c r="J256" s="292"/>
      <c r="K256" s="292"/>
      <c r="L256" s="292"/>
      <c r="M256" s="292"/>
      <c r="N256" s="292"/>
      <c r="O256" s="292"/>
      <c r="P256" s="292"/>
      <c r="Q256" s="292"/>
      <c r="R256" s="292"/>
      <c r="S256" s="292"/>
      <c r="T256" s="292"/>
    </row>
    <row r="257" spans="1:20">
      <c r="A257" s="292"/>
      <c r="B257" s="292"/>
      <c r="C257" s="292"/>
      <c r="D257" s="292"/>
      <c r="E257" s="292"/>
      <c r="F257" s="292"/>
      <c r="G257" s="292"/>
      <c r="H257" s="292"/>
      <c r="I257" s="292"/>
      <c r="J257" s="292"/>
      <c r="K257" s="292"/>
      <c r="L257" s="292"/>
      <c r="M257" s="292"/>
      <c r="N257" s="292"/>
      <c r="O257" s="292"/>
      <c r="P257" s="292"/>
      <c r="Q257" s="292"/>
      <c r="R257" s="292"/>
      <c r="S257" s="292"/>
      <c r="T257" s="292"/>
    </row>
    <row r="258" spans="1:20">
      <c r="A258" s="292"/>
      <c r="B258" s="292"/>
      <c r="C258" s="292"/>
      <c r="D258" s="292"/>
      <c r="E258" s="292"/>
      <c r="F258" s="292"/>
      <c r="G258" s="292"/>
      <c r="H258" s="292"/>
      <c r="I258" s="292"/>
      <c r="J258" s="292"/>
      <c r="K258" s="292"/>
      <c r="L258" s="292"/>
      <c r="M258" s="292"/>
      <c r="N258" s="292"/>
      <c r="O258" s="292"/>
      <c r="P258" s="292"/>
      <c r="Q258" s="292"/>
      <c r="R258" s="292"/>
      <c r="S258" s="292"/>
      <c r="T258" s="292"/>
    </row>
    <row r="259" spans="1:20">
      <c r="A259" s="292"/>
      <c r="B259" s="292"/>
      <c r="C259" s="292"/>
      <c r="D259" s="292"/>
      <c r="E259" s="292"/>
      <c r="F259" s="292"/>
      <c r="G259" s="292"/>
      <c r="H259" s="292"/>
      <c r="I259" s="292"/>
      <c r="J259" s="292"/>
      <c r="K259" s="292"/>
      <c r="L259" s="292"/>
      <c r="M259" s="292"/>
      <c r="N259" s="292"/>
      <c r="O259" s="292"/>
      <c r="P259" s="292"/>
      <c r="Q259" s="292"/>
      <c r="R259" s="292"/>
      <c r="S259" s="292"/>
      <c r="T259" s="292"/>
    </row>
    <row r="260" spans="1:20">
      <c r="A260" s="292"/>
      <c r="B260" s="292"/>
      <c r="C260" s="292"/>
      <c r="D260" s="292"/>
      <c r="E260" s="292"/>
      <c r="F260" s="292"/>
      <c r="G260" s="292"/>
      <c r="H260" s="292"/>
      <c r="I260" s="292"/>
      <c r="J260" s="292"/>
      <c r="K260" s="292"/>
      <c r="L260" s="292"/>
      <c r="M260" s="292"/>
      <c r="N260" s="292"/>
      <c r="O260" s="292"/>
      <c r="P260" s="292"/>
      <c r="Q260" s="292"/>
      <c r="R260" s="292"/>
      <c r="S260" s="292"/>
      <c r="T260" s="292"/>
    </row>
    <row r="261" spans="1:20">
      <c r="A261" s="292"/>
      <c r="B261" s="292"/>
      <c r="C261" s="292"/>
      <c r="D261" s="292"/>
      <c r="E261" s="292"/>
      <c r="F261" s="292"/>
      <c r="G261" s="292"/>
      <c r="H261" s="292"/>
      <c r="I261" s="292"/>
      <c r="J261" s="292"/>
      <c r="K261" s="292"/>
      <c r="L261" s="292"/>
      <c r="M261" s="292"/>
      <c r="N261" s="292"/>
      <c r="O261" s="292"/>
      <c r="P261" s="292"/>
      <c r="Q261" s="292"/>
      <c r="R261" s="292"/>
      <c r="S261" s="292"/>
      <c r="T261" s="292"/>
    </row>
    <row r="262" spans="1:20">
      <c r="A262" s="292"/>
      <c r="B262" s="292"/>
      <c r="C262" s="292"/>
      <c r="D262" s="292"/>
      <c r="E262" s="292"/>
      <c r="F262" s="292"/>
      <c r="G262" s="292"/>
      <c r="H262" s="292"/>
      <c r="I262" s="292"/>
      <c r="J262" s="292"/>
      <c r="K262" s="292"/>
      <c r="L262" s="292"/>
      <c r="M262" s="292"/>
      <c r="N262" s="292"/>
      <c r="O262" s="292"/>
      <c r="P262" s="292"/>
      <c r="Q262" s="292"/>
      <c r="R262" s="292"/>
      <c r="S262" s="292"/>
      <c r="T262" s="292"/>
    </row>
    <row r="263" spans="1:20">
      <c r="A263" s="292"/>
      <c r="B263" s="292"/>
      <c r="C263" s="292"/>
      <c r="D263" s="292"/>
      <c r="E263" s="292"/>
      <c r="F263" s="292"/>
      <c r="G263" s="292"/>
      <c r="H263" s="292"/>
      <c r="I263" s="292"/>
      <c r="J263" s="292"/>
      <c r="K263" s="292"/>
      <c r="L263" s="292"/>
      <c r="M263" s="292"/>
      <c r="N263" s="292"/>
      <c r="O263" s="292"/>
      <c r="P263" s="292"/>
      <c r="Q263" s="292"/>
      <c r="R263" s="292"/>
      <c r="S263" s="292"/>
      <c r="T263" s="292"/>
    </row>
    <row r="264" spans="1:20">
      <c r="A264" s="292"/>
      <c r="B264" s="292"/>
      <c r="C264" s="292"/>
      <c r="D264" s="292"/>
      <c r="E264" s="292"/>
      <c r="F264" s="292"/>
      <c r="G264" s="292"/>
      <c r="H264" s="292"/>
      <c r="I264" s="292"/>
      <c r="J264" s="292"/>
      <c r="K264" s="292"/>
      <c r="L264" s="292"/>
      <c r="M264" s="292"/>
      <c r="N264" s="292"/>
      <c r="O264" s="292"/>
      <c r="P264" s="292"/>
      <c r="Q264" s="292"/>
      <c r="R264" s="292"/>
      <c r="S264" s="292"/>
      <c r="T264" s="292"/>
    </row>
    <row r="265" spans="1:20">
      <c r="A265" s="292"/>
      <c r="B265" s="292"/>
      <c r="C265" s="292"/>
      <c r="D265" s="292"/>
      <c r="E265" s="292"/>
      <c r="F265" s="292"/>
      <c r="G265" s="292"/>
      <c r="H265" s="292"/>
      <c r="I265" s="292"/>
      <c r="J265" s="292"/>
      <c r="K265" s="292"/>
      <c r="L265" s="292"/>
      <c r="M265" s="292"/>
      <c r="N265" s="292"/>
      <c r="O265" s="292"/>
      <c r="P265" s="292"/>
      <c r="Q265" s="292"/>
      <c r="R265" s="292"/>
      <c r="S265" s="292"/>
      <c r="T265" s="292"/>
    </row>
    <row r="266" spans="1:20">
      <c r="A266" s="292"/>
      <c r="B266" s="292"/>
      <c r="C266" s="292"/>
      <c r="D266" s="292"/>
      <c r="E266" s="292"/>
      <c r="F266" s="292"/>
      <c r="G266" s="292"/>
      <c r="H266" s="292"/>
      <c r="I266" s="292"/>
      <c r="J266" s="292"/>
      <c r="K266" s="292"/>
      <c r="L266" s="292"/>
      <c r="M266" s="292"/>
      <c r="N266" s="292"/>
      <c r="O266" s="292"/>
      <c r="P266" s="292"/>
      <c r="Q266" s="292"/>
      <c r="R266" s="292"/>
      <c r="S266" s="292"/>
      <c r="T266" s="292"/>
    </row>
    <row r="267" spans="1:20">
      <c r="A267" s="292"/>
      <c r="B267" s="292"/>
      <c r="C267" s="292"/>
      <c r="D267" s="292"/>
      <c r="E267" s="292"/>
      <c r="F267" s="292"/>
      <c r="G267" s="292"/>
      <c r="H267" s="292"/>
      <c r="I267" s="292"/>
      <c r="J267" s="292"/>
      <c r="K267" s="292"/>
      <c r="L267" s="292"/>
      <c r="M267" s="292"/>
      <c r="N267" s="292"/>
      <c r="O267" s="292"/>
      <c r="P267" s="292"/>
      <c r="Q267" s="292"/>
      <c r="R267" s="292"/>
      <c r="S267" s="292"/>
      <c r="T267" s="292"/>
    </row>
    <row r="268" spans="1:20">
      <c r="A268" s="292"/>
      <c r="B268" s="292"/>
      <c r="C268" s="292"/>
      <c r="D268" s="292"/>
      <c r="E268" s="292"/>
      <c r="F268" s="292"/>
      <c r="G268" s="292"/>
      <c r="H268" s="292"/>
      <c r="I268" s="292"/>
      <c r="J268" s="292"/>
      <c r="K268" s="292"/>
      <c r="L268" s="292"/>
      <c r="M268" s="292"/>
      <c r="N268" s="292"/>
      <c r="O268" s="292"/>
      <c r="P268" s="292"/>
      <c r="Q268" s="292"/>
      <c r="R268" s="292"/>
      <c r="S268" s="292"/>
      <c r="T268" s="292"/>
    </row>
    <row r="269" spans="1:20">
      <c r="A269" s="292"/>
      <c r="B269" s="292"/>
      <c r="C269" s="292"/>
      <c r="D269" s="292"/>
      <c r="E269" s="292"/>
      <c r="F269" s="292"/>
      <c r="G269" s="292"/>
      <c r="H269" s="292"/>
      <c r="I269" s="292"/>
      <c r="J269" s="292"/>
      <c r="K269" s="292"/>
      <c r="L269" s="292"/>
      <c r="M269" s="292"/>
      <c r="N269" s="292"/>
      <c r="O269" s="292"/>
      <c r="P269" s="292"/>
      <c r="Q269" s="292"/>
      <c r="R269" s="292"/>
      <c r="S269" s="292"/>
      <c r="T269" s="292"/>
    </row>
    <row r="270" spans="1:20">
      <c r="A270" s="292"/>
      <c r="B270" s="292"/>
      <c r="C270" s="292"/>
      <c r="D270" s="292"/>
      <c r="E270" s="292"/>
      <c r="F270" s="292"/>
      <c r="G270" s="292"/>
      <c r="H270" s="292"/>
      <c r="I270" s="292"/>
      <c r="J270" s="292"/>
      <c r="K270" s="292"/>
      <c r="L270" s="292"/>
      <c r="M270" s="292"/>
      <c r="N270" s="292"/>
      <c r="O270" s="292"/>
      <c r="P270" s="292"/>
      <c r="Q270" s="292"/>
      <c r="R270" s="292"/>
      <c r="S270" s="292"/>
      <c r="T270" s="292"/>
    </row>
    <row r="271" spans="1:20">
      <c r="A271" s="292"/>
      <c r="B271" s="292"/>
      <c r="C271" s="292"/>
      <c r="D271" s="292"/>
      <c r="E271" s="292"/>
      <c r="F271" s="292"/>
      <c r="G271" s="292"/>
      <c r="H271" s="292"/>
      <c r="I271" s="292"/>
      <c r="J271" s="292"/>
      <c r="K271" s="292"/>
      <c r="L271" s="292"/>
      <c r="M271" s="292"/>
      <c r="N271" s="292"/>
      <c r="O271" s="292"/>
      <c r="P271" s="292"/>
      <c r="Q271" s="292"/>
      <c r="R271" s="292"/>
      <c r="S271" s="292"/>
      <c r="T271" s="292"/>
    </row>
    <row r="272" spans="1:20">
      <c r="A272" s="292"/>
      <c r="B272" s="292"/>
      <c r="C272" s="292"/>
      <c r="D272" s="292"/>
      <c r="E272" s="292"/>
      <c r="F272" s="292"/>
      <c r="G272" s="292"/>
      <c r="H272" s="292"/>
      <c r="I272" s="292"/>
      <c r="J272" s="292"/>
      <c r="K272" s="292"/>
      <c r="L272" s="292"/>
      <c r="M272" s="292"/>
      <c r="N272" s="292"/>
      <c r="O272" s="292"/>
      <c r="P272" s="292"/>
      <c r="Q272" s="292"/>
      <c r="R272" s="292"/>
      <c r="S272" s="292"/>
      <c r="T272" s="292"/>
    </row>
    <row r="273" spans="1:20">
      <c r="A273" s="292"/>
      <c r="B273" s="292"/>
      <c r="C273" s="292"/>
      <c r="D273" s="292"/>
      <c r="E273" s="292"/>
      <c r="F273" s="292"/>
      <c r="G273" s="292"/>
      <c r="H273" s="292"/>
      <c r="I273" s="292"/>
      <c r="J273" s="292"/>
      <c r="K273" s="292"/>
      <c r="L273" s="292"/>
      <c r="M273" s="292"/>
      <c r="N273" s="292"/>
      <c r="O273" s="292"/>
      <c r="P273" s="292"/>
      <c r="Q273" s="292"/>
      <c r="R273" s="292"/>
      <c r="S273" s="292"/>
      <c r="T273" s="292"/>
    </row>
    <row r="274" spans="1:20">
      <c r="A274" s="292"/>
      <c r="B274" s="292"/>
      <c r="C274" s="292"/>
      <c r="D274" s="292"/>
      <c r="E274" s="292"/>
      <c r="F274" s="292"/>
      <c r="G274" s="292"/>
      <c r="H274" s="292"/>
      <c r="I274" s="292"/>
      <c r="J274" s="292"/>
      <c r="K274" s="292"/>
      <c r="L274" s="292"/>
      <c r="M274" s="292"/>
      <c r="N274" s="292"/>
      <c r="O274" s="292"/>
      <c r="P274" s="292"/>
      <c r="Q274" s="292"/>
      <c r="R274" s="292"/>
      <c r="S274" s="292"/>
      <c r="T274" s="292"/>
    </row>
    <row r="275" spans="1:20">
      <c r="A275" s="292"/>
      <c r="B275" s="292"/>
      <c r="C275" s="292"/>
      <c r="D275" s="292"/>
      <c r="E275" s="292"/>
      <c r="F275" s="292"/>
      <c r="G275" s="292"/>
      <c r="H275" s="292"/>
      <c r="I275" s="292"/>
      <c r="J275" s="292"/>
      <c r="K275" s="292"/>
      <c r="L275" s="292"/>
      <c r="M275" s="292"/>
      <c r="N275" s="292"/>
      <c r="O275" s="292"/>
      <c r="P275" s="292"/>
      <c r="Q275" s="292"/>
      <c r="R275" s="292"/>
      <c r="S275" s="292"/>
      <c r="T275" s="292"/>
    </row>
    <row r="276" spans="1:20">
      <c r="A276" s="292"/>
      <c r="B276" s="292"/>
      <c r="C276" s="292"/>
      <c r="D276" s="292"/>
      <c r="E276" s="292"/>
      <c r="F276" s="292"/>
      <c r="G276" s="292"/>
      <c r="H276" s="292"/>
      <c r="I276" s="292"/>
      <c r="J276" s="292"/>
      <c r="K276" s="292"/>
      <c r="L276" s="292"/>
      <c r="M276" s="292"/>
      <c r="N276" s="292"/>
      <c r="O276" s="292"/>
      <c r="P276" s="292"/>
      <c r="Q276" s="292"/>
      <c r="R276" s="292"/>
      <c r="S276" s="292"/>
      <c r="T276" s="292"/>
    </row>
    <row r="277" spans="1:20">
      <c r="A277" s="292"/>
      <c r="B277" s="292"/>
      <c r="C277" s="292"/>
      <c r="D277" s="292"/>
      <c r="E277" s="292"/>
      <c r="F277" s="292"/>
      <c r="G277" s="292"/>
      <c r="H277" s="292"/>
      <c r="I277" s="292"/>
      <c r="J277" s="292"/>
      <c r="K277" s="292"/>
      <c r="L277" s="292"/>
      <c r="M277" s="292"/>
      <c r="N277" s="292"/>
      <c r="O277" s="292"/>
      <c r="P277" s="292"/>
      <c r="Q277" s="292"/>
      <c r="R277" s="292"/>
      <c r="S277" s="292"/>
      <c r="T277" s="292"/>
    </row>
    <row r="278" spans="1:20">
      <c r="A278" s="292"/>
      <c r="B278" s="292"/>
      <c r="C278" s="292"/>
      <c r="D278" s="292"/>
      <c r="E278" s="292"/>
      <c r="F278" s="292"/>
      <c r="G278" s="292"/>
      <c r="H278" s="292"/>
      <c r="I278" s="292"/>
      <c r="J278" s="292"/>
      <c r="K278" s="292"/>
      <c r="L278" s="292"/>
      <c r="M278" s="292"/>
      <c r="N278" s="292"/>
      <c r="O278" s="292"/>
      <c r="P278" s="292"/>
      <c r="Q278" s="292"/>
      <c r="R278" s="292"/>
      <c r="S278" s="292"/>
      <c r="T278" s="292"/>
    </row>
    <row r="279" spans="1:20">
      <c r="A279" s="292"/>
      <c r="B279" s="292"/>
      <c r="C279" s="292"/>
      <c r="D279" s="292"/>
      <c r="E279" s="292"/>
      <c r="F279" s="292"/>
      <c r="G279" s="292"/>
      <c r="H279" s="292"/>
      <c r="I279" s="292"/>
      <c r="J279" s="292"/>
      <c r="K279" s="292"/>
      <c r="L279" s="292"/>
      <c r="M279" s="292"/>
      <c r="N279" s="292"/>
      <c r="O279" s="292"/>
      <c r="P279" s="292"/>
      <c r="Q279" s="292"/>
      <c r="R279" s="292"/>
      <c r="S279" s="292"/>
      <c r="T279" s="292"/>
    </row>
    <row r="280" spans="1:20">
      <c r="A280" s="292"/>
      <c r="B280" s="292"/>
      <c r="C280" s="292"/>
      <c r="D280" s="292"/>
      <c r="E280" s="292"/>
      <c r="F280" s="292"/>
      <c r="G280" s="292"/>
      <c r="H280" s="292"/>
      <c r="I280" s="292"/>
      <c r="J280" s="292"/>
      <c r="K280" s="292"/>
      <c r="L280" s="292"/>
      <c r="M280" s="292"/>
      <c r="N280" s="292"/>
      <c r="O280" s="292"/>
      <c r="P280" s="292"/>
      <c r="Q280" s="292"/>
      <c r="R280" s="292"/>
      <c r="S280" s="292"/>
      <c r="T280" s="292"/>
    </row>
    <row r="281" spans="1:20">
      <c r="A281" s="292"/>
      <c r="B281" s="292"/>
      <c r="C281" s="292"/>
      <c r="D281" s="292"/>
      <c r="E281" s="292"/>
      <c r="F281" s="292"/>
      <c r="G281" s="292"/>
      <c r="H281" s="292"/>
      <c r="I281" s="292"/>
      <c r="J281" s="292"/>
      <c r="K281" s="292"/>
      <c r="L281" s="292"/>
      <c r="M281" s="292"/>
      <c r="N281" s="292"/>
      <c r="O281" s="292"/>
      <c r="P281" s="292"/>
      <c r="Q281" s="292"/>
      <c r="R281" s="292"/>
      <c r="S281" s="292"/>
      <c r="T281" s="292"/>
    </row>
    <row r="282" spans="1:20">
      <c r="A282" s="292"/>
      <c r="B282" s="292"/>
      <c r="C282" s="292"/>
      <c r="D282" s="292"/>
      <c r="E282" s="292"/>
      <c r="F282" s="292"/>
      <c r="G282" s="292"/>
      <c r="H282" s="292"/>
      <c r="I282" s="292"/>
      <c r="J282" s="292"/>
      <c r="K282" s="292"/>
      <c r="L282" s="292"/>
      <c r="M282" s="292"/>
      <c r="N282" s="292"/>
      <c r="O282" s="292"/>
      <c r="P282" s="292"/>
      <c r="Q282" s="292"/>
      <c r="R282" s="292"/>
      <c r="S282" s="292"/>
      <c r="T282" s="292"/>
    </row>
    <row r="283" spans="1:20">
      <c r="A283" s="292"/>
      <c r="B283" s="292"/>
      <c r="C283" s="292"/>
      <c r="D283" s="292"/>
      <c r="E283" s="292"/>
      <c r="F283" s="292"/>
      <c r="G283" s="292"/>
      <c r="H283" s="292"/>
      <c r="I283" s="292"/>
      <c r="J283" s="292"/>
      <c r="K283" s="292"/>
      <c r="L283" s="292"/>
      <c r="M283" s="292"/>
      <c r="N283" s="292"/>
      <c r="O283" s="292"/>
      <c r="P283" s="292"/>
      <c r="Q283" s="292"/>
      <c r="R283" s="292"/>
      <c r="S283" s="292"/>
      <c r="T283" s="292"/>
    </row>
    <row r="284" spans="1:20">
      <c r="A284" s="292"/>
      <c r="B284" s="292"/>
      <c r="C284" s="292"/>
      <c r="D284" s="292"/>
      <c r="E284" s="292"/>
      <c r="F284" s="292"/>
      <c r="G284" s="292"/>
      <c r="H284" s="292"/>
      <c r="I284" s="292"/>
      <c r="J284" s="292"/>
      <c r="K284" s="292"/>
      <c r="L284" s="292"/>
      <c r="M284" s="292"/>
      <c r="N284" s="292"/>
      <c r="O284" s="292"/>
      <c r="P284" s="292"/>
      <c r="Q284" s="292"/>
      <c r="R284" s="292"/>
      <c r="S284" s="292"/>
      <c r="T284" s="292"/>
    </row>
    <row r="285" spans="1:20">
      <c r="A285" s="292"/>
      <c r="B285" s="292"/>
      <c r="C285" s="292"/>
      <c r="D285" s="292"/>
      <c r="E285" s="292"/>
      <c r="F285" s="292"/>
      <c r="G285" s="292"/>
      <c r="H285" s="292"/>
      <c r="I285" s="292"/>
      <c r="J285" s="292"/>
      <c r="K285" s="292"/>
      <c r="L285" s="292"/>
      <c r="M285" s="292"/>
      <c r="N285" s="292"/>
      <c r="O285" s="292"/>
      <c r="P285" s="292"/>
      <c r="Q285" s="292"/>
      <c r="R285" s="292"/>
      <c r="S285" s="292"/>
      <c r="T285" s="292"/>
    </row>
    <row r="286" spans="1:20">
      <c r="A286" s="292"/>
      <c r="B286" s="292"/>
      <c r="C286" s="292"/>
      <c r="D286" s="292"/>
      <c r="E286" s="292"/>
      <c r="F286" s="292"/>
      <c r="G286" s="292"/>
      <c r="H286" s="292"/>
      <c r="I286" s="292"/>
      <c r="J286" s="292"/>
      <c r="K286" s="292"/>
      <c r="L286" s="292"/>
      <c r="M286" s="292"/>
      <c r="N286" s="292"/>
      <c r="O286" s="292"/>
      <c r="P286" s="292"/>
      <c r="Q286" s="292"/>
      <c r="R286" s="292"/>
      <c r="S286" s="292"/>
      <c r="T286" s="292"/>
    </row>
    <row r="287" spans="1:20">
      <c r="A287" s="292"/>
      <c r="B287" s="292"/>
      <c r="C287" s="292"/>
      <c r="D287" s="292"/>
      <c r="E287" s="292"/>
      <c r="F287" s="292"/>
      <c r="G287" s="292"/>
      <c r="H287" s="292"/>
      <c r="I287" s="292"/>
      <c r="J287" s="292"/>
      <c r="K287" s="292"/>
      <c r="L287" s="292"/>
      <c r="M287" s="292"/>
      <c r="N287" s="292"/>
      <c r="O287" s="292"/>
      <c r="P287" s="292"/>
      <c r="Q287" s="292"/>
      <c r="R287" s="292"/>
      <c r="S287" s="292"/>
      <c r="T287" s="292"/>
    </row>
    <row r="288" spans="1:20">
      <c r="A288" s="292"/>
      <c r="B288" s="292"/>
      <c r="C288" s="292"/>
      <c r="D288" s="292"/>
      <c r="E288" s="292"/>
      <c r="F288" s="292"/>
      <c r="G288" s="292"/>
      <c r="H288" s="292"/>
      <c r="I288" s="292"/>
      <c r="J288" s="292"/>
      <c r="K288" s="292"/>
      <c r="L288" s="292"/>
      <c r="M288" s="292"/>
      <c r="N288" s="292"/>
      <c r="O288" s="292"/>
      <c r="P288" s="292"/>
      <c r="Q288" s="292"/>
      <c r="R288" s="292"/>
      <c r="S288" s="292"/>
      <c r="T288" s="292"/>
    </row>
    <row r="289" spans="1:20">
      <c r="A289" s="292"/>
      <c r="B289" s="292"/>
      <c r="C289" s="292"/>
      <c r="D289" s="292"/>
      <c r="E289" s="292"/>
      <c r="F289" s="292"/>
      <c r="G289" s="292"/>
      <c r="H289" s="292"/>
      <c r="I289" s="292"/>
      <c r="J289" s="292"/>
      <c r="K289" s="292"/>
      <c r="L289" s="292"/>
      <c r="M289" s="292"/>
      <c r="N289" s="292"/>
      <c r="O289" s="292"/>
      <c r="P289" s="292"/>
      <c r="Q289" s="292"/>
      <c r="R289" s="292"/>
      <c r="S289" s="292"/>
      <c r="T289" s="292"/>
    </row>
    <row r="290" spans="1:20">
      <c r="A290" s="292"/>
      <c r="B290" s="292"/>
      <c r="C290" s="292"/>
      <c r="D290" s="292"/>
      <c r="E290" s="292"/>
      <c r="F290" s="292"/>
      <c r="G290" s="292"/>
      <c r="H290" s="292"/>
      <c r="I290" s="292"/>
      <c r="J290" s="292"/>
      <c r="K290" s="292"/>
      <c r="L290" s="292"/>
      <c r="M290" s="292"/>
      <c r="N290" s="292"/>
      <c r="O290" s="292"/>
      <c r="P290" s="292"/>
      <c r="Q290" s="292"/>
      <c r="R290" s="292"/>
      <c r="S290" s="292"/>
      <c r="T290" s="292"/>
    </row>
    <row r="291" spans="1:20">
      <c r="A291" s="292"/>
      <c r="B291" s="292"/>
      <c r="C291" s="292"/>
      <c r="D291" s="292"/>
      <c r="E291" s="292"/>
      <c r="F291" s="292"/>
      <c r="G291" s="292"/>
      <c r="H291" s="292"/>
      <c r="I291" s="292"/>
      <c r="J291" s="292"/>
      <c r="K291" s="292"/>
      <c r="L291" s="292"/>
      <c r="M291" s="292"/>
      <c r="N291" s="292"/>
      <c r="O291" s="292"/>
      <c r="P291" s="292"/>
      <c r="Q291" s="292"/>
      <c r="R291" s="292"/>
      <c r="S291" s="292"/>
      <c r="T291" s="292"/>
    </row>
    <row r="292" spans="1:20">
      <c r="A292" s="292"/>
      <c r="B292" s="292"/>
      <c r="C292" s="292"/>
      <c r="D292" s="292"/>
      <c r="E292" s="292"/>
      <c r="F292" s="292"/>
      <c r="G292" s="292"/>
      <c r="H292" s="292"/>
      <c r="I292" s="292"/>
      <c r="J292" s="292"/>
      <c r="K292" s="292"/>
      <c r="L292" s="292"/>
      <c r="M292" s="292"/>
      <c r="N292" s="292"/>
      <c r="O292" s="292"/>
      <c r="P292" s="292"/>
      <c r="Q292" s="292"/>
      <c r="R292" s="292"/>
      <c r="S292" s="292"/>
      <c r="T292" s="292"/>
    </row>
    <row r="293" spans="1:20">
      <c r="A293" s="292"/>
      <c r="B293" s="292"/>
      <c r="C293" s="292"/>
      <c r="D293" s="292"/>
      <c r="E293" s="292"/>
      <c r="F293" s="292"/>
      <c r="G293" s="292"/>
      <c r="H293" s="292"/>
      <c r="I293" s="292"/>
      <c r="J293" s="292"/>
      <c r="K293" s="292"/>
      <c r="L293" s="292"/>
      <c r="M293" s="292"/>
      <c r="N293" s="292"/>
      <c r="O293" s="292"/>
      <c r="P293" s="292"/>
      <c r="Q293" s="292"/>
      <c r="R293" s="292"/>
      <c r="S293" s="292"/>
      <c r="T293" s="292"/>
    </row>
    <row r="294" spans="1:20">
      <c r="A294" s="292"/>
      <c r="B294" s="292"/>
      <c r="C294" s="292"/>
      <c r="D294" s="292"/>
      <c r="E294" s="292"/>
      <c r="F294" s="292"/>
      <c r="G294" s="292"/>
      <c r="H294" s="292"/>
      <c r="I294" s="292"/>
      <c r="J294" s="292"/>
      <c r="K294" s="292"/>
      <c r="L294" s="292"/>
      <c r="M294" s="292"/>
      <c r="N294" s="292"/>
      <c r="O294" s="292"/>
      <c r="P294" s="292"/>
      <c r="Q294" s="292"/>
      <c r="R294" s="292"/>
      <c r="S294" s="292"/>
      <c r="T294" s="292"/>
    </row>
    <row r="295" spans="1:20">
      <c r="A295" s="292"/>
      <c r="B295" s="292"/>
      <c r="C295" s="292"/>
      <c r="D295" s="292"/>
      <c r="E295" s="292"/>
      <c r="F295" s="292"/>
      <c r="G295" s="292"/>
      <c r="H295" s="292"/>
      <c r="I295" s="292"/>
      <c r="J295" s="292"/>
      <c r="K295" s="292"/>
      <c r="L295" s="292"/>
      <c r="M295" s="292"/>
      <c r="N295" s="292"/>
      <c r="O295" s="292"/>
      <c r="P295" s="292"/>
      <c r="Q295" s="292"/>
      <c r="R295" s="292"/>
      <c r="S295" s="292"/>
      <c r="T295" s="292"/>
    </row>
    <row r="296" spans="1:20">
      <c r="A296" s="292"/>
      <c r="B296" s="292"/>
      <c r="C296" s="292"/>
      <c r="D296" s="292"/>
      <c r="E296" s="292"/>
      <c r="F296" s="292"/>
      <c r="G296" s="292"/>
      <c r="H296" s="292"/>
      <c r="I296" s="292"/>
      <c r="J296" s="292"/>
      <c r="K296" s="292"/>
      <c r="L296" s="292"/>
      <c r="M296" s="292"/>
      <c r="N296" s="292"/>
      <c r="O296" s="292"/>
      <c r="P296" s="292"/>
      <c r="Q296" s="292"/>
      <c r="R296" s="292"/>
      <c r="S296" s="292"/>
      <c r="T296" s="292"/>
    </row>
  </sheetData>
  <sheetProtection algorithmName="SHA-512" hashValue="vGrjtX54V09vHIwIpTRKnSBHFvKoBEhzucFiAaQ4b1xlnJoab86dAS7sMKZT897XJZZ/9vCM+k/4xLx57/ha6A==" saltValue="IOPj3MADbsXObTUCSz07HQ==" spinCount="100000" sheet="1" objects="1" scenarios="1"/>
  <mergeCells count="6">
    <mergeCell ref="B55:C55"/>
    <mergeCell ref="F7:G7"/>
    <mergeCell ref="B13:C13"/>
    <mergeCell ref="E19:F19"/>
    <mergeCell ref="E32:F32"/>
    <mergeCell ref="F45:G45"/>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47" activePane="bottomLeft" state="frozen"/>
      <selection activeCell="D50" sqref="D50"/>
      <selection pane="bottomLeft" activeCell="O70" sqref="O70"/>
    </sheetView>
  </sheetViews>
  <sheetFormatPr defaultColWidth="9.140625" defaultRowHeight="12.75"/>
  <cols>
    <col min="1" max="1" width="9.140625" style="22"/>
    <col min="2" max="2" width="16" style="22" customWidth="1"/>
    <col min="3" max="3" width="15.5703125" style="22" customWidth="1"/>
    <col min="4" max="4" width="12.42578125" style="22" bestFit="1" customWidth="1"/>
    <col min="5" max="5" width="9.5703125" style="22" bestFit="1" customWidth="1"/>
    <col min="6" max="6" width="11.5703125" style="22" customWidth="1"/>
    <col min="7" max="7" width="12.5703125" style="22" bestFit="1" customWidth="1"/>
    <col min="8" max="8" width="10.5703125" style="1359" bestFit="1" customWidth="1"/>
    <col min="9" max="9" width="12.5703125" style="22" bestFit="1" customWidth="1"/>
    <col min="10" max="10" width="10.5703125" style="1359" bestFit="1" customWidth="1"/>
    <col min="11" max="11" width="12.5703125" style="22" bestFit="1" customWidth="1"/>
    <col min="12" max="12" width="10.5703125" style="1359" bestFit="1" customWidth="1"/>
    <col min="13" max="13" width="10.85546875" style="22" bestFit="1" customWidth="1"/>
    <col min="14" max="14" width="9.140625" style="22"/>
    <col min="15" max="15" width="13.42578125" style="22" customWidth="1"/>
    <col min="16" max="18" width="5" style="22" bestFit="1" customWidth="1"/>
    <col min="19" max="16384" width="9.140625" style="22"/>
  </cols>
  <sheetData>
    <row r="1" spans="1:25" s="292" customFormat="1" ht="32.1" customHeight="1">
      <c r="A1" s="440"/>
      <c r="B1" s="440"/>
      <c r="C1" s="440"/>
      <c r="D1" s="440"/>
      <c r="E1" s="440"/>
      <c r="F1" s="440"/>
      <c r="G1" s="440"/>
      <c r="H1" s="1357"/>
      <c r="I1" s="440"/>
      <c r="J1" s="1357"/>
      <c r="K1" s="440"/>
      <c r="L1" s="1358"/>
      <c r="M1" s="440"/>
      <c r="Q1" s="293"/>
      <c r="R1" s="293"/>
      <c r="S1" s="293"/>
      <c r="T1" s="293"/>
      <c r="U1" s="293"/>
      <c r="V1" s="293"/>
      <c r="W1" s="293"/>
      <c r="X1" s="293"/>
      <c r="Y1" s="293"/>
    </row>
    <row r="2" spans="1:25" s="292" customFormat="1" ht="41.25" customHeight="1">
      <c r="H2" s="1359"/>
      <c r="J2" s="1359"/>
      <c r="L2" s="1358"/>
      <c r="Q2" s="293"/>
      <c r="R2" s="293"/>
      <c r="S2" s="293"/>
      <c r="T2" s="293"/>
      <c r="U2" s="293"/>
      <c r="V2" s="293"/>
      <c r="W2" s="293"/>
      <c r="X2" s="293"/>
      <c r="Y2" s="293"/>
    </row>
    <row r="3" spans="1:25" s="292" customFormat="1" ht="12.75" customHeight="1">
      <c r="H3" s="1359"/>
      <c r="J3" s="1359"/>
      <c r="L3" s="1359"/>
      <c r="Q3" s="293"/>
      <c r="R3" s="293"/>
      <c r="S3" s="293"/>
      <c r="T3" s="293"/>
      <c r="U3" s="293"/>
      <c r="V3" s="293"/>
      <c r="W3" s="293"/>
      <c r="X3" s="293"/>
      <c r="Y3" s="293"/>
    </row>
    <row r="4" spans="1:25">
      <c r="A4" s="292"/>
      <c r="B4" s="292"/>
      <c r="C4" s="292"/>
      <c r="D4" s="292"/>
      <c r="E4" s="292"/>
      <c r="F4" s="292"/>
      <c r="G4" s="292"/>
      <c r="I4" s="292"/>
      <c r="K4" s="292"/>
      <c r="M4" s="292"/>
      <c r="N4" s="292"/>
      <c r="O4" s="292"/>
      <c r="P4" s="292"/>
      <c r="Q4" s="292"/>
      <c r="R4" s="292"/>
      <c r="S4" s="292"/>
      <c r="T4" s="292"/>
    </row>
    <row r="5" spans="1:25" ht="18">
      <c r="A5" s="1360" t="s">
        <v>456</v>
      </c>
      <c r="B5" s="1361"/>
      <c r="C5" s="367"/>
      <c r="D5" s="367"/>
      <c r="E5" s="367"/>
      <c r="F5" s="367"/>
      <c r="G5" s="367"/>
      <c r="H5" s="1362"/>
      <c r="I5" s="367"/>
      <c r="J5" s="1362"/>
      <c r="K5" s="367"/>
      <c r="L5" s="1362"/>
      <c r="M5" s="367"/>
      <c r="N5" s="367"/>
      <c r="O5" s="373"/>
      <c r="P5" s="367"/>
      <c r="Q5" s="367"/>
      <c r="R5" s="367"/>
      <c r="S5" s="367"/>
      <c r="T5" s="367"/>
      <c r="U5" s="368"/>
      <c r="V5" s="368"/>
    </row>
    <row r="6" spans="1:25" ht="15.75">
      <c r="A6" s="380">
        <v>1</v>
      </c>
      <c r="B6" s="376" t="s">
        <v>359</v>
      </c>
      <c r="C6" s="378"/>
      <c r="D6" s="378"/>
      <c r="E6" s="378"/>
      <c r="F6" s="378"/>
      <c r="G6" s="303"/>
      <c r="H6" s="683"/>
      <c r="I6" s="381"/>
      <c r="J6" s="683"/>
      <c r="K6" s="303"/>
      <c r="L6" s="683"/>
      <c r="M6" s="360"/>
      <c r="N6" s="300"/>
      <c r="O6" s="300"/>
      <c r="P6" s="303"/>
      <c r="Q6" s="303"/>
      <c r="R6" s="373"/>
      <c r="S6" s="367"/>
      <c r="T6" s="367"/>
      <c r="U6" s="368"/>
      <c r="V6" s="368"/>
    </row>
    <row r="7" spans="1:25" s="300" customFormat="1" ht="11.25">
      <c r="A7" s="297"/>
      <c r="B7" s="304"/>
      <c r="C7" s="304"/>
      <c r="D7" s="327"/>
      <c r="E7" s="670"/>
      <c r="F7" s="1458" t="s">
        <v>330</v>
      </c>
      <c r="G7" s="1458"/>
      <c r="H7" s="1363"/>
      <c r="I7" s="303"/>
      <c r="J7" s="683"/>
      <c r="K7" s="303"/>
      <c r="L7" s="1273"/>
      <c r="O7" s="301"/>
      <c r="P7" s="301"/>
      <c r="Q7" s="303"/>
      <c r="R7" s="303"/>
      <c r="S7" s="303"/>
      <c r="T7" s="303"/>
      <c r="U7" s="303"/>
      <c r="V7" s="303"/>
      <c r="W7" s="303"/>
      <c r="X7" s="303"/>
      <c r="Y7" s="303"/>
    </row>
    <row r="8" spans="1:25" s="300" customFormat="1" ht="11.25">
      <c r="A8" s="297"/>
      <c r="B8" s="671" t="s">
        <v>329</v>
      </c>
      <c r="C8" s="672"/>
      <c r="D8" s="673" t="s">
        <v>328</v>
      </c>
      <c r="E8" s="674" t="s">
        <v>84</v>
      </c>
      <c r="F8" s="323" t="s">
        <v>34</v>
      </c>
      <c r="G8" s="675" t="s">
        <v>33</v>
      </c>
      <c r="H8" s="1363"/>
      <c r="I8" s="391"/>
      <c r="J8" s="1363"/>
      <c r="K8" s="303"/>
      <c r="L8" s="1273"/>
      <c r="O8" s="301"/>
      <c r="P8" s="301"/>
      <c r="Q8" s="303"/>
      <c r="R8" s="303"/>
      <c r="S8" s="303"/>
      <c r="T8" s="303"/>
      <c r="U8" s="303"/>
      <c r="V8" s="303"/>
      <c r="W8" s="303"/>
      <c r="X8" s="303"/>
      <c r="Y8" s="303"/>
    </row>
    <row r="9" spans="1:25" s="300" customFormat="1" ht="11.25">
      <c r="B9" s="765" t="s">
        <v>641</v>
      </c>
      <c r="C9" s="740"/>
      <c r="D9" s="1413">
        <v>20000</v>
      </c>
      <c r="E9" s="640">
        <v>1</v>
      </c>
      <c r="F9" s="767">
        <v>1.1000000000000001</v>
      </c>
      <c r="G9" s="767">
        <v>1.1000000000000001</v>
      </c>
      <c r="H9" s="1364"/>
      <c r="I9" s="306"/>
      <c r="J9" s="1365"/>
      <c r="K9" s="306"/>
      <c r="L9" s="1273"/>
      <c r="O9" s="301"/>
      <c r="P9" s="301"/>
      <c r="Q9" s="303"/>
      <c r="R9" s="303"/>
      <c r="S9" s="303"/>
      <c r="T9" s="303"/>
      <c r="U9" s="303"/>
      <c r="V9" s="303"/>
      <c r="W9" s="303"/>
      <c r="X9" s="303"/>
      <c r="Y9" s="303"/>
    </row>
    <row r="10" spans="1:25" s="300" customFormat="1" ht="11.25">
      <c r="B10" s="765" t="s">
        <v>75</v>
      </c>
      <c r="C10" s="740"/>
      <c r="D10" s="1413">
        <v>45000</v>
      </c>
      <c r="E10" s="640">
        <v>1</v>
      </c>
      <c r="F10" s="1414">
        <v>1.1000000000000001</v>
      </c>
      <c r="G10" s="1414">
        <v>1.1000000000000001</v>
      </c>
      <c r="H10" s="1364"/>
      <c r="I10" s="306"/>
      <c r="J10" s="1365"/>
      <c r="K10" s="306"/>
      <c r="L10" s="1273"/>
      <c r="O10" s="301"/>
      <c r="P10" s="301"/>
      <c r="Q10" s="303"/>
      <c r="R10" s="303"/>
      <c r="S10" s="303"/>
      <c r="T10" s="303"/>
      <c r="U10" s="303"/>
      <c r="V10" s="303"/>
      <c r="W10" s="303"/>
      <c r="X10" s="303"/>
      <c r="Y10" s="303"/>
    </row>
    <row r="11" spans="1:25" s="300" customFormat="1" ht="11.25">
      <c r="B11" s="765" t="s">
        <v>74</v>
      </c>
      <c r="C11" s="740"/>
      <c r="D11" s="1413">
        <v>12000</v>
      </c>
      <c r="E11" s="640">
        <v>0.25</v>
      </c>
      <c r="F11" s="767">
        <v>1.1000000000000001</v>
      </c>
      <c r="G11" s="767">
        <v>1.1000000000000001</v>
      </c>
      <c r="H11" s="1364"/>
      <c r="I11" s="306"/>
      <c r="J11" s="1365"/>
      <c r="K11" s="306"/>
      <c r="L11" s="1273"/>
      <c r="O11" s="301"/>
      <c r="P11" s="301"/>
      <c r="Q11" s="303"/>
      <c r="R11" s="303"/>
      <c r="S11" s="303"/>
      <c r="T11" s="303"/>
      <c r="U11" s="303"/>
      <c r="V11" s="303"/>
      <c r="W11" s="303"/>
      <c r="X11" s="303"/>
      <c r="Y11" s="303"/>
    </row>
    <row r="12" spans="1:25" s="300" customFormat="1" ht="11.25">
      <c r="B12" s="765" t="s">
        <v>73</v>
      </c>
      <c r="C12" s="740"/>
      <c r="D12" s="1413">
        <v>7000</v>
      </c>
      <c r="E12" s="640"/>
      <c r="F12" s="767">
        <v>1.1000000000000001</v>
      </c>
      <c r="G12" s="767">
        <v>1.1000000000000001</v>
      </c>
      <c r="H12" s="1364"/>
      <c r="I12" s="306"/>
      <c r="J12" s="1365"/>
      <c r="K12" s="306"/>
      <c r="L12" s="1273"/>
      <c r="O12" s="301"/>
      <c r="P12" s="301"/>
      <c r="Q12" s="303"/>
      <c r="R12" s="303"/>
      <c r="S12" s="303"/>
      <c r="T12" s="303"/>
      <c r="U12" s="303"/>
      <c r="V12" s="303"/>
      <c r="W12" s="303"/>
      <c r="X12" s="303"/>
      <c r="Y12" s="303"/>
    </row>
    <row r="13" spans="1:25" s="300" customFormat="1" ht="11.25">
      <c r="B13" s="1575"/>
      <c r="C13" s="1575"/>
      <c r="H13" s="683"/>
      <c r="I13" s="303"/>
      <c r="J13" s="683"/>
      <c r="K13" s="677"/>
      <c r="L13" s="1273"/>
      <c r="O13" s="301"/>
      <c r="P13" s="301"/>
      <c r="Q13" s="303"/>
      <c r="R13" s="303"/>
      <c r="S13" s="303"/>
      <c r="T13" s="303"/>
      <c r="U13" s="303"/>
      <c r="V13" s="303"/>
      <c r="W13" s="303"/>
      <c r="X13" s="303"/>
      <c r="Y13" s="303"/>
    </row>
    <row r="14" spans="1:25" s="300" customFormat="1" ht="11.25">
      <c r="B14" s="1422"/>
      <c r="C14" s="1422"/>
      <c r="D14" s="676" t="s">
        <v>35</v>
      </c>
      <c r="E14" s="676" t="s">
        <v>34</v>
      </c>
      <c r="F14" s="676" t="s">
        <v>33</v>
      </c>
      <c r="H14" s="683"/>
      <c r="I14" s="303"/>
      <c r="J14" s="683"/>
      <c r="K14" s="677"/>
      <c r="L14" s="1273"/>
      <c r="O14" s="301"/>
      <c r="P14" s="301"/>
      <c r="Q14" s="303"/>
      <c r="R14" s="303"/>
      <c r="S14" s="303"/>
      <c r="T14" s="303"/>
      <c r="U14" s="303"/>
      <c r="V14" s="303"/>
      <c r="W14" s="303"/>
      <c r="X14" s="303"/>
      <c r="Y14" s="303"/>
    </row>
    <row r="15" spans="1:25" s="300" customFormat="1">
      <c r="B15" s="678" t="s">
        <v>101</v>
      </c>
      <c r="C15" s="1422"/>
      <c r="D15" s="679">
        <f>SUM(D9:D13)</f>
        <v>84000</v>
      </c>
      <c r="E15" s="679">
        <f>SUMPRODUCT(D9:D13,F9:F13)</f>
        <v>92400</v>
      </c>
      <c r="F15" s="679">
        <f>SUMPRODUCT(D9:D13,G9:G13,F9:F13)</f>
        <v>101640.00000000001</v>
      </c>
      <c r="H15" s="683"/>
      <c r="I15" s="303"/>
      <c r="J15" s="683"/>
      <c r="K15" s="677"/>
      <c r="L15" s="1273"/>
      <c r="O15" s="301"/>
      <c r="P15" s="301"/>
      <c r="Q15" s="303"/>
      <c r="R15" s="303"/>
      <c r="S15" s="303"/>
      <c r="T15" s="303"/>
      <c r="U15" s="303"/>
      <c r="V15" s="303"/>
      <c r="W15" s="303"/>
      <c r="X15" s="303"/>
      <c r="Y15" s="303"/>
    </row>
    <row r="16" spans="1:25" s="300" customFormat="1" ht="11.25">
      <c r="B16" s="1422"/>
      <c r="C16" s="1422"/>
      <c r="H16" s="683"/>
      <c r="I16" s="303"/>
      <c r="J16" s="683"/>
      <c r="K16" s="677"/>
      <c r="L16" s="1273"/>
      <c r="O16" s="301"/>
      <c r="P16" s="301"/>
      <c r="Q16" s="303"/>
      <c r="R16" s="303"/>
      <c r="S16" s="303"/>
      <c r="T16" s="303"/>
      <c r="U16" s="303"/>
      <c r="V16" s="303"/>
      <c r="W16" s="303"/>
      <c r="X16" s="303"/>
      <c r="Y16" s="303"/>
    </row>
    <row r="17" spans="1:25" s="300" customFormat="1" ht="11.25">
      <c r="H17" s="683"/>
      <c r="I17" s="303"/>
      <c r="J17" s="683"/>
      <c r="K17" s="677"/>
      <c r="L17" s="1273"/>
      <c r="O17" s="301"/>
      <c r="P17" s="301"/>
      <c r="Q17" s="303"/>
      <c r="R17" s="303"/>
      <c r="S17" s="303"/>
      <c r="T17" s="303"/>
      <c r="U17" s="303"/>
      <c r="V17" s="303"/>
      <c r="W17" s="303"/>
      <c r="X17" s="303"/>
      <c r="Y17" s="303"/>
    </row>
    <row r="18" spans="1:25" s="300" customFormat="1" ht="11.25" hidden="1">
      <c r="H18" s="683"/>
      <c r="I18" s="303"/>
      <c r="J18" s="683"/>
      <c r="K18" s="677"/>
      <c r="L18" s="1273"/>
      <c r="O18" s="301"/>
      <c r="P18" s="301"/>
      <c r="Q18" s="303"/>
      <c r="R18" s="303"/>
      <c r="S18" s="303"/>
      <c r="T18" s="303"/>
      <c r="U18" s="303"/>
      <c r="V18" s="303"/>
      <c r="W18" s="303"/>
      <c r="X18" s="303"/>
      <c r="Y18" s="303"/>
    </row>
    <row r="19" spans="1:25" ht="18" hidden="1">
      <c r="A19" s="1366" t="s">
        <v>457</v>
      </c>
      <c r="B19" s="1367"/>
      <c r="C19" s="1367"/>
      <c r="D19" s="1367"/>
      <c r="E19" s="1367"/>
      <c r="F19" s="1367"/>
      <c r="G19" s="1367"/>
      <c r="I19" s="292"/>
      <c r="K19" s="292"/>
      <c r="M19" s="292"/>
      <c r="N19" s="292"/>
      <c r="S19" s="292"/>
      <c r="T19" s="292"/>
      <c r="U19" s="292"/>
    </row>
    <row r="20" spans="1:25" ht="15.75" hidden="1">
      <c r="A20" s="294">
        <v>2</v>
      </c>
      <c r="B20" s="1308" t="s">
        <v>453</v>
      </c>
      <c r="C20" s="1309"/>
      <c r="D20" s="1309"/>
      <c r="E20" s="1309"/>
      <c r="F20" s="1309"/>
      <c r="G20" s="1368"/>
      <c r="H20" s="1273"/>
      <c r="I20" s="292"/>
      <c r="K20" s="292"/>
      <c r="M20" s="292"/>
      <c r="N20" s="292"/>
      <c r="S20" s="292"/>
      <c r="T20" s="292"/>
    </row>
    <row r="21" spans="1:25" hidden="1">
      <c r="A21" s="345"/>
      <c r="B21" s="361"/>
      <c r="C21" s="300"/>
      <c r="D21" s="312" t="s">
        <v>333</v>
      </c>
      <c r="E21" s="1458" t="s">
        <v>334</v>
      </c>
      <c r="F21" s="1458"/>
      <c r="G21" s="300"/>
      <c r="H21" s="1273"/>
    </row>
    <row r="22" spans="1:25" hidden="1">
      <c r="A22" s="345"/>
      <c r="B22" s="361"/>
      <c r="C22" s="300"/>
      <c r="D22" s="312" t="s">
        <v>35</v>
      </c>
      <c r="E22" s="312" t="s">
        <v>34</v>
      </c>
      <c r="F22" s="312" t="s">
        <v>33</v>
      </c>
      <c r="G22" s="300"/>
      <c r="H22" s="1273"/>
    </row>
    <row r="23" spans="1:25" hidden="1">
      <c r="A23" s="345"/>
      <c r="B23" s="1306" t="s">
        <v>82</v>
      </c>
      <c r="C23" s="357"/>
      <c r="D23" s="766">
        <v>8000</v>
      </c>
      <c r="E23" s="767">
        <v>1.1100000000000001</v>
      </c>
      <c r="F23" s="767">
        <v>1.2</v>
      </c>
      <c r="G23" s="1422"/>
      <c r="H23" s="1369"/>
    </row>
    <row r="24" spans="1:25" hidden="1">
      <c r="A24" s="345"/>
      <c r="B24" s="1306" t="s">
        <v>81</v>
      </c>
      <c r="C24" s="357"/>
      <c r="D24" s="766">
        <v>4000</v>
      </c>
      <c r="E24" s="767">
        <v>1.1100000000000001</v>
      </c>
      <c r="F24" s="767">
        <v>1.2</v>
      </c>
      <c r="G24" s="1422"/>
      <c r="H24" s="1369"/>
    </row>
    <row r="25" spans="1:25" hidden="1">
      <c r="A25" s="345"/>
      <c r="B25" s="1306" t="s">
        <v>80</v>
      </c>
      <c r="C25" s="357"/>
      <c r="D25" s="766">
        <v>7000</v>
      </c>
      <c r="E25" s="767">
        <v>1.1100000000000001</v>
      </c>
      <c r="F25" s="767">
        <v>1.2</v>
      </c>
      <c r="G25" s="1422"/>
      <c r="H25" s="1369"/>
    </row>
    <row r="26" spans="1:25" hidden="1">
      <c r="A26" s="345"/>
      <c r="B26" s="1306" t="s">
        <v>77</v>
      </c>
      <c r="C26" s="357"/>
      <c r="D26" s="766">
        <v>7000</v>
      </c>
      <c r="E26" s="767">
        <v>1.1100000000000001</v>
      </c>
      <c r="F26" s="767">
        <v>1.2</v>
      </c>
      <c r="G26" s="1422"/>
      <c r="H26" s="1369"/>
    </row>
    <row r="27" spans="1:25" hidden="1">
      <c r="A27" s="345"/>
      <c r="B27" s="1306" t="s">
        <v>76</v>
      </c>
      <c r="C27" s="357"/>
      <c r="D27" s="766">
        <v>12000</v>
      </c>
      <c r="E27" s="767">
        <v>1.1100000000000001</v>
      </c>
      <c r="F27" s="767">
        <v>1.2</v>
      </c>
      <c r="G27" s="1422"/>
      <c r="H27" s="1369"/>
    </row>
    <row r="28" spans="1:25" hidden="1">
      <c r="A28" s="345"/>
      <c r="B28" s="300"/>
      <c r="C28" s="300"/>
      <c r="D28" s="300"/>
      <c r="E28" s="300"/>
      <c r="F28" s="300"/>
      <c r="G28" s="1422"/>
      <c r="H28" s="1369"/>
    </row>
    <row r="29" spans="1:25" hidden="1">
      <c r="A29" s="345"/>
      <c r="B29" s="300"/>
      <c r="C29" s="300"/>
      <c r="D29" s="676" t="s">
        <v>35</v>
      </c>
      <c r="E29" s="676" t="s">
        <v>34</v>
      </c>
      <c r="F29" s="676" t="s">
        <v>33</v>
      </c>
      <c r="G29" s="1422"/>
      <c r="H29" s="1369"/>
    </row>
    <row r="30" spans="1:25" hidden="1">
      <c r="A30" s="345"/>
      <c r="B30" s="361" t="s">
        <v>101</v>
      </c>
      <c r="C30" s="362"/>
      <c r="D30" s="363">
        <f>SUM(D23:D28)</f>
        <v>38000</v>
      </c>
      <c r="E30" s="363">
        <f>SUMPRODUCT(D23:D28,E23:E28)</f>
        <v>42180</v>
      </c>
      <c r="F30" s="363">
        <f>SUMPRODUCT(E23:E28,F23:F28,D23:D28)</f>
        <v>50616</v>
      </c>
      <c r="G30" s="1422"/>
      <c r="H30" s="1369"/>
    </row>
    <row r="31" spans="1:25" hidden="1"/>
    <row r="32" spans="1:25" hidden="1"/>
    <row r="33" spans="1:17" ht="15.75" hidden="1">
      <c r="A33" s="294">
        <v>3</v>
      </c>
      <c r="B33" s="1308" t="s">
        <v>83</v>
      </c>
      <c r="C33" s="1314"/>
      <c r="D33" s="1314"/>
      <c r="E33" s="1314"/>
      <c r="F33" s="1314"/>
      <c r="G33" s="300"/>
    </row>
    <row r="34" spans="1:17" hidden="1">
      <c r="A34" s="345"/>
      <c r="B34" s="300"/>
      <c r="C34" s="300"/>
      <c r="D34" s="300"/>
      <c r="E34" s="300"/>
      <c r="F34" s="1458" t="s">
        <v>334</v>
      </c>
      <c r="G34" s="1458"/>
    </row>
    <row r="35" spans="1:17" hidden="1">
      <c r="A35" s="345"/>
      <c r="B35" s="300"/>
      <c r="C35" s="300"/>
      <c r="D35" s="323" t="s">
        <v>333</v>
      </c>
      <c r="E35" s="671" t="s">
        <v>368</v>
      </c>
      <c r="F35" s="323" t="s">
        <v>34</v>
      </c>
      <c r="G35" s="323" t="s">
        <v>33</v>
      </c>
    </row>
    <row r="36" spans="1:17" hidden="1">
      <c r="A36" s="300"/>
      <c r="B36" s="1306" t="s">
        <v>332</v>
      </c>
      <c r="C36" s="357"/>
      <c r="D36" s="766">
        <v>5000</v>
      </c>
      <c r="E36" s="640">
        <v>200</v>
      </c>
      <c r="F36" s="767">
        <v>1.1100000000000001</v>
      </c>
      <c r="G36" s="767">
        <v>1.2</v>
      </c>
    </row>
    <row r="37" spans="1:17" hidden="1">
      <c r="A37" s="300"/>
      <c r="B37" s="303"/>
      <c r="C37" s="303"/>
      <c r="D37" s="303"/>
      <c r="E37" s="303"/>
      <c r="F37" s="303"/>
      <c r="G37" s="303"/>
    </row>
    <row r="38" spans="1:17" hidden="1">
      <c r="A38" s="345"/>
      <c r="B38" s="304"/>
      <c r="C38" s="682"/>
      <c r="D38" s="676" t="s">
        <v>35</v>
      </c>
      <c r="E38" s="676" t="s">
        <v>34</v>
      </c>
      <c r="F38" s="676" t="s">
        <v>33</v>
      </c>
      <c r="G38" s="300"/>
    </row>
    <row r="39" spans="1:17" hidden="1">
      <c r="A39" s="300"/>
      <c r="B39" s="361" t="s">
        <v>101</v>
      </c>
      <c r="C39" s="362"/>
      <c r="D39" s="679">
        <f>SUM(D36:D37)</f>
        <v>5000</v>
      </c>
      <c r="E39" s="679">
        <f>SUMPRODUCT(D36:D37,F36:F37)</f>
        <v>5550.0000000000009</v>
      </c>
      <c r="F39" s="679">
        <f>SUMPRODUCT(D36:D37,G36:G37,F36:F37)</f>
        <v>6660.0000000000009</v>
      </c>
      <c r="G39" s="300"/>
    </row>
    <row r="40" spans="1:17" hidden="1"/>
    <row r="41" spans="1:17" hidden="1"/>
    <row r="42" spans="1:17" hidden="1"/>
    <row r="45" spans="1:17">
      <c r="A45" s="292"/>
      <c r="B45" s="292"/>
      <c r="C45" s="292"/>
      <c r="D45" s="292"/>
      <c r="E45" s="292"/>
      <c r="F45" s="292"/>
      <c r="G45" s="292"/>
      <c r="I45" s="292"/>
      <c r="K45" s="292"/>
      <c r="M45" s="292"/>
      <c r="N45" s="292"/>
      <c r="O45" s="292"/>
      <c r="P45" s="292"/>
      <c r="Q45" s="292"/>
    </row>
    <row r="46" spans="1:17" ht="15.75">
      <c r="A46" s="380">
        <v>2</v>
      </c>
      <c r="B46" s="376" t="s">
        <v>711</v>
      </c>
      <c r="C46" s="378"/>
      <c r="D46" s="378"/>
      <c r="E46" s="1370"/>
      <c r="F46" s="1370"/>
      <c r="G46" s="292"/>
      <c r="I46" s="292"/>
      <c r="K46" s="292"/>
      <c r="M46" s="292"/>
      <c r="N46" s="292"/>
      <c r="O46" s="292"/>
      <c r="P46" s="292"/>
      <c r="Q46" s="292"/>
    </row>
    <row r="47" spans="1:17" ht="13.5" thickBot="1">
      <c r="A47" s="292"/>
      <c r="B47" s="292"/>
      <c r="C47" s="292"/>
      <c r="D47" s="292"/>
      <c r="E47" s="1371"/>
      <c r="F47" s="1371"/>
      <c r="G47" s="292"/>
      <c r="I47" s="292"/>
      <c r="K47" s="292"/>
      <c r="M47" s="292"/>
      <c r="N47" s="292"/>
      <c r="O47" s="292"/>
      <c r="P47" s="292"/>
      <c r="Q47" s="292"/>
    </row>
    <row r="48" spans="1:17">
      <c r="A48" s="292"/>
      <c r="B48" s="292"/>
      <c r="C48" s="292"/>
      <c r="D48" s="391" t="s">
        <v>524</v>
      </c>
      <c r="E48" s="1585" t="s">
        <v>660</v>
      </c>
      <c r="F48" s="1586"/>
      <c r="G48" s="1577" t="s">
        <v>35</v>
      </c>
      <c r="H48" s="1578"/>
      <c r="I48" s="1577" t="s">
        <v>34</v>
      </c>
      <c r="J48" s="1578"/>
      <c r="K48" s="1577" t="s">
        <v>33</v>
      </c>
      <c r="L48" s="1578"/>
      <c r="M48" s="292"/>
      <c r="N48" s="292"/>
      <c r="O48" s="292"/>
      <c r="P48" s="292"/>
      <c r="Q48" s="292"/>
    </row>
    <row r="49" spans="1:17">
      <c r="A49" s="648"/>
      <c r="B49" s="303"/>
      <c r="C49" s="292"/>
      <c r="D49" s="1372" t="s">
        <v>35</v>
      </c>
      <c r="E49" s="1373" t="s">
        <v>34</v>
      </c>
      <c r="F49" s="1423" t="s">
        <v>33</v>
      </c>
      <c r="G49" s="1374" t="s">
        <v>527</v>
      </c>
      <c r="H49" s="1375" t="s">
        <v>525</v>
      </c>
      <c r="I49" s="1374" t="s">
        <v>527</v>
      </c>
      <c r="J49" s="1375" t="s">
        <v>525</v>
      </c>
      <c r="K49" s="1374" t="s">
        <v>527</v>
      </c>
      <c r="L49" s="1375" t="s">
        <v>525</v>
      </c>
      <c r="M49" s="292"/>
      <c r="N49" s="292"/>
      <c r="O49" s="292"/>
      <c r="P49" s="292"/>
      <c r="Q49" s="292"/>
    </row>
    <row r="50" spans="1:17" ht="15">
      <c r="A50" s="648"/>
      <c r="B50" s="1376" t="s">
        <v>562</v>
      </c>
      <c r="C50" s="292" t="s">
        <v>192</v>
      </c>
      <c r="D50" s="1415">
        <v>33000</v>
      </c>
      <c r="E50" s="682"/>
      <c r="F50" s="682"/>
      <c r="G50" s="1377"/>
      <c r="H50" s="1375"/>
      <c r="I50" s="1377"/>
      <c r="J50" s="1375"/>
      <c r="K50" s="1377"/>
      <c r="L50" s="1375"/>
      <c r="M50" s="292"/>
      <c r="N50" s="292"/>
      <c r="O50" s="292"/>
      <c r="P50" s="292"/>
      <c r="Q50" s="292"/>
    </row>
    <row r="51" spans="1:17" ht="15">
      <c r="A51" s="648"/>
      <c r="B51" s="1376"/>
      <c r="C51" s="451" t="s">
        <v>528</v>
      </c>
      <c r="D51" s="1416">
        <v>39000</v>
      </c>
      <c r="E51" s="289">
        <v>0.1</v>
      </c>
      <c r="F51" s="1417">
        <v>0.1</v>
      </c>
      <c r="G51" s="1418">
        <v>1</v>
      </c>
      <c r="H51" s="1378">
        <f>employcompcsalesfy1*D51</f>
        <v>39000</v>
      </c>
      <c r="I51" s="1418">
        <v>1</v>
      </c>
      <c r="J51" s="1378">
        <f>employcompcsalesfy2*(1+E51)*D51</f>
        <v>42900</v>
      </c>
      <c r="K51" s="1418">
        <v>1</v>
      </c>
      <c r="L51" s="1378">
        <f>employcompcsalesfy3*(1+E51)*(1+F51)*D51</f>
        <v>47190.000000000007</v>
      </c>
      <c r="M51" s="292"/>
      <c r="N51" s="292"/>
      <c r="O51" s="292"/>
      <c r="P51" s="292"/>
      <c r="Q51" s="292"/>
    </row>
    <row r="52" spans="1:17" ht="15">
      <c r="A52" s="648"/>
      <c r="B52" s="1376"/>
      <c r="C52" s="648" t="s">
        <v>524</v>
      </c>
      <c r="D52" s="1415">
        <v>47000</v>
      </c>
      <c r="E52" s="682"/>
      <c r="F52" s="682"/>
      <c r="G52" s="1379"/>
      <c r="H52" s="1380"/>
      <c r="I52" s="1379"/>
      <c r="J52" s="1380"/>
      <c r="K52" s="1379"/>
      <c r="L52" s="1380"/>
      <c r="M52" s="292"/>
      <c r="N52" s="292"/>
      <c r="O52" s="292"/>
      <c r="P52" s="292"/>
      <c r="Q52" s="292"/>
    </row>
    <row r="53" spans="1:17" ht="15">
      <c r="A53" s="648"/>
      <c r="B53" s="1376"/>
      <c r="C53" s="648" t="s">
        <v>191</v>
      </c>
      <c r="D53" s="1415">
        <v>69000</v>
      </c>
      <c r="E53" s="682"/>
      <c r="F53" s="682"/>
      <c r="G53" s="1381"/>
      <c r="H53" s="1380"/>
      <c r="I53" s="1381"/>
      <c r="J53" s="1380"/>
      <c r="K53" s="1381"/>
      <c r="L53" s="1380"/>
      <c r="M53" s="292"/>
      <c r="N53" s="292"/>
      <c r="O53" s="292"/>
      <c r="P53" s="292"/>
      <c r="Q53" s="292"/>
    </row>
    <row r="54" spans="1:17" ht="15">
      <c r="A54" s="648"/>
      <c r="B54" s="1376"/>
      <c r="C54" s="648"/>
      <c r="D54" s="1363"/>
      <c r="E54" s="682"/>
      <c r="F54" s="682"/>
      <c r="G54" s="1381"/>
      <c r="H54" s="1380"/>
      <c r="I54" s="1381"/>
      <c r="J54" s="1380"/>
      <c r="K54" s="1381"/>
      <c r="L54" s="1380"/>
      <c r="M54" s="292"/>
      <c r="N54" s="292"/>
      <c r="O54" s="292"/>
      <c r="P54" s="292"/>
      <c r="Q54" s="292"/>
    </row>
    <row r="55" spans="1:17" ht="15">
      <c r="A55" s="648"/>
      <c r="B55" s="1382" t="s">
        <v>563</v>
      </c>
      <c r="C55" s="292" t="s">
        <v>192</v>
      </c>
      <c r="D55" s="1415">
        <v>23000</v>
      </c>
      <c r="E55" s="682"/>
      <c r="F55" s="682"/>
      <c r="G55" s="1374"/>
      <c r="H55" s="1378"/>
      <c r="I55" s="1374"/>
      <c r="J55" s="1378"/>
      <c r="K55" s="1374"/>
      <c r="L55" s="1378"/>
      <c r="M55" s="292"/>
      <c r="N55" s="292"/>
      <c r="O55" s="292"/>
      <c r="P55" s="292"/>
      <c r="Q55" s="292"/>
    </row>
    <row r="56" spans="1:17" ht="15">
      <c r="A56" s="648"/>
      <c r="B56" s="1382"/>
      <c r="C56" s="451" t="s">
        <v>528</v>
      </c>
      <c r="D56" s="1416">
        <v>24000</v>
      </c>
      <c r="E56" s="289">
        <v>0.05</v>
      </c>
      <c r="F56" s="1417">
        <v>0.05</v>
      </c>
      <c r="G56" s="1418">
        <v>0.25</v>
      </c>
      <c r="H56" s="1378">
        <f>G56*D56</f>
        <v>6000</v>
      </c>
      <c r="I56" s="1418">
        <v>0.26179999999999998</v>
      </c>
      <c r="J56" s="1378">
        <f>I56*D56*(1+E56)</f>
        <v>6597.36</v>
      </c>
      <c r="K56" s="1418">
        <v>0.27400000000000002</v>
      </c>
      <c r="L56" s="1378">
        <f>K56*D56*(1+E56)*(F56+1)</f>
        <v>7250.0400000000018</v>
      </c>
      <c r="M56" s="292"/>
      <c r="N56" s="292"/>
      <c r="O56" s="292"/>
      <c r="P56" s="292"/>
      <c r="Q56" s="292"/>
    </row>
    <row r="57" spans="1:17" ht="15">
      <c r="A57" s="648"/>
      <c r="B57" s="1382"/>
      <c r="C57" s="648" t="s">
        <v>524</v>
      </c>
      <c r="D57" s="1415">
        <v>25000</v>
      </c>
      <c r="E57" s="682"/>
      <c r="F57" s="682"/>
      <c r="G57" s="1379"/>
      <c r="H57" s="1375"/>
      <c r="I57" s="1379"/>
      <c r="J57" s="1375"/>
      <c r="K57" s="1379"/>
      <c r="L57" s="1375"/>
      <c r="M57" s="292"/>
      <c r="N57" s="292"/>
      <c r="O57" s="292"/>
      <c r="P57" s="292"/>
      <c r="Q57" s="292"/>
    </row>
    <row r="58" spans="1:17" ht="15.75" thickBot="1">
      <c r="A58" s="648"/>
      <c r="B58" s="1382"/>
      <c r="C58" s="648" t="s">
        <v>191</v>
      </c>
      <c r="D58" s="1415">
        <v>33000</v>
      </c>
      <c r="E58" s="682"/>
      <c r="F58" s="682"/>
      <c r="G58" s="1383"/>
      <c r="H58" s="1384"/>
      <c r="I58" s="1385"/>
      <c r="J58" s="1386"/>
      <c r="K58" s="1385"/>
      <c r="L58" s="1386"/>
      <c r="M58" s="292"/>
      <c r="N58" s="292"/>
      <c r="O58" s="292"/>
      <c r="P58" s="292"/>
      <c r="Q58" s="292"/>
    </row>
    <row r="59" spans="1:17" ht="15" customHeight="1">
      <c r="A59" s="648"/>
      <c r="B59" s="292"/>
      <c r="C59" s="292"/>
      <c r="D59" s="1387"/>
      <c r="E59" s="1579" t="s">
        <v>529</v>
      </c>
      <c r="F59" s="1580"/>
      <c r="G59" s="1388">
        <f t="shared" ref="G59:L59" si="0">SUM(G50:G58)</f>
        <v>1.25</v>
      </c>
      <c r="H59" s="1389">
        <f t="shared" si="0"/>
        <v>45000</v>
      </c>
      <c r="I59" s="1390">
        <f t="shared" si="0"/>
        <v>1.2618</v>
      </c>
      <c r="J59" s="1389">
        <f t="shared" si="0"/>
        <v>49497.36</v>
      </c>
      <c r="K59" s="1391">
        <f t="shared" si="0"/>
        <v>1.274</v>
      </c>
      <c r="L59" s="1389">
        <f t="shared" si="0"/>
        <v>54440.040000000008</v>
      </c>
      <c r="M59" s="292"/>
      <c r="N59" s="292"/>
      <c r="O59" s="292"/>
      <c r="P59" s="292"/>
      <c r="Q59" s="292"/>
    </row>
    <row r="60" spans="1:17">
      <c r="A60" s="648"/>
      <c r="B60" s="292"/>
      <c r="C60" s="292"/>
      <c r="D60" s="1387"/>
      <c r="E60" s="1581"/>
      <c r="F60" s="1582"/>
      <c r="G60" s="1392">
        <f>SalesmensNumber("EmployeesRangeOrg")</f>
        <v>1</v>
      </c>
      <c r="H60" s="1393">
        <f>SalesmenBudget("EmployeesRangeOrg",1)</f>
        <v>45000</v>
      </c>
      <c r="I60" s="1394"/>
      <c r="J60" s="1395">
        <f>SalesmenBudget("EmployeesRangeOrg",2)</f>
        <v>49500.000000000007</v>
      </c>
      <c r="K60" s="1396"/>
      <c r="L60" s="1395">
        <f>SalesmenBudget("EmployeesRangeOrg",3)</f>
        <v>54450.000000000015</v>
      </c>
      <c r="M60" s="292"/>
      <c r="N60" s="292"/>
      <c r="O60" s="292"/>
      <c r="P60" s="292"/>
      <c r="Q60" s="292"/>
    </row>
    <row r="61" spans="1:17" ht="15.75" customHeight="1" thickBot="1">
      <c r="A61" s="648"/>
      <c r="B61" s="292"/>
      <c r="C61" s="292"/>
      <c r="D61" s="1387"/>
      <c r="E61" s="1583" t="s">
        <v>531</v>
      </c>
      <c r="F61" s="1584"/>
      <c r="G61" s="1397">
        <f>G60-G59</f>
        <v>-0.25</v>
      </c>
      <c r="H61" s="1398">
        <f>H60-H59</f>
        <v>0</v>
      </c>
      <c r="I61" s="1399"/>
      <c r="J61" s="1398">
        <f>J60-J59</f>
        <v>2.6400000000066939</v>
      </c>
      <c r="K61" s="1400"/>
      <c r="L61" s="1398">
        <f>L60-L59</f>
        <v>9.9600000000064028</v>
      </c>
      <c r="M61" s="292"/>
      <c r="N61" s="292"/>
      <c r="O61" s="292"/>
      <c r="P61" s="292"/>
      <c r="Q61" s="292"/>
    </row>
    <row r="62" spans="1:17" ht="16.5" thickBot="1">
      <c r="A62" s="380">
        <v>3</v>
      </c>
      <c r="B62" s="376" t="s">
        <v>712</v>
      </c>
      <c r="C62" s="378"/>
      <c r="D62" s="378"/>
      <c r="E62" s="1370"/>
      <c r="F62" s="1370"/>
      <c r="G62" s="292"/>
      <c r="I62" s="292"/>
      <c r="K62" s="292"/>
      <c r="M62" s="292"/>
      <c r="N62" s="292"/>
      <c r="O62" s="292"/>
      <c r="P62" s="292"/>
      <c r="Q62" s="292"/>
    </row>
    <row r="63" spans="1:17" ht="15">
      <c r="A63" s="292"/>
      <c r="B63" s="1401"/>
      <c r="C63" s="648"/>
      <c r="D63" s="391" t="s">
        <v>524</v>
      </c>
      <c r="E63" s="1585" t="s">
        <v>660</v>
      </c>
      <c r="F63" s="1586"/>
      <c r="G63" s="1577" t="s">
        <v>35</v>
      </c>
      <c r="H63" s="1578"/>
      <c r="I63" s="1577" t="s">
        <v>34</v>
      </c>
      <c r="J63" s="1578"/>
      <c r="K63" s="1577" t="s">
        <v>33</v>
      </c>
      <c r="L63" s="1578"/>
      <c r="M63" s="292"/>
      <c r="N63" s="292"/>
      <c r="O63" s="292"/>
      <c r="P63" s="292"/>
      <c r="Q63" s="292"/>
    </row>
    <row r="64" spans="1:17" ht="15">
      <c r="A64" s="292"/>
      <c r="B64" s="1402"/>
      <c r="C64" s="292"/>
      <c r="D64" s="1372" t="s">
        <v>35</v>
      </c>
      <c r="E64" s="1373" t="s">
        <v>34</v>
      </c>
      <c r="F64" s="1423" t="s">
        <v>33</v>
      </c>
      <c r="G64" s="1374" t="s">
        <v>527</v>
      </c>
      <c r="H64" s="1375" t="s">
        <v>525</v>
      </c>
      <c r="I64" s="1374" t="s">
        <v>527</v>
      </c>
      <c r="J64" s="1375" t="s">
        <v>525</v>
      </c>
      <c r="K64" s="1374" t="s">
        <v>527</v>
      </c>
      <c r="L64" s="1375" t="s">
        <v>525</v>
      </c>
      <c r="M64" s="292"/>
      <c r="N64" s="292"/>
      <c r="O64" s="292"/>
      <c r="P64" s="292"/>
      <c r="Q64" s="292"/>
    </row>
    <row r="65" spans="1:17" ht="15">
      <c r="A65" s="292"/>
      <c r="B65" s="1376" t="s">
        <v>714</v>
      </c>
      <c r="C65" s="292" t="s">
        <v>192</v>
      </c>
      <c r="D65" s="1415">
        <v>30000</v>
      </c>
      <c r="E65" s="682"/>
      <c r="F65" s="682"/>
      <c r="G65" s="1377"/>
      <c r="H65" s="1375"/>
      <c r="I65" s="1377"/>
      <c r="J65" s="1375"/>
      <c r="K65" s="1377"/>
      <c r="L65" s="1375"/>
      <c r="M65" s="292"/>
      <c r="N65" s="292"/>
      <c r="O65" s="292"/>
      <c r="P65" s="292"/>
      <c r="Q65" s="292"/>
    </row>
    <row r="66" spans="1:17" ht="15">
      <c r="A66" s="292"/>
      <c r="B66" s="1376"/>
      <c r="C66" s="451" t="s">
        <v>528</v>
      </c>
      <c r="D66" s="1416">
        <v>54000</v>
      </c>
      <c r="E66" s="289">
        <v>7.0000000000000007E-2</v>
      </c>
      <c r="F66" s="1417">
        <v>0.14000000000000001</v>
      </c>
      <c r="G66" s="1418">
        <v>1</v>
      </c>
      <c r="H66" s="1378">
        <f>employcompcworkfy1*D66</f>
        <v>54000</v>
      </c>
      <c r="I66" s="1418">
        <v>1</v>
      </c>
      <c r="J66" s="1378">
        <f>employcompcworkfy2*(1+E66)*D66</f>
        <v>57780</v>
      </c>
      <c r="K66" s="1418">
        <v>1</v>
      </c>
      <c r="L66" s="1378">
        <f>employcompcworkfy3*(1+E66)*D66*(1+F66)</f>
        <v>65869.200000000012</v>
      </c>
      <c r="M66" s="292"/>
      <c r="N66" s="292"/>
      <c r="O66" s="292"/>
      <c r="P66" s="292"/>
      <c r="Q66" s="292"/>
    </row>
    <row r="67" spans="1:17" ht="15">
      <c r="A67" s="292"/>
      <c r="B67" s="1376"/>
      <c r="C67" s="648" t="s">
        <v>524</v>
      </c>
      <c r="D67" s="1415">
        <v>52000</v>
      </c>
      <c r="E67" s="682"/>
      <c r="F67" s="682"/>
      <c r="G67" s="1379"/>
      <c r="H67" s="1380"/>
      <c r="I67" s="1379"/>
      <c r="J67" s="1380"/>
      <c r="K67" s="1379"/>
      <c r="L67" s="1380"/>
      <c r="M67" s="292"/>
      <c r="N67" s="292"/>
      <c r="O67" s="292"/>
      <c r="P67" s="292"/>
      <c r="Q67" s="292"/>
    </row>
    <row r="68" spans="1:17" ht="15">
      <c r="A68" s="292"/>
      <c r="B68" s="1376"/>
      <c r="C68" s="648" t="s">
        <v>191</v>
      </c>
      <c r="D68" s="1415">
        <v>69000</v>
      </c>
      <c r="E68" s="682"/>
      <c r="F68" s="682"/>
      <c r="G68" s="1381"/>
      <c r="H68" s="1380"/>
      <c r="I68" s="1381"/>
      <c r="J68" s="1380"/>
      <c r="K68" s="1381"/>
      <c r="L68" s="1380"/>
      <c r="M68" s="292"/>
      <c r="N68" s="292"/>
      <c r="O68" s="292"/>
      <c r="P68" s="292"/>
      <c r="Q68" s="292"/>
    </row>
    <row r="69" spans="1:17" ht="15">
      <c r="A69" s="292"/>
      <c r="B69" s="1376"/>
      <c r="C69" s="648"/>
      <c r="D69" s="1363"/>
      <c r="E69" s="682"/>
      <c r="F69" s="682"/>
      <c r="G69" s="1381"/>
      <c r="H69" s="1380"/>
      <c r="I69" s="1381"/>
      <c r="J69" s="1380"/>
      <c r="K69" s="1381"/>
      <c r="L69" s="1380"/>
      <c r="M69" s="292"/>
      <c r="N69" s="292"/>
      <c r="O69" s="292"/>
      <c r="P69" s="292"/>
      <c r="Q69" s="292"/>
    </row>
    <row r="70" spans="1:17" ht="15">
      <c r="A70" s="292"/>
      <c r="B70" s="1382" t="s">
        <v>713</v>
      </c>
      <c r="C70" s="292" t="s">
        <v>192</v>
      </c>
      <c r="D70" s="1415">
        <v>15000</v>
      </c>
      <c r="E70" s="682"/>
      <c r="F70" s="682"/>
      <c r="G70" s="1374"/>
      <c r="H70" s="1378"/>
      <c r="I70" s="1374"/>
      <c r="J70" s="1378"/>
      <c r="K70" s="1374"/>
      <c r="L70" s="1378"/>
      <c r="M70" s="292"/>
      <c r="N70" s="292"/>
      <c r="O70" s="292"/>
      <c r="P70" s="292"/>
      <c r="Q70" s="292"/>
    </row>
    <row r="71" spans="1:17">
      <c r="A71" s="292"/>
      <c r="B71" s="300"/>
      <c r="C71" s="451" t="s">
        <v>528</v>
      </c>
      <c r="D71" s="1416">
        <v>20000</v>
      </c>
      <c r="E71" s="289">
        <v>0.05</v>
      </c>
      <c r="F71" s="1417">
        <v>0.05</v>
      </c>
      <c r="G71" s="1418">
        <v>0.25</v>
      </c>
      <c r="H71" s="1378">
        <f>G71*D71</f>
        <v>5000</v>
      </c>
      <c r="I71" s="1418">
        <v>0.23</v>
      </c>
      <c r="J71" s="1378">
        <f>I71*D71*(1+E71)</f>
        <v>4830</v>
      </c>
      <c r="K71" s="1418">
        <v>0.22</v>
      </c>
      <c r="L71" s="1378">
        <f>D71*(E71+1)*(F71+1)*K71</f>
        <v>4851</v>
      </c>
      <c r="M71" s="292"/>
      <c r="N71" s="293"/>
      <c r="O71" s="292"/>
      <c r="P71" s="292"/>
      <c r="Q71" s="292"/>
    </row>
    <row r="72" spans="1:17">
      <c r="A72" s="292"/>
      <c r="B72" s="292"/>
      <c r="C72" s="648" t="s">
        <v>524</v>
      </c>
      <c r="D72" s="1415">
        <v>20000</v>
      </c>
      <c r="E72" s="682"/>
      <c r="F72" s="682"/>
      <c r="G72" s="1379"/>
      <c r="H72" s="1375"/>
      <c r="I72" s="1379"/>
      <c r="J72" s="1375"/>
      <c r="K72" s="1379"/>
      <c r="L72" s="1375"/>
      <c r="M72" s="292"/>
      <c r="N72" s="293"/>
      <c r="O72" s="292"/>
      <c r="P72" s="292"/>
      <c r="Q72" s="292"/>
    </row>
    <row r="73" spans="1:17" ht="13.5" thickBot="1">
      <c r="A73" s="292"/>
      <c r="B73" s="292"/>
      <c r="C73" s="648" t="s">
        <v>191</v>
      </c>
      <c r="D73" s="1415">
        <v>22000</v>
      </c>
      <c r="E73" s="682"/>
      <c r="F73" s="682"/>
      <c r="G73" s="1383"/>
      <c r="H73" s="1384"/>
      <c r="I73" s="1385"/>
      <c r="J73" s="1386"/>
      <c r="K73" s="1385"/>
      <c r="L73" s="1386"/>
      <c r="M73" s="292"/>
      <c r="N73" s="491"/>
      <c r="O73" s="292"/>
      <c r="P73" s="292"/>
      <c r="Q73" s="292"/>
    </row>
    <row r="74" spans="1:17" ht="15" customHeight="1">
      <c r="A74" s="292"/>
      <c r="B74" s="292"/>
      <c r="C74" s="292"/>
      <c r="D74" s="1387"/>
      <c r="E74" s="1579" t="s">
        <v>529</v>
      </c>
      <c r="F74" s="1580"/>
      <c r="G74" s="1403">
        <f t="shared" ref="G74:L74" si="1">SUM(G65:G73)</f>
        <v>1.25</v>
      </c>
      <c r="H74" s="1404">
        <f t="shared" si="1"/>
        <v>59000</v>
      </c>
      <c r="I74" s="1403">
        <f t="shared" si="1"/>
        <v>1.23</v>
      </c>
      <c r="J74" s="1404">
        <f t="shared" si="1"/>
        <v>62610</v>
      </c>
      <c r="K74" s="1405">
        <f t="shared" si="1"/>
        <v>1.22</v>
      </c>
      <c r="L74" s="1404">
        <f t="shared" si="1"/>
        <v>70720.200000000012</v>
      </c>
      <c r="M74" s="292"/>
      <c r="N74" s="491"/>
      <c r="O74" s="292"/>
      <c r="P74" s="292"/>
      <c r="Q74" s="292"/>
    </row>
    <row r="75" spans="1:17" ht="15" customHeight="1">
      <c r="A75" s="292"/>
      <c r="B75" s="292"/>
      <c r="C75" s="292"/>
      <c r="D75" s="1387"/>
      <c r="E75" s="1581" t="s">
        <v>530</v>
      </c>
      <c r="F75" s="1582"/>
      <c r="G75" s="1374"/>
      <c r="H75" s="1406">
        <f>SumsLabor("Labor","FY-1")</f>
        <v>59320.003864729028</v>
      </c>
      <c r="I75" s="1374"/>
      <c r="J75" s="1406">
        <f>SumsLabor("Labor","FY-2")</f>
        <v>62793.599999999991</v>
      </c>
      <c r="K75" s="1407"/>
      <c r="L75" s="1406">
        <f>SumsLabor("Labor","FY-3")</f>
        <v>70828.800000000003</v>
      </c>
      <c r="M75" s="292"/>
      <c r="N75" s="491"/>
      <c r="O75" s="292"/>
      <c r="P75" s="292"/>
      <c r="Q75" s="292"/>
    </row>
    <row r="76" spans="1:17" ht="15.75" customHeight="1" thickBot="1">
      <c r="A76" s="292"/>
      <c r="B76" s="292"/>
      <c r="C76" s="292"/>
      <c r="D76" s="1387"/>
      <c r="E76" s="1583" t="s">
        <v>531</v>
      </c>
      <c r="F76" s="1584"/>
      <c r="G76" s="1383"/>
      <c r="H76" s="1408">
        <f>H75-H74</f>
        <v>320.00386472902755</v>
      </c>
      <c r="I76" s="1383"/>
      <c r="J76" s="1408">
        <f>J75-J74</f>
        <v>183.59999999999127</v>
      </c>
      <c r="K76" s="1409"/>
      <c r="L76" s="1408">
        <f>L75-L74</f>
        <v>108.59999999999127</v>
      </c>
      <c r="M76" s="292"/>
      <c r="N76" s="293"/>
      <c r="O76" s="292"/>
      <c r="P76" s="292"/>
      <c r="Q76" s="292"/>
    </row>
    <row r="77" spans="1:17">
      <c r="A77" s="292"/>
      <c r="B77" s="292"/>
      <c r="C77" s="292"/>
      <c r="D77" s="292"/>
      <c r="E77" s="1371"/>
      <c r="F77" s="1371"/>
      <c r="G77" s="292"/>
      <c r="H77" s="1410"/>
      <c r="I77" s="292"/>
      <c r="J77" s="1410"/>
      <c r="K77" s="292"/>
      <c r="L77" s="1410"/>
      <c r="M77" s="292"/>
      <c r="N77" s="293"/>
      <c r="O77" s="292"/>
      <c r="P77" s="292"/>
      <c r="Q77" s="292"/>
    </row>
    <row r="78" spans="1:17">
      <c r="A78" s="292"/>
      <c r="B78" s="292"/>
      <c r="C78" s="292"/>
      <c r="D78" s="292"/>
      <c r="E78" s="1411"/>
      <c r="F78" s="1411"/>
      <c r="G78" s="1412"/>
      <c r="I78" s="292"/>
      <c r="K78" s="292"/>
      <c r="M78" s="292"/>
      <c r="N78" s="292"/>
      <c r="O78" s="292"/>
      <c r="P78" s="292"/>
      <c r="Q78" s="292"/>
    </row>
    <row r="79" spans="1:17">
      <c r="A79" s="292"/>
      <c r="B79" s="292"/>
      <c r="C79" s="292"/>
      <c r="D79" s="292"/>
      <c r="E79" s="1371"/>
      <c r="F79" s="1371"/>
      <c r="G79" s="292"/>
      <c r="I79" s="292"/>
      <c r="K79" s="292"/>
      <c r="M79" s="292"/>
      <c r="N79" s="292"/>
      <c r="O79" s="292"/>
      <c r="P79" s="292"/>
      <c r="Q79" s="292"/>
    </row>
    <row r="80" spans="1:17">
      <c r="A80" s="292"/>
      <c r="B80" s="292"/>
      <c r="C80" s="292"/>
      <c r="D80" s="292"/>
      <c r="E80" s="1371"/>
      <c r="F80" s="1371"/>
      <c r="G80" s="292"/>
      <c r="I80" s="292"/>
      <c r="K80" s="292"/>
      <c r="M80" s="292"/>
      <c r="N80" s="292"/>
      <c r="O80" s="292"/>
      <c r="P80" s="292"/>
      <c r="Q80" s="292"/>
    </row>
    <row r="81" spans="1:17">
      <c r="A81" s="292"/>
      <c r="B81" s="292"/>
      <c r="C81" s="292"/>
      <c r="D81" s="292"/>
      <c r="E81" s="1371"/>
      <c r="F81" s="1371"/>
      <c r="G81" s="292"/>
      <c r="I81" s="292"/>
      <c r="K81" s="292"/>
      <c r="M81" s="292"/>
      <c r="N81" s="292"/>
      <c r="O81" s="292"/>
      <c r="P81" s="292"/>
      <c r="Q81" s="292"/>
    </row>
    <row r="82" spans="1:17">
      <c r="A82" s="292"/>
      <c r="B82" s="292"/>
      <c r="C82" s="292"/>
      <c r="D82" s="292"/>
      <c r="E82" s="1371"/>
      <c r="F82" s="1371"/>
      <c r="G82" s="292"/>
      <c r="I82" s="292"/>
      <c r="K82" s="292"/>
      <c r="M82" s="292"/>
      <c r="N82" s="292"/>
      <c r="O82" s="292"/>
      <c r="P82" s="292"/>
      <c r="Q82" s="292"/>
    </row>
    <row r="83" spans="1:17">
      <c r="A83" s="292"/>
      <c r="B83" s="292"/>
      <c r="C83" s="292"/>
      <c r="D83" s="292"/>
      <c r="E83" s="1371"/>
      <c r="F83" s="1371"/>
      <c r="G83" s="292"/>
      <c r="I83" s="292"/>
      <c r="K83" s="292"/>
      <c r="M83" s="292"/>
      <c r="N83" s="292"/>
      <c r="O83" s="292"/>
      <c r="P83" s="292"/>
      <c r="Q83" s="292"/>
    </row>
    <row r="84" spans="1:17">
      <c r="A84" s="292"/>
      <c r="B84" s="292"/>
      <c r="C84" s="1576"/>
      <c r="D84" s="1576"/>
      <c r="E84" s="1371"/>
      <c r="F84" s="1371"/>
      <c r="G84" s="292"/>
      <c r="I84" s="292"/>
      <c r="K84" s="292"/>
      <c r="M84" s="292"/>
      <c r="N84" s="292"/>
      <c r="O84" s="292"/>
      <c r="P84" s="292"/>
      <c r="Q84" s="292"/>
    </row>
    <row r="85" spans="1:17">
      <c r="A85" s="292"/>
      <c r="B85" s="292"/>
      <c r="C85" s="1576"/>
      <c r="D85" s="1576"/>
      <c r="E85" s="1371"/>
      <c r="F85" s="1371"/>
      <c r="G85" s="292"/>
      <c r="I85" s="292"/>
      <c r="K85" s="292"/>
      <c r="M85" s="292"/>
      <c r="N85" s="292"/>
      <c r="O85" s="292"/>
      <c r="P85" s="292"/>
      <c r="Q85" s="292"/>
    </row>
    <row r="86" spans="1:17">
      <c r="A86" s="292"/>
      <c r="B86" s="292"/>
      <c r="C86" s="292"/>
      <c r="D86" s="292"/>
      <c r="E86" s="1371"/>
      <c r="F86" s="1371"/>
      <c r="G86" s="292"/>
      <c r="I86" s="292"/>
      <c r="K86" s="292"/>
      <c r="M86" s="292"/>
      <c r="N86" s="292"/>
      <c r="O86" s="292"/>
      <c r="P86" s="292"/>
      <c r="Q86" s="292"/>
    </row>
    <row r="87" spans="1:17">
      <c r="A87" s="292"/>
      <c r="B87" s="292"/>
      <c r="C87" s="292"/>
      <c r="D87" s="292"/>
      <c r="E87" s="1371"/>
      <c r="F87" s="1371"/>
      <c r="G87" s="292"/>
      <c r="I87" s="292"/>
      <c r="K87" s="292"/>
      <c r="M87" s="292"/>
      <c r="N87" s="292"/>
      <c r="O87" s="292"/>
      <c r="P87" s="292"/>
      <c r="Q87" s="292"/>
    </row>
    <row r="88" spans="1:17">
      <c r="A88" s="292"/>
      <c r="B88" s="292"/>
      <c r="C88" s="292"/>
      <c r="D88" s="292"/>
      <c r="E88" s="1371"/>
      <c r="F88" s="1371"/>
      <c r="G88" s="292"/>
      <c r="I88" s="292"/>
      <c r="K88" s="292"/>
      <c r="M88" s="292"/>
      <c r="N88" s="292"/>
      <c r="O88" s="292"/>
      <c r="P88" s="292"/>
      <c r="Q88" s="292"/>
    </row>
    <row r="89" spans="1:17">
      <c r="A89" s="292"/>
      <c r="B89" s="292"/>
      <c r="C89" s="292"/>
      <c r="D89" s="292"/>
      <c r="E89" s="1371"/>
      <c r="F89" s="1371"/>
      <c r="G89" s="292"/>
      <c r="I89" s="292"/>
      <c r="K89" s="292"/>
      <c r="M89" s="292"/>
      <c r="N89" s="292"/>
      <c r="O89" s="292"/>
      <c r="P89" s="292"/>
      <c r="Q89" s="292"/>
    </row>
    <row r="90" spans="1:17">
      <c r="A90" s="292"/>
      <c r="B90" s="292"/>
      <c r="C90" s="292"/>
      <c r="D90" s="292"/>
      <c r="E90" s="1371"/>
      <c r="F90" s="1371"/>
      <c r="G90" s="292"/>
      <c r="I90" s="292"/>
      <c r="K90" s="292"/>
      <c r="M90" s="292"/>
      <c r="N90" s="292"/>
      <c r="O90" s="292"/>
      <c r="P90" s="292"/>
      <c r="Q90" s="292"/>
    </row>
    <row r="91" spans="1:17">
      <c r="A91" s="292"/>
      <c r="B91" s="292"/>
      <c r="C91" s="292"/>
      <c r="D91" s="292"/>
      <c r="E91" s="1371"/>
      <c r="F91" s="1371"/>
      <c r="G91" s="292"/>
      <c r="I91" s="292"/>
      <c r="K91" s="292"/>
      <c r="M91" s="292"/>
      <c r="N91" s="292"/>
      <c r="O91" s="292"/>
      <c r="P91" s="292"/>
      <c r="Q91" s="292"/>
    </row>
    <row r="92" spans="1:17">
      <c r="A92" s="292"/>
      <c r="B92" s="292"/>
      <c r="C92" s="292"/>
      <c r="D92" s="292"/>
      <c r="E92" s="1371"/>
      <c r="F92" s="1371"/>
      <c r="G92" s="292"/>
      <c r="I92" s="292"/>
      <c r="K92" s="292"/>
      <c r="M92" s="292"/>
      <c r="N92" s="292"/>
      <c r="O92" s="292"/>
      <c r="P92" s="292"/>
      <c r="Q92" s="292"/>
    </row>
    <row r="93" spans="1:17">
      <c r="A93" s="292"/>
      <c r="B93" s="292"/>
      <c r="C93" s="292"/>
      <c r="D93" s="292"/>
      <c r="E93" s="292"/>
      <c r="F93" s="292"/>
      <c r="G93" s="292"/>
      <c r="I93" s="292"/>
      <c r="K93" s="292"/>
      <c r="M93" s="292"/>
      <c r="N93" s="292"/>
      <c r="O93" s="292"/>
      <c r="P93" s="292"/>
      <c r="Q93" s="292"/>
    </row>
    <row r="94" spans="1:17">
      <c r="A94" s="292"/>
      <c r="B94" s="292"/>
      <c r="C94" s="292"/>
      <c r="D94" s="292"/>
      <c r="E94" s="292"/>
      <c r="F94" s="292"/>
      <c r="G94" s="292"/>
      <c r="I94" s="292"/>
      <c r="K94" s="292"/>
      <c r="M94" s="292"/>
      <c r="N94" s="292"/>
      <c r="O94" s="292"/>
      <c r="P94" s="292"/>
      <c r="Q94" s="292"/>
    </row>
    <row r="95" spans="1:17">
      <c r="A95" s="292"/>
      <c r="B95" s="292"/>
      <c r="C95" s="292"/>
      <c r="D95" s="292"/>
      <c r="E95" s="292"/>
      <c r="F95" s="292"/>
      <c r="G95" s="292"/>
      <c r="I95" s="292"/>
      <c r="K95" s="292"/>
      <c r="M95" s="292"/>
      <c r="N95" s="292"/>
      <c r="O95" s="292"/>
      <c r="P95" s="292"/>
      <c r="Q95" s="292"/>
    </row>
    <row r="96" spans="1:17">
      <c r="A96" s="292"/>
      <c r="B96" s="292"/>
      <c r="C96" s="292"/>
      <c r="D96" s="292"/>
      <c r="E96" s="292"/>
      <c r="F96" s="292"/>
      <c r="G96" s="292"/>
      <c r="I96" s="292"/>
      <c r="K96" s="292"/>
      <c r="M96" s="292"/>
      <c r="N96" s="292"/>
      <c r="O96" s="292"/>
      <c r="P96" s="292"/>
      <c r="Q96" s="292"/>
    </row>
    <row r="97" spans="1:17">
      <c r="A97" s="292"/>
      <c r="B97" s="292"/>
      <c r="C97" s="292"/>
      <c r="D97" s="292"/>
      <c r="E97" s="292"/>
      <c r="F97" s="292"/>
      <c r="G97" s="292"/>
      <c r="I97" s="292"/>
      <c r="K97" s="292"/>
      <c r="M97" s="292"/>
      <c r="N97" s="292"/>
      <c r="O97" s="292"/>
      <c r="P97" s="292"/>
      <c r="Q97" s="292"/>
    </row>
    <row r="98" spans="1:17">
      <c r="A98" s="292"/>
      <c r="B98" s="292"/>
      <c r="C98" s="292"/>
      <c r="D98" s="292"/>
      <c r="E98" s="292"/>
      <c r="F98" s="292"/>
      <c r="G98" s="292"/>
      <c r="I98" s="292"/>
      <c r="K98" s="292"/>
      <c r="M98" s="292"/>
      <c r="N98" s="292"/>
      <c r="O98" s="292"/>
      <c r="P98" s="292"/>
      <c r="Q98" s="292"/>
    </row>
    <row r="99" spans="1:17">
      <c r="A99" s="292"/>
      <c r="B99" s="292"/>
      <c r="C99" s="292"/>
      <c r="D99" s="292"/>
      <c r="E99" s="292"/>
      <c r="F99" s="292"/>
      <c r="G99" s="292"/>
      <c r="I99" s="292"/>
      <c r="K99" s="292"/>
      <c r="M99" s="292"/>
      <c r="N99" s="292"/>
      <c r="O99" s="292"/>
      <c r="P99" s="292"/>
      <c r="Q99" s="292"/>
    </row>
  </sheetData>
  <sheetProtection algorithmName="SHA-512" hashValue="vlrf79eImqyIYZ+Y9P2ExwxIOSXlGmOZfHB9WawQUCNs8a4/0y9099ghae6AFnHkswYancDqzkGUTdNDA6Or6g==" saltValue="x3QVrrqBV/juW5ajkTzGFg==" spinCount="100000" sheet="1" objects="1" scenarios="1"/>
  <mergeCells count="20">
    <mergeCell ref="I48:J48"/>
    <mergeCell ref="K48:L48"/>
    <mergeCell ref="G63:H63"/>
    <mergeCell ref="I63:J63"/>
    <mergeCell ref="K63:L63"/>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s>
  <conditionalFormatting sqref="J61 L61 H76 J76 L76 G61:H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37" bestFit="1" customWidth="1"/>
    <col min="2" max="2" width="6.5703125" style="82" customWidth="1"/>
    <col min="3" max="3" width="48.140625" style="82" bestFit="1" customWidth="1"/>
    <col min="4" max="5" width="15.85546875" style="82" bestFit="1" customWidth="1"/>
    <col min="6" max="6" width="13.42578125" style="82" bestFit="1" customWidth="1"/>
    <col min="7" max="7" width="14.5703125" style="82" bestFit="1" customWidth="1"/>
    <col min="8" max="13" width="7.42578125" style="82" bestFit="1" customWidth="1"/>
    <col min="14" max="16384" width="9.140625" style="82"/>
  </cols>
  <sheetData>
    <row r="1" spans="1:25" s="1" customFormat="1" ht="41.25" customHeight="1">
      <c r="L1" s="46"/>
      <c r="N1" s="82"/>
      <c r="O1" s="82"/>
      <c r="Q1" s="46"/>
      <c r="R1" s="46"/>
      <c r="S1" s="46"/>
      <c r="T1" s="46"/>
      <c r="U1" s="46"/>
      <c r="V1" s="46"/>
      <c r="W1" s="46"/>
      <c r="X1" s="46"/>
      <c r="Y1" s="46"/>
    </row>
    <row r="2" spans="1:25">
      <c r="N2" s="9"/>
      <c r="O2" s="9"/>
    </row>
    <row r="3" spans="1:25">
      <c r="A3" s="56"/>
      <c r="B3" s="57" t="s">
        <v>327</v>
      </c>
      <c r="C3" s="54"/>
      <c r="D3" s="18"/>
      <c r="E3" s="18"/>
      <c r="F3" s="18"/>
      <c r="G3" s="18"/>
      <c r="H3" s="18"/>
      <c r="I3" s="18"/>
      <c r="J3" s="18"/>
      <c r="K3" s="18"/>
      <c r="L3" s="18"/>
    </row>
    <row r="4" spans="1:25">
      <c r="A4" s="56"/>
      <c r="B4" s="18"/>
      <c r="C4" s="18"/>
      <c r="D4" s="18"/>
      <c r="E4" s="18"/>
      <c r="F4" s="18"/>
      <c r="G4" s="18"/>
      <c r="H4" s="18"/>
      <c r="I4" s="18"/>
      <c r="J4" s="18"/>
      <c r="K4" s="18"/>
      <c r="L4" s="18"/>
    </row>
    <row r="5" spans="1:25">
      <c r="A5" s="82"/>
      <c r="B5" s="150"/>
      <c r="C5" s="149" t="s">
        <v>326</v>
      </c>
      <c r="D5" s="149" t="s">
        <v>325</v>
      </c>
      <c r="E5" s="1267" t="s">
        <v>23</v>
      </c>
      <c r="F5" s="1268" t="s">
        <v>324</v>
      </c>
      <c r="G5" s="149" t="s">
        <v>323</v>
      </c>
      <c r="H5" s="78"/>
      <c r="I5" s="18"/>
      <c r="J5" s="18"/>
      <c r="K5" s="18"/>
      <c r="L5" s="18"/>
      <c r="M5" s="18"/>
    </row>
    <row r="6" spans="1:25">
      <c r="A6" s="82"/>
      <c r="B6" s="61">
        <v>1</v>
      </c>
      <c r="C6" s="15" t="s">
        <v>322</v>
      </c>
      <c r="D6" s="146" t="s">
        <v>194</v>
      </c>
      <c r="E6" s="1269">
        <v>42009.333333333336</v>
      </c>
      <c r="F6" s="1270">
        <v>42013.708333333336</v>
      </c>
      <c r="G6" s="1266"/>
      <c r="H6" s="18"/>
      <c r="I6" s="18"/>
      <c r="J6" s="18"/>
      <c r="K6" s="18"/>
      <c r="L6" s="18"/>
      <c r="M6" s="18"/>
    </row>
    <row r="7" spans="1:25">
      <c r="A7" s="82"/>
      <c r="B7" s="61">
        <v>1.1000000000000001</v>
      </c>
      <c r="C7" s="15" t="s">
        <v>321</v>
      </c>
      <c r="D7" s="146" t="s">
        <v>194</v>
      </c>
      <c r="E7" s="1269">
        <v>42009.333333333336</v>
      </c>
      <c r="F7" s="1270">
        <v>42013.708333333336</v>
      </c>
      <c r="G7" s="1266"/>
      <c r="H7" s="18"/>
      <c r="I7" s="18"/>
      <c r="J7" s="18"/>
      <c r="K7" s="18"/>
      <c r="L7" s="18"/>
      <c r="M7" s="18"/>
    </row>
    <row r="8" spans="1:25">
      <c r="A8" s="82"/>
      <c r="B8" s="61">
        <v>1.2</v>
      </c>
      <c r="C8" s="15" t="s">
        <v>320</v>
      </c>
      <c r="D8" s="146" t="s">
        <v>194</v>
      </c>
      <c r="E8" s="1269">
        <v>42009.333333333336</v>
      </c>
      <c r="F8" s="1270">
        <v>42013.708333333336</v>
      </c>
      <c r="G8" s="1266"/>
      <c r="H8" s="18"/>
      <c r="I8" s="18"/>
      <c r="J8" s="18"/>
      <c r="K8" s="18"/>
      <c r="L8" s="18"/>
      <c r="M8" s="18"/>
    </row>
    <row r="9" spans="1:25">
      <c r="A9" s="82"/>
      <c r="B9" s="61">
        <v>1.3</v>
      </c>
      <c r="C9" s="15" t="s">
        <v>319</v>
      </c>
      <c r="D9" s="146" t="s">
        <v>194</v>
      </c>
      <c r="E9" s="1269">
        <v>42009.333333333336</v>
      </c>
      <c r="F9" s="1270">
        <v>42013.708333333336</v>
      </c>
      <c r="G9" s="1266"/>
      <c r="H9" s="18"/>
      <c r="I9" s="18"/>
      <c r="J9" s="18"/>
      <c r="K9" s="18"/>
      <c r="L9" s="18"/>
      <c r="M9" s="18"/>
    </row>
    <row r="10" spans="1:25">
      <c r="A10" s="82"/>
      <c r="B10" s="61">
        <v>2</v>
      </c>
      <c r="C10" s="15" t="s">
        <v>318</v>
      </c>
      <c r="D10" s="146" t="s">
        <v>198</v>
      </c>
      <c r="E10" s="1269">
        <v>42016.333333333336</v>
      </c>
      <c r="F10" s="1270">
        <v>42017.708333333336</v>
      </c>
      <c r="G10" s="145" t="s">
        <v>317</v>
      </c>
      <c r="H10" s="18"/>
      <c r="I10" s="18"/>
      <c r="J10" s="18"/>
      <c r="K10" s="18"/>
      <c r="L10" s="18"/>
      <c r="M10" s="18"/>
    </row>
    <row r="11" spans="1:25">
      <c r="A11" s="82"/>
      <c r="B11" s="61">
        <v>2.1</v>
      </c>
      <c r="C11" s="15" t="s">
        <v>316</v>
      </c>
      <c r="D11" s="146" t="s">
        <v>198</v>
      </c>
      <c r="E11" s="1269">
        <v>42016.333333333336</v>
      </c>
      <c r="F11" s="1270">
        <v>42017.708333333336</v>
      </c>
      <c r="G11" s="1266"/>
      <c r="H11" s="18"/>
      <c r="I11" s="18"/>
      <c r="J11" s="18"/>
      <c r="K11" s="18"/>
      <c r="L11" s="18"/>
      <c r="M11" s="18"/>
    </row>
    <row r="12" spans="1:25">
      <c r="A12" s="82"/>
      <c r="B12" s="61">
        <v>2.2000000000000002</v>
      </c>
      <c r="C12" s="15" t="s">
        <v>315</v>
      </c>
      <c r="D12" s="146" t="s">
        <v>198</v>
      </c>
      <c r="E12" s="1269">
        <v>42016.333333333336</v>
      </c>
      <c r="F12" s="1270">
        <v>42017.708333333336</v>
      </c>
      <c r="G12" s="1266"/>
      <c r="H12" s="18"/>
      <c r="I12" s="18"/>
      <c r="J12" s="18"/>
      <c r="K12" s="18"/>
      <c r="L12" s="18"/>
      <c r="M12" s="18"/>
    </row>
    <row r="13" spans="1:25">
      <c r="A13" s="82"/>
      <c r="B13" s="61">
        <v>3</v>
      </c>
      <c r="C13" s="15" t="s">
        <v>314</v>
      </c>
      <c r="D13" s="146" t="s">
        <v>194</v>
      </c>
      <c r="E13" s="1269">
        <v>42018.333333333336</v>
      </c>
      <c r="F13" s="1270">
        <v>42024.708333333336</v>
      </c>
      <c r="G13" s="145" t="s">
        <v>313</v>
      </c>
      <c r="H13" s="18"/>
      <c r="I13" s="18"/>
      <c r="J13" s="18"/>
      <c r="K13" s="18"/>
      <c r="L13" s="18"/>
      <c r="M13" s="18"/>
    </row>
    <row r="14" spans="1:25">
      <c r="A14" s="82"/>
      <c r="B14" s="61">
        <v>4</v>
      </c>
      <c r="C14" s="15" t="s">
        <v>312</v>
      </c>
      <c r="D14" s="146" t="s">
        <v>194</v>
      </c>
      <c r="E14" s="1269">
        <v>42025.333333333336</v>
      </c>
      <c r="F14" s="1270">
        <v>42031.708333333336</v>
      </c>
      <c r="G14" s="145" t="s">
        <v>311</v>
      </c>
      <c r="H14" s="18"/>
      <c r="I14" s="18"/>
      <c r="J14" s="18"/>
      <c r="K14" s="18"/>
      <c r="L14" s="18"/>
      <c r="M14" s="18"/>
    </row>
    <row r="15" spans="1:25">
      <c r="A15" s="82"/>
      <c r="B15" s="61">
        <v>5</v>
      </c>
      <c r="C15" s="15" t="s">
        <v>296</v>
      </c>
      <c r="D15" s="146" t="s">
        <v>194</v>
      </c>
      <c r="E15" s="1269">
        <v>42031.708333333336</v>
      </c>
      <c r="F15" s="1270">
        <v>42038.708333333336</v>
      </c>
      <c r="G15" s="145" t="s">
        <v>310</v>
      </c>
      <c r="H15" s="18"/>
      <c r="I15" s="18"/>
      <c r="J15" s="18"/>
      <c r="K15" s="18"/>
      <c r="L15" s="18"/>
      <c r="M15" s="18"/>
    </row>
    <row r="16" spans="1:25">
      <c r="A16" s="82"/>
      <c r="B16" s="56"/>
      <c r="C16" s="15" t="s">
        <v>309</v>
      </c>
      <c r="D16" s="146" t="s">
        <v>215</v>
      </c>
      <c r="E16" s="1269">
        <v>42031.708333333336</v>
      </c>
      <c r="F16" s="1270">
        <v>42031.708333333336</v>
      </c>
      <c r="G16" s="1266"/>
      <c r="H16" s="18"/>
      <c r="I16" s="18"/>
      <c r="J16" s="18"/>
      <c r="K16" s="18"/>
      <c r="L16" s="18"/>
      <c r="M16" s="18"/>
    </row>
    <row r="17" spans="1:13">
      <c r="A17" s="82"/>
      <c r="B17" s="61">
        <v>5.0999999999999996</v>
      </c>
      <c r="C17" s="15" t="s">
        <v>308</v>
      </c>
      <c r="D17" s="146" t="s">
        <v>238</v>
      </c>
      <c r="E17" s="1269">
        <v>42032.333333333336</v>
      </c>
      <c r="F17" s="1270">
        <v>42032.708333333336</v>
      </c>
      <c r="G17" s="1266"/>
      <c r="H17" s="18"/>
      <c r="I17" s="18"/>
      <c r="J17" s="18"/>
      <c r="K17" s="18"/>
      <c r="L17" s="18"/>
      <c r="M17" s="18"/>
    </row>
    <row r="18" spans="1:13">
      <c r="A18" s="82"/>
      <c r="B18" s="61">
        <v>5.2</v>
      </c>
      <c r="C18" s="15" t="s">
        <v>307</v>
      </c>
      <c r="D18" s="146" t="s">
        <v>198</v>
      </c>
      <c r="E18" s="1269">
        <v>42033.333333333336</v>
      </c>
      <c r="F18" s="1270">
        <v>42034.708333333336</v>
      </c>
      <c r="G18" s="145" t="s">
        <v>306</v>
      </c>
      <c r="H18" s="18"/>
      <c r="I18" s="18"/>
      <c r="J18" s="18"/>
      <c r="K18" s="18"/>
      <c r="L18" s="18"/>
      <c r="M18" s="18"/>
    </row>
    <row r="19" spans="1:13">
      <c r="A19" s="82"/>
      <c r="B19" s="61" t="s">
        <v>305</v>
      </c>
      <c r="C19" s="15" t="s">
        <v>304</v>
      </c>
      <c r="D19" s="146" t="s">
        <v>215</v>
      </c>
      <c r="E19" s="1269">
        <v>42034.708333333336</v>
      </c>
      <c r="F19" s="1270">
        <v>42034.708333333336</v>
      </c>
      <c r="G19" s="145" t="s">
        <v>299</v>
      </c>
      <c r="H19" s="18"/>
      <c r="I19" s="18"/>
      <c r="J19" s="18"/>
      <c r="K19" s="18"/>
      <c r="L19" s="18"/>
      <c r="M19" s="18"/>
    </row>
    <row r="20" spans="1:13">
      <c r="A20" s="82"/>
      <c r="B20" s="61" t="s">
        <v>303</v>
      </c>
      <c r="C20" s="15" t="s">
        <v>302</v>
      </c>
      <c r="D20" s="146" t="s">
        <v>215</v>
      </c>
      <c r="E20" s="1269">
        <v>42034.708333333336</v>
      </c>
      <c r="F20" s="1270">
        <v>42034.708333333336</v>
      </c>
      <c r="G20" s="145" t="s">
        <v>299</v>
      </c>
      <c r="H20" s="18"/>
      <c r="I20" s="18"/>
      <c r="J20" s="18"/>
      <c r="K20" s="18"/>
      <c r="L20" s="18"/>
      <c r="M20" s="18"/>
    </row>
    <row r="21" spans="1:13">
      <c r="A21" s="82"/>
      <c r="B21" s="61" t="s">
        <v>301</v>
      </c>
      <c r="C21" s="15" t="s">
        <v>300</v>
      </c>
      <c r="D21" s="146" t="s">
        <v>215</v>
      </c>
      <c r="E21" s="1269">
        <v>42034.708333333336</v>
      </c>
      <c r="F21" s="1270">
        <v>42034.708333333336</v>
      </c>
      <c r="G21" s="145" t="s">
        <v>299</v>
      </c>
      <c r="H21" s="18"/>
      <c r="I21" s="18"/>
      <c r="J21" s="18"/>
      <c r="K21" s="18"/>
      <c r="L21" s="18"/>
      <c r="M21" s="18"/>
    </row>
    <row r="22" spans="1:13">
      <c r="A22" s="82"/>
      <c r="B22" s="61">
        <v>5.3</v>
      </c>
      <c r="C22" s="15" t="s">
        <v>298</v>
      </c>
      <c r="D22" s="146" t="s">
        <v>238</v>
      </c>
      <c r="E22" s="1269">
        <v>42037.333333333336</v>
      </c>
      <c r="F22" s="1270">
        <v>42037.708333333336</v>
      </c>
      <c r="G22" s="145" t="s">
        <v>297</v>
      </c>
      <c r="H22" s="18"/>
      <c r="I22" s="18"/>
      <c r="J22" s="18"/>
      <c r="K22" s="18"/>
      <c r="L22" s="18"/>
      <c r="M22" s="18"/>
    </row>
    <row r="23" spans="1:13">
      <c r="A23" s="82"/>
      <c r="B23" s="61">
        <v>5.4</v>
      </c>
      <c r="C23" s="15" t="s">
        <v>296</v>
      </c>
      <c r="D23" s="146" t="s">
        <v>238</v>
      </c>
      <c r="E23" s="1269">
        <v>42038.333333333336</v>
      </c>
      <c r="F23" s="1270">
        <v>42038.708333333336</v>
      </c>
      <c r="G23" s="145" t="s">
        <v>295</v>
      </c>
      <c r="H23" s="18"/>
      <c r="I23" s="18"/>
      <c r="J23" s="18"/>
      <c r="K23" s="18"/>
      <c r="L23" s="18"/>
      <c r="M23" s="18"/>
    </row>
    <row r="24" spans="1:13">
      <c r="A24" s="82"/>
      <c r="B24" s="61">
        <v>6</v>
      </c>
      <c r="C24" s="15" t="s">
        <v>294</v>
      </c>
      <c r="D24" s="146" t="s">
        <v>194</v>
      </c>
      <c r="E24" s="1269">
        <v>42039.333333333336</v>
      </c>
      <c r="F24" s="1270">
        <v>42045.708333333336</v>
      </c>
      <c r="G24" s="145" t="s">
        <v>276</v>
      </c>
      <c r="H24" s="18"/>
      <c r="I24" s="18"/>
      <c r="J24" s="18"/>
      <c r="K24" s="18"/>
      <c r="L24" s="18"/>
      <c r="M24" s="18"/>
    </row>
    <row r="25" spans="1:13">
      <c r="A25" s="82"/>
      <c r="B25" s="61">
        <v>6.1</v>
      </c>
      <c r="C25" s="15" t="s">
        <v>293</v>
      </c>
      <c r="D25" s="146" t="s">
        <v>198</v>
      </c>
      <c r="E25" s="1269">
        <v>42039.333333333336</v>
      </c>
      <c r="F25" s="1270">
        <v>42040.708333333336</v>
      </c>
      <c r="G25" s="1266"/>
      <c r="H25" s="18"/>
      <c r="I25" s="18"/>
      <c r="J25" s="18"/>
      <c r="K25" s="18"/>
      <c r="L25" s="18"/>
      <c r="M25" s="18"/>
    </row>
    <row r="26" spans="1:13">
      <c r="A26" s="82"/>
      <c r="B26" s="61">
        <v>6.2</v>
      </c>
      <c r="C26" s="15" t="s">
        <v>274</v>
      </c>
      <c r="D26" s="146" t="s">
        <v>198</v>
      </c>
      <c r="E26" s="1269">
        <v>42041.333333333336</v>
      </c>
      <c r="F26" s="1270">
        <v>42044.708333333336</v>
      </c>
      <c r="G26" s="145" t="s">
        <v>292</v>
      </c>
      <c r="H26" s="18"/>
      <c r="I26" s="18"/>
      <c r="J26" s="18"/>
      <c r="K26" s="18"/>
      <c r="L26" s="18"/>
      <c r="M26" s="18"/>
    </row>
    <row r="27" spans="1:13">
      <c r="A27" s="82"/>
      <c r="B27" s="61">
        <v>6.3</v>
      </c>
      <c r="C27" s="15" t="s">
        <v>272</v>
      </c>
      <c r="D27" s="146" t="s">
        <v>215</v>
      </c>
      <c r="E27" s="1269">
        <v>42044.708333333336</v>
      </c>
      <c r="F27" s="1270">
        <v>42044.708333333336</v>
      </c>
      <c r="G27" s="145" t="s">
        <v>291</v>
      </c>
      <c r="H27" s="18"/>
      <c r="I27" s="18"/>
      <c r="J27" s="18"/>
      <c r="K27" s="18"/>
      <c r="L27" s="18"/>
      <c r="M27" s="18"/>
    </row>
    <row r="28" spans="1:13">
      <c r="A28" s="82"/>
      <c r="B28" s="61">
        <v>6.4</v>
      </c>
      <c r="C28" s="15" t="s">
        <v>271</v>
      </c>
      <c r="D28" s="146" t="s">
        <v>238</v>
      </c>
      <c r="E28" s="1269">
        <v>42045.333333333336</v>
      </c>
      <c r="F28" s="1270">
        <v>42045.708333333336</v>
      </c>
      <c r="G28" s="145" t="s">
        <v>291</v>
      </c>
      <c r="H28" s="18"/>
      <c r="I28" s="18"/>
      <c r="J28" s="18"/>
      <c r="K28" s="18"/>
      <c r="L28" s="18"/>
      <c r="M28" s="18"/>
    </row>
    <row r="29" spans="1:13">
      <c r="A29" s="82"/>
      <c r="B29" s="61">
        <v>6.5</v>
      </c>
      <c r="C29" s="15" t="s">
        <v>708</v>
      </c>
      <c r="D29" s="146" t="s">
        <v>215</v>
      </c>
      <c r="E29" s="1269">
        <v>42045.708333333336</v>
      </c>
      <c r="F29" s="1270">
        <v>42045.708333333336</v>
      </c>
      <c r="G29" s="145" t="s">
        <v>290</v>
      </c>
      <c r="H29" s="18"/>
      <c r="I29" s="18"/>
      <c r="J29" s="18"/>
      <c r="K29" s="18"/>
      <c r="L29" s="18"/>
      <c r="M29" s="18"/>
    </row>
    <row r="30" spans="1:13">
      <c r="A30" s="82"/>
      <c r="B30" s="61">
        <v>7</v>
      </c>
      <c r="C30" s="15" t="s">
        <v>289</v>
      </c>
      <c r="D30" s="146" t="s">
        <v>194</v>
      </c>
      <c r="E30" s="1269">
        <v>42038.708333333336</v>
      </c>
      <c r="F30" s="1270">
        <v>42045.708333333336</v>
      </c>
      <c r="G30" s="145" t="s">
        <v>276</v>
      </c>
      <c r="H30" s="18"/>
      <c r="I30" s="18"/>
      <c r="J30" s="18"/>
      <c r="K30" s="18"/>
      <c r="L30" s="18"/>
      <c r="M30" s="18"/>
    </row>
    <row r="31" spans="1:13">
      <c r="A31" s="82"/>
      <c r="B31" s="61">
        <v>7.1</v>
      </c>
      <c r="C31" s="15" t="s">
        <v>288</v>
      </c>
      <c r="D31" s="146" t="s">
        <v>198</v>
      </c>
      <c r="E31" s="1269">
        <v>42040.333333333336</v>
      </c>
      <c r="F31" s="1270">
        <v>42041.708333333336</v>
      </c>
      <c r="G31" s="1266"/>
      <c r="H31" s="18"/>
      <c r="I31" s="18"/>
      <c r="J31" s="18"/>
      <c r="K31" s="18"/>
      <c r="L31" s="18"/>
      <c r="M31" s="18"/>
    </row>
    <row r="32" spans="1:13">
      <c r="A32" s="82"/>
      <c r="B32" s="61">
        <v>7.2</v>
      </c>
      <c r="C32" s="15" t="s">
        <v>274</v>
      </c>
      <c r="D32" s="146" t="s">
        <v>198</v>
      </c>
      <c r="E32" s="1269">
        <v>42044.333333333336</v>
      </c>
      <c r="F32" s="1270">
        <v>42045.708333333336</v>
      </c>
      <c r="G32" s="145" t="s">
        <v>287</v>
      </c>
      <c r="H32" s="18"/>
      <c r="I32" s="18"/>
      <c r="J32" s="18"/>
      <c r="K32" s="18"/>
      <c r="L32" s="18"/>
      <c r="M32" s="18"/>
    </row>
    <row r="33" spans="1:13">
      <c r="A33" s="82"/>
      <c r="B33" s="61">
        <v>7.3</v>
      </c>
      <c r="C33" s="15" t="s">
        <v>272</v>
      </c>
      <c r="D33" s="146" t="s">
        <v>215</v>
      </c>
      <c r="E33" s="1269">
        <v>42039.708333333336</v>
      </c>
      <c r="F33" s="1270">
        <v>42039.708333333336</v>
      </c>
      <c r="G33" s="1266"/>
      <c r="H33" s="18"/>
      <c r="I33" s="18"/>
      <c r="J33" s="18"/>
      <c r="K33" s="18"/>
      <c r="L33" s="18"/>
      <c r="M33" s="18"/>
    </row>
    <row r="34" spans="1:13">
      <c r="A34" s="82"/>
      <c r="B34" s="61">
        <v>7.4</v>
      </c>
      <c r="C34" s="15" t="s">
        <v>271</v>
      </c>
      <c r="D34" s="146" t="s">
        <v>238</v>
      </c>
      <c r="E34" s="1269">
        <v>42046.333333333336</v>
      </c>
      <c r="F34" s="1270">
        <v>42046.708333333336</v>
      </c>
      <c r="G34" s="145" t="s">
        <v>286</v>
      </c>
      <c r="H34" s="18"/>
      <c r="I34" s="18"/>
      <c r="J34" s="18"/>
      <c r="K34" s="18"/>
      <c r="L34" s="18"/>
      <c r="M34" s="18"/>
    </row>
    <row r="35" spans="1:13">
      <c r="A35" s="82"/>
      <c r="B35" s="61">
        <v>7.5</v>
      </c>
      <c r="C35" s="15" t="s">
        <v>708</v>
      </c>
      <c r="D35" s="146" t="s">
        <v>215</v>
      </c>
      <c r="E35" s="1269">
        <v>42039.708333333336</v>
      </c>
      <c r="F35" s="1270">
        <v>42039.708333333336</v>
      </c>
      <c r="G35" s="1266"/>
      <c r="H35" s="18"/>
      <c r="I35" s="18"/>
      <c r="J35" s="18"/>
      <c r="K35" s="18"/>
      <c r="L35" s="18"/>
      <c r="M35" s="18"/>
    </row>
    <row r="36" spans="1:13">
      <c r="A36" s="82"/>
      <c r="B36" s="61">
        <v>8</v>
      </c>
      <c r="C36" s="15" t="s">
        <v>285</v>
      </c>
      <c r="D36" s="146" t="s">
        <v>194</v>
      </c>
      <c r="E36" s="1269">
        <v>42039.708333333336</v>
      </c>
      <c r="F36" s="1270">
        <v>42046.708333333336</v>
      </c>
      <c r="G36" s="145" t="s">
        <v>276</v>
      </c>
      <c r="H36" s="18"/>
      <c r="I36" s="18"/>
      <c r="J36" s="18"/>
      <c r="K36" s="18"/>
      <c r="L36" s="18"/>
      <c r="M36" s="18"/>
    </row>
    <row r="37" spans="1:13">
      <c r="A37" s="82"/>
      <c r="B37" s="61">
        <v>8.1</v>
      </c>
      <c r="C37" s="15" t="s">
        <v>284</v>
      </c>
      <c r="D37" s="146" t="s">
        <v>198</v>
      </c>
      <c r="E37" s="1269">
        <v>42040.333333333336</v>
      </c>
      <c r="F37" s="1270">
        <v>42041.708333333336</v>
      </c>
      <c r="G37" s="1266"/>
      <c r="H37" s="18"/>
      <c r="I37" s="18"/>
      <c r="J37" s="18"/>
      <c r="K37" s="18"/>
      <c r="L37" s="18"/>
      <c r="M37" s="18"/>
    </row>
    <row r="38" spans="1:13">
      <c r="A38" s="82"/>
      <c r="B38" s="61">
        <v>8.1999999999999993</v>
      </c>
      <c r="C38" s="15" t="s">
        <v>274</v>
      </c>
      <c r="D38" s="146" t="s">
        <v>198</v>
      </c>
      <c r="E38" s="1269">
        <v>42044.333333333336</v>
      </c>
      <c r="F38" s="1270">
        <v>42045.708333333336</v>
      </c>
      <c r="G38" s="145" t="s">
        <v>283</v>
      </c>
      <c r="H38" s="18"/>
      <c r="I38" s="18"/>
      <c r="J38" s="18"/>
      <c r="K38" s="18"/>
      <c r="L38" s="18"/>
      <c r="M38" s="18"/>
    </row>
    <row r="39" spans="1:13">
      <c r="A39" s="82"/>
      <c r="B39" s="61">
        <v>8.3000000000000007</v>
      </c>
      <c r="C39" s="15" t="s">
        <v>272</v>
      </c>
      <c r="D39" s="146" t="s">
        <v>215</v>
      </c>
      <c r="E39" s="1269">
        <v>42039.708333333336</v>
      </c>
      <c r="F39" s="1270">
        <v>42039.708333333336</v>
      </c>
      <c r="G39" s="1266"/>
      <c r="H39" s="18"/>
      <c r="I39" s="18"/>
      <c r="J39" s="18"/>
      <c r="K39" s="18"/>
      <c r="L39" s="18"/>
      <c r="M39" s="18"/>
    </row>
    <row r="40" spans="1:13">
      <c r="A40" s="82"/>
      <c r="B40" s="61">
        <v>8.4</v>
      </c>
      <c r="C40" s="15" t="s">
        <v>271</v>
      </c>
      <c r="D40" s="146" t="s">
        <v>238</v>
      </c>
      <c r="E40" s="1269">
        <v>42046.333333333336</v>
      </c>
      <c r="F40" s="1270">
        <v>42046.708333333336</v>
      </c>
      <c r="G40" s="145" t="s">
        <v>282</v>
      </c>
      <c r="H40" s="18"/>
      <c r="I40" s="18"/>
      <c r="J40" s="18"/>
      <c r="K40" s="18"/>
      <c r="L40" s="18"/>
      <c r="M40" s="18"/>
    </row>
    <row r="41" spans="1:13">
      <c r="A41" s="82"/>
      <c r="B41" s="61">
        <v>8.5</v>
      </c>
      <c r="C41" s="15" t="s">
        <v>709</v>
      </c>
      <c r="D41" s="146" t="s">
        <v>215</v>
      </c>
      <c r="E41" s="1269">
        <v>42039.708333333336</v>
      </c>
      <c r="F41" s="1270">
        <v>42039.708333333336</v>
      </c>
      <c r="G41" s="1266"/>
      <c r="H41" s="18"/>
      <c r="I41" s="18"/>
      <c r="J41" s="18"/>
      <c r="K41" s="18"/>
      <c r="L41" s="18"/>
      <c r="M41" s="18"/>
    </row>
    <row r="42" spans="1:13">
      <c r="A42" s="82"/>
      <c r="B42" s="61">
        <v>9</v>
      </c>
      <c r="C42" s="15" t="s">
        <v>281</v>
      </c>
      <c r="D42" s="146" t="s">
        <v>194</v>
      </c>
      <c r="E42" s="1269">
        <v>42039.708333333336</v>
      </c>
      <c r="F42" s="1270">
        <v>42046.708333333336</v>
      </c>
      <c r="G42" s="145" t="s">
        <v>276</v>
      </c>
      <c r="H42" s="18"/>
      <c r="I42" s="18"/>
      <c r="J42" s="18"/>
      <c r="K42" s="18"/>
      <c r="L42" s="18"/>
      <c r="M42" s="18"/>
    </row>
    <row r="43" spans="1:13">
      <c r="A43" s="82"/>
      <c r="B43" s="61">
        <v>9.1</v>
      </c>
      <c r="C43" s="15" t="s">
        <v>280</v>
      </c>
      <c r="D43" s="146" t="s">
        <v>198</v>
      </c>
      <c r="E43" s="1269">
        <v>42040.333333333336</v>
      </c>
      <c r="F43" s="1270">
        <v>42041.708333333336</v>
      </c>
      <c r="G43" s="1266"/>
      <c r="H43" s="18"/>
      <c r="I43" s="18"/>
      <c r="J43" s="18"/>
      <c r="K43" s="18"/>
      <c r="L43" s="18"/>
      <c r="M43" s="18"/>
    </row>
    <row r="44" spans="1:13">
      <c r="A44" s="82"/>
      <c r="B44" s="61">
        <v>9.1999999999999993</v>
      </c>
      <c r="C44" s="15" t="s">
        <v>274</v>
      </c>
      <c r="D44" s="146" t="s">
        <v>198</v>
      </c>
      <c r="E44" s="1269">
        <v>42044.333333333336</v>
      </c>
      <c r="F44" s="1270">
        <v>42045.708333333336</v>
      </c>
      <c r="G44" s="145" t="s">
        <v>279</v>
      </c>
      <c r="H44" s="18"/>
      <c r="I44" s="18"/>
      <c r="J44" s="18"/>
      <c r="K44" s="18"/>
      <c r="L44" s="18"/>
      <c r="M44" s="18"/>
    </row>
    <row r="45" spans="1:13">
      <c r="A45" s="82"/>
      <c r="B45" s="61">
        <v>9.3000000000000007</v>
      </c>
      <c r="C45" s="15" t="s">
        <v>272</v>
      </c>
      <c r="D45" s="146" t="s">
        <v>215</v>
      </c>
      <c r="E45" s="1269">
        <v>42039.708333333336</v>
      </c>
      <c r="F45" s="1270">
        <v>42039.708333333336</v>
      </c>
      <c r="G45" s="1266"/>
      <c r="H45" s="18"/>
      <c r="I45" s="18"/>
      <c r="J45" s="18"/>
      <c r="K45" s="18"/>
      <c r="L45" s="18"/>
      <c r="M45" s="18"/>
    </row>
    <row r="46" spans="1:13">
      <c r="A46" s="82"/>
      <c r="B46" s="61">
        <v>9.4</v>
      </c>
      <c r="C46" s="15" t="s">
        <v>271</v>
      </c>
      <c r="D46" s="146" t="s">
        <v>238</v>
      </c>
      <c r="E46" s="1269">
        <v>42046.333333333336</v>
      </c>
      <c r="F46" s="1270">
        <v>42046.708333333336</v>
      </c>
      <c r="G46" s="145" t="s">
        <v>278</v>
      </c>
      <c r="H46" s="18"/>
      <c r="I46" s="18"/>
      <c r="J46" s="18"/>
      <c r="K46" s="18"/>
      <c r="L46" s="18"/>
      <c r="M46" s="18"/>
    </row>
    <row r="47" spans="1:13">
      <c r="A47" s="82"/>
      <c r="B47" s="61">
        <v>9.5</v>
      </c>
      <c r="C47" s="15" t="s">
        <v>709</v>
      </c>
      <c r="D47" s="146" t="s">
        <v>215</v>
      </c>
      <c r="E47" s="1269">
        <v>42039.708333333336</v>
      </c>
      <c r="F47" s="1270">
        <v>42039.708333333336</v>
      </c>
      <c r="G47" s="1266"/>
      <c r="H47" s="18"/>
      <c r="I47" s="18"/>
      <c r="J47" s="18"/>
      <c r="K47" s="18"/>
      <c r="L47" s="18"/>
      <c r="M47" s="18"/>
    </row>
    <row r="48" spans="1:13">
      <c r="A48" s="82"/>
      <c r="B48" s="61">
        <v>10</v>
      </c>
      <c r="C48" s="15" t="s">
        <v>277</v>
      </c>
      <c r="D48" s="146" t="s">
        <v>194</v>
      </c>
      <c r="E48" s="1269">
        <v>42039.708333333336</v>
      </c>
      <c r="F48" s="1270">
        <v>42046.708333333336</v>
      </c>
      <c r="G48" s="145" t="s">
        <v>276</v>
      </c>
      <c r="H48" s="18"/>
      <c r="I48" s="18"/>
      <c r="J48" s="18"/>
      <c r="K48" s="18"/>
      <c r="L48" s="18"/>
      <c r="M48" s="18"/>
    </row>
    <row r="49" spans="1:13">
      <c r="A49" s="82"/>
      <c r="B49" s="61">
        <v>10.1</v>
      </c>
      <c r="C49" s="15" t="s">
        <v>275</v>
      </c>
      <c r="D49" s="146" t="s">
        <v>198</v>
      </c>
      <c r="E49" s="1269">
        <v>42040.333333333336</v>
      </c>
      <c r="F49" s="1270">
        <v>42041.708333333336</v>
      </c>
      <c r="G49" s="1266"/>
      <c r="H49" s="18"/>
      <c r="I49" s="18"/>
      <c r="J49" s="18"/>
      <c r="K49" s="18"/>
      <c r="L49" s="18"/>
      <c r="M49" s="18"/>
    </row>
    <row r="50" spans="1:13">
      <c r="A50" s="82"/>
      <c r="B50" s="61">
        <v>10.199999999999999</v>
      </c>
      <c r="C50" s="15" t="s">
        <v>274</v>
      </c>
      <c r="D50" s="146" t="s">
        <v>198</v>
      </c>
      <c r="E50" s="1269">
        <v>42044.333333333336</v>
      </c>
      <c r="F50" s="1270">
        <v>42045.708333333336</v>
      </c>
      <c r="G50" s="145" t="s">
        <v>273</v>
      </c>
      <c r="H50" s="18"/>
      <c r="I50" s="18"/>
      <c r="J50" s="18"/>
      <c r="K50" s="18"/>
      <c r="L50" s="18"/>
      <c r="M50" s="18"/>
    </row>
    <row r="51" spans="1:13">
      <c r="A51" s="82"/>
      <c r="B51" s="61">
        <v>10.3</v>
      </c>
      <c r="C51" s="15" t="s">
        <v>272</v>
      </c>
      <c r="D51" s="146" t="s">
        <v>215</v>
      </c>
      <c r="E51" s="1269">
        <v>42039.708333333336</v>
      </c>
      <c r="F51" s="1270">
        <v>42039.708333333336</v>
      </c>
      <c r="G51" s="1266"/>
      <c r="H51" s="18"/>
      <c r="I51" s="18"/>
      <c r="J51" s="18"/>
      <c r="K51" s="18"/>
      <c r="L51" s="18"/>
      <c r="M51" s="18"/>
    </row>
    <row r="52" spans="1:13">
      <c r="A52" s="82"/>
      <c r="B52" s="61">
        <v>10.4</v>
      </c>
      <c r="C52" s="15" t="s">
        <v>271</v>
      </c>
      <c r="D52" s="146" t="s">
        <v>238</v>
      </c>
      <c r="E52" s="1269">
        <v>42046.333333333336</v>
      </c>
      <c r="F52" s="1270">
        <v>42046.708333333336</v>
      </c>
      <c r="G52" s="145" t="s">
        <v>270</v>
      </c>
      <c r="H52" s="18"/>
      <c r="I52" s="18"/>
      <c r="J52" s="18"/>
      <c r="K52" s="18"/>
      <c r="L52" s="18"/>
      <c r="M52" s="18"/>
    </row>
    <row r="53" spans="1:13">
      <c r="A53" s="82"/>
      <c r="B53" s="61">
        <v>10.5</v>
      </c>
      <c r="C53" s="15" t="s">
        <v>709</v>
      </c>
      <c r="D53" s="146" t="s">
        <v>215</v>
      </c>
      <c r="E53" s="1269">
        <v>42039.708333333336</v>
      </c>
      <c r="F53" s="1270">
        <v>42039.708333333336</v>
      </c>
      <c r="G53" s="1266"/>
      <c r="H53" s="18"/>
      <c r="I53" s="18"/>
      <c r="J53" s="18"/>
      <c r="K53" s="18"/>
      <c r="L53" s="18"/>
      <c r="M53" s="18"/>
    </row>
    <row r="54" spans="1:13">
      <c r="A54" s="82"/>
      <c r="B54" s="61">
        <v>11</v>
      </c>
      <c r="C54" s="15" t="s">
        <v>269</v>
      </c>
      <c r="D54" s="146" t="s">
        <v>268</v>
      </c>
      <c r="E54" s="1269">
        <v>42047.333333333336</v>
      </c>
      <c r="F54" s="1270">
        <v>42263.708333333336</v>
      </c>
      <c r="G54" s="145" t="s">
        <v>267</v>
      </c>
      <c r="H54" s="18"/>
      <c r="I54" s="18"/>
      <c r="J54" s="18"/>
      <c r="K54" s="18"/>
      <c r="L54" s="18"/>
      <c r="M54" s="18"/>
    </row>
    <row r="55" spans="1:13">
      <c r="A55" s="82"/>
      <c r="B55" s="61">
        <v>11.1</v>
      </c>
      <c r="C55" s="15" t="s">
        <v>266</v>
      </c>
      <c r="D55" s="146" t="s">
        <v>222</v>
      </c>
      <c r="E55" s="1269">
        <v>42047.333333333336</v>
      </c>
      <c r="F55" s="1270">
        <v>42060.708333333336</v>
      </c>
      <c r="G55" s="1266"/>
      <c r="H55" s="18"/>
      <c r="I55" s="18"/>
      <c r="J55" s="18"/>
      <c r="K55" s="18"/>
      <c r="L55" s="18"/>
      <c r="M55" s="18"/>
    </row>
    <row r="56" spans="1:13">
      <c r="A56" s="82"/>
      <c r="B56" s="61" t="s">
        <v>265</v>
      </c>
      <c r="C56" s="15" t="s">
        <v>264</v>
      </c>
      <c r="D56" s="146" t="s">
        <v>198</v>
      </c>
      <c r="E56" s="1269">
        <v>42047.333333333336</v>
      </c>
      <c r="F56" s="1270">
        <v>42048.708333333336</v>
      </c>
      <c r="G56" s="1266"/>
      <c r="H56" s="18"/>
      <c r="I56" s="18"/>
      <c r="J56" s="18"/>
      <c r="K56" s="18"/>
      <c r="L56" s="18"/>
      <c r="M56" s="18"/>
    </row>
    <row r="57" spans="1:13">
      <c r="A57" s="82"/>
      <c r="B57" s="61" t="s">
        <v>263</v>
      </c>
      <c r="C57" s="15" t="s">
        <v>262</v>
      </c>
      <c r="D57" s="146" t="s">
        <v>198</v>
      </c>
      <c r="E57" s="1269">
        <v>42051.333333333336</v>
      </c>
      <c r="F57" s="1270">
        <v>42052.708333333336</v>
      </c>
      <c r="G57" s="145" t="s">
        <v>261</v>
      </c>
      <c r="H57" s="18"/>
      <c r="I57" s="18"/>
      <c r="J57" s="18"/>
      <c r="K57" s="18"/>
      <c r="L57" s="18"/>
      <c r="M57" s="18"/>
    </row>
    <row r="58" spans="1:13">
      <c r="A58" s="82"/>
      <c r="B58" s="61" t="s">
        <v>260</v>
      </c>
      <c r="C58" s="15" t="s">
        <v>259</v>
      </c>
      <c r="D58" s="146" t="s">
        <v>198</v>
      </c>
      <c r="E58" s="1269">
        <v>42053.333333333336</v>
      </c>
      <c r="F58" s="1270">
        <v>42054.708333333336</v>
      </c>
      <c r="G58" s="145" t="s">
        <v>258</v>
      </c>
      <c r="H58" s="18"/>
      <c r="I58" s="18"/>
      <c r="J58" s="18"/>
      <c r="K58" s="18"/>
      <c r="L58" s="18"/>
      <c r="M58" s="18"/>
    </row>
    <row r="59" spans="1:13">
      <c r="A59" s="82"/>
      <c r="B59" s="61">
        <v>11.2</v>
      </c>
      <c r="C59" s="15" t="s">
        <v>257</v>
      </c>
      <c r="D59" s="146" t="s">
        <v>238</v>
      </c>
      <c r="E59" s="1269">
        <v>42055.333333333336</v>
      </c>
      <c r="F59" s="1270">
        <v>42055.708333333336</v>
      </c>
      <c r="G59" s="145" t="s">
        <v>256</v>
      </c>
      <c r="H59" s="18"/>
      <c r="I59" s="18"/>
      <c r="J59" s="18"/>
      <c r="K59" s="18"/>
      <c r="L59" s="18"/>
      <c r="M59" s="18"/>
    </row>
    <row r="60" spans="1:13">
      <c r="A60" s="82"/>
      <c r="B60" s="61" t="s">
        <v>255</v>
      </c>
      <c r="C60" s="15" t="s">
        <v>254</v>
      </c>
      <c r="D60" s="146" t="s">
        <v>198</v>
      </c>
      <c r="E60" s="1269">
        <v>42058.333333333336</v>
      </c>
      <c r="F60" s="1270">
        <v>42059.708333333336</v>
      </c>
      <c r="G60" s="145" t="s">
        <v>253</v>
      </c>
      <c r="H60" s="18"/>
      <c r="I60" s="18"/>
      <c r="J60" s="18"/>
      <c r="K60" s="18"/>
      <c r="L60" s="18"/>
      <c r="M60" s="18"/>
    </row>
    <row r="61" spans="1:13">
      <c r="A61" s="82"/>
      <c r="B61" s="61">
        <v>11.3</v>
      </c>
      <c r="C61" s="15" t="s">
        <v>252</v>
      </c>
      <c r="D61" s="146" t="s">
        <v>251</v>
      </c>
      <c r="E61" s="1269">
        <v>42047.333333333336</v>
      </c>
      <c r="F61" s="1270">
        <v>42055.708333333336</v>
      </c>
      <c r="G61" s="1266"/>
      <c r="H61" s="18"/>
      <c r="I61" s="18"/>
      <c r="J61" s="18"/>
      <c r="K61" s="18"/>
      <c r="L61" s="18"/>
      <c r="M61" s="18"/>
    </row>
    <row r="62" spans="1:13">
      <c r="A62" s="82"/>
      <c r="B62" s="61" t="s">
        <v>250</v>
      </c>
      <c r="C62" s="15" t="s">
        <v>249</v>
      </c>
      <c r="D62" s="146" t="s">
        <v>198</v>
      </c>
      <c r="E62" s="1269">
        <v>42058.333333333336</v>
      </c>
      <c r="F62" s="1270">
        <v>42059.708333333336</v>
      </c>
      <c r="G62" s="145" t="s">
        <v>246</v>
      </c>
      <c r="H62" s="18"/>
      <c r="I62" s="18"/>
      <c r="J62" s="18"/>
      <c r="K62" s="18"/>
      <c r="L62" s="18"/>
      <c r="M62" s="18"/>
    </row>
    <row r="63" spans="1:13">
      <c r="A63" s="82"/>
      <c r="B63" s="61" t="s">
        <v>248</v>
      </c>
      <c r="C63" s="15" t="s">
        <v>247</v>
      </c>
      <c r="D63" s="146" t="s">
        <v>198</v>
      </c>
      <c r="E63" s="1269">
        <v>42058.333333333336</v>
      </c>
      <c r="F63" s="1270">
        <v>42059.708333333336</v>
      </c>
      <c r="G63" s="145" t="s">
        <v>246</v>
      </c>
      <c r="H63" s="18"/>
      <c r="I63" s="18"/>
      <c r="J63" s="18"/>
      <c r="K63" s="18"/>
      <c r="L63" s="18"/>
      <c r="M63" s="18"/>
    </row>
    <row r="64" spans="1:13">
      <c r="A64" s="82"/>
      <c r="B64" s="61">
        <v>11.4</v>
      </c>
      <c r="C64" s="15" t="s">
        <v>245</v>
      </c>
      <c r="D64" s="146" t="s">
        <v>238</v>
      </c>
      <c r="E64" s="1269">
        <v>42060.333333333336</v>
      </c>
      <c r="F64" s="1270">
        <v>42060.708333333336</v>
      </c>
      <c r="G64" s="145" t="s">
        <v>244</v>
      </c>
      <c r="H64" s="18"/>
      <c r="I64" s="18"/>
      <c r="J64" s="18"/>
      <c r="K64" s="18"/>
      <c r="L64" s="18"/>
      <c r="M64" s="18"/>
    </row>
    <row r="65" spans="1:13">
      <c r="A65" s="82"/>
      <c r="B65" s="61" t="s">
        <v>243</v>
      </c>
      <c r="C65" s="15" t="s">
        <v>242</v>
      </c>
      <c r="D65" s="146" t="s">
        <v>194</v>
      </c>
      <c r="E65" s="1269">
        <v>42061.333333333336</v>
      </c>
      <c r="F65" s="1270">
        <v>42067.708333333336</v>
      </c>
      <c r="G65" s="145" t="s">
        <v>241</v>
      </c>
      <c r="H65" s="18"/>
      <c r="I65" s="18"/>
      <c r="J65" s="18"/>
      <c r="K65" s="18"/>
      <c r="L65" s="18"/>
      <c r="M65" s="18"/>
    </row>
    <row r="66" spans="1:13">
      <c r="A66" s="82"/>
      <c r="B66" s="61">
        <v>11.5</v>
      </c>
      <c r="C66" s="15" t="s">
        <v>240</v>
      </c>
      <c r="D66" s="146" t="s">
        <v>238</v>
      </c>
      <c r="E66" s="1269">
        <v>42068.333333333336</v>
      </c>
      <c r="F66" s="1270">
        <v>42068.708333333336</v>
      </c>
      <c r="G66" s="145" t="s">
        <v>237</v>
      </c>
      <c r="H66" s="18"/>
      <c r="I66" s="18"/>
      <c r="J66" s="18"/>
      <c r="K66" s="18"/>
      <c r="L66" s="18"/>
      <c r="M66" s="18"/>
    </row>
    <row r="67" spans="1:13">
      <c r="A67" s="82"/>
      <c r="B67" s="61">
        <v>11.6</v>
      </c>
      <c r="C67" s="15" t="s">
        <v>239</v>
      </c>
      <c r="D67" s="146" t="s">
        <v>238</v>
      </c>
      <c r="E67" s="1269">
        <v>42068.333333333336</v>
      </c>
      <c r="F67" s="1270">
        <v>42068.708333333336</v>
      </c>
      <c r="G67" s="145" t="s">
        <v>237</v>
      </c>
      <c r="H67" s="18"/>
      <c r="I67" s="18"/>
      <c r="J67" s="18"/>
      <c r="K67" s="18"/>
      <c r="L67" s="18"/>
      <c r="M67" s="18"/>
    </row>
    <row r="68" spans="1:13">
      <c r="A68" s="82"/>
      <c r="B68" s="61">
        <v>11.7</v>
      </c>
      <c r="C68" s="15" t="s">
        <v>236</v>
      </c>
      <c r="D68" s="146" t="s">
        <v>205</v>
      </c>
      <c r="E68" s="1269">
        <v>42069.333333333336</v>
      </c>
      <c r="F68" s="1270">
        <v>42110.708333333336</v>
      </c>
      <c r="G68" s="145" t="s">
        <v>221</v>
      </c>
      <c r="H68" s="18"/>
      <c r="I68" s="18"/>
      <c r="J68" s="18"/>
      <c r="K68" s="18"/>
      <c r="L68" s="18"/>
      <c r="M68" s="18"/>
    </row>
    <row r="69" spans="1:13">
      <c r="A69" s="82"/>
      <c r="B69" s="61">
        <v>11.8</v>
      </c>
      <c r="C69" s="15" t="s">
        <v>235</v>
      </c>
      <c r="D69" s="146" t="s">
        <v>222</v>
      </c>
      <c r="E69" s="1269">
        <v>42111.333333333336</v>
      </c>
      <c r="F69" s="1270">
        <v>42124.708333333336</v>
      </c>
      <c r="G69" s="145" t="s">
        <v>234</v>
      </c>
      <c r="H69" s="18"/>
      <c r="I69" s="18"/>
      <c r="J69" s="18"/>
      <c r="K69" s="18"/>
      <c r="L69" s="18"/>
      <c r="M69" s="18"/>
    </row>
    <row r="70" spans="1:13">
      <c r="A70" s="82"/>
      <c r="B70" s="148">
        <v>11.9</v>
      </c>
      <c r="C70" s="15" t="s">
        <v>233</v>
      </c>
      <c r="D70" s="146" t="s">
        <v>205</v>
      </c>
      <c r="E70" s="1269">
        <v>42069.333333333336</v>
      </c>
      <c r="F70" s="1270">
        <v>42110.708333333336</v>
      </c>
      <c r="G70" s="145" t="s">
        <v>221</v>
      </c>
      <c r="H70" s="18"/>
      <c r="I70" s="18"/>
      <c r="J70" s="18"/>
      <c r="K70" s="18"/>
      <c r="L70" s="18"/>
      <c r="M70" s="18"/>
    </row>
    <row r="71" spans="1:13">
      <c r="A71" s="82"/>
      <c r="B71" s="61" t="s">
        <v>232</v>
      </c>
      <c r="C71" s="15" t="s">
        <v>231</v>
      </c>
      <c r="D71" s="146" t="s">
        <v>222</v>
      </c>
      <c r="E71" s="1269">
        <v>42111.333333333336</v>
      </c>
      <c r="F71" s="1270">
        <v>42124.708333333336</v>
      </c>
      <c r="G71" s="145" t="s">
        <v>230</v>
      </c>
      <c r="H71" s="18"/>
      <c r="I71" s="18"/>
      <c r="J71" s="18"/>
      <c r="K71" s="18"/>
      <c r="L71" s="18"/>
      <c r="M71" s="18"/>
    </row>
    <row r="72" spans="1:13">
      <c r="A72" s="82"/>
      <c r="B72" s="147">
        <v>11.1</v>
      </c>
      <c r="C72" s="15" t="s">
        <v>229</v>
      </c>
      <c r="D72" s="146" t="s">
        <v>228</v>
      </c>
      <c r="E72" s="1269">
        <v>42069.333333333336</v>
      </c>
      <c r="F72" s="1270">
        <v>42124.708333333336</v>
      </c>
      <c r="G72" s="145" t="s">
        <v>221</v>
      </c>
      <c r="H72" s="18"/>
      <c r="I72" s="18"/>
      <c r="J72" s="18"/>
      <c r="K72" s="18"/>
      <c r="L72" s="18"/>
      <c r="M72" s="18"/>
    </row>
    <row r="73" spans="1:13">
      <c r="A73" s="82"/>
      <c r="B73" s="61">
        <v>11.11</v>
      </c>
      <c r="C73" s="15" t="s">
        <v>227</v>
      </c>
      <c r="D73" s="146" t="s">
        <v>226</v>
      </c>
      <c r="E73" s="1269">
        <v>42069.333333333336</v>
      </c>
      <c r="F73" s="1270">
        <v>42194.708333333336</v>
      </c>
      <c r="G73" s="145" t="s">
        <v>225</v>
      </c>
      <c r="H73" s="18"/>
      <c r="I73" s="18"/>
      <c r="J73" s="18"/>
      <c r="K73" s="18"/>
      <c r="L73" s="18"/>
      <c r="M73" s="18"/>
    </row>
    <row r="74" spans="1:13">
      <c r="A74" s="82"/>
      <c r="B74" s="61" t="s">
        <v>224</v>
      </c>
      <c r="C74" s="15" t="s">
        <v>223</v>
      </c>
      <c r="D74" s="146" t="s">
        <v>222</v>
      </c>
      <c r="E74" s="1269">
        <v>42069.333333333336</v>
      </c>
      <c r="F74" s="1270">
        <v>42082.708333333336</v>
      </c>
      <c r="G74" s="145" t="s">
        <v>221</v>
      </c>
      <c r="H74" s="18"/>
      <c r="I74" s="18"/>
      <c r="J74" s="18"/>
      <c r="K74" s="18"/>
      <c r="L74" s="18"/>
      <c r="M74" s="18"/>
    </row>
    <row r="75" spans="1:13">
      <c r="A75" s="82"/>
      <c r="B75" s="61" t="s">
        <v>220</v>
      </c>
      <c r="C75" s="15" t="s">
        <v>219</v>
      </c>
      <c r="D75" s="146" t="s">
        <v>218</v>
      </c>
      <c r="E75" s="1269">
        <v>42083.333333333336</v>
      </c>
      <c r="F75" s="1270">
        <v>42194.708333333336</v>
      </c>
      <c r="G75" s="145" t="s">
        <v>217</v>
      </c>
      <c r="H75" s="18"/>
      <c r="I75" s="18"/>
      <c r="J75" s="18"/>
      <c r="K75" s="18"/>
      <c r="L75" s="18"/>
      <c r="M75" s="18"/>
    </row>
    <row r="76" spans="1:13">
      <c r="A76" s="82"/>
      <c r="B76" s="61">
        <v>11.12</v>
      </c>
      <c r="C76" s="15" t="s">
        <v>216</v>
      </c>
      <c r="D76" s="146" t="s">
        <v>215</v>
      </c>
      <c r="E76" s="1269">
        <v>42125.333333333336</v>
      </c>
      <c r="F76" s="1270">
        <v>42125.333333333336</v>
      </c>
      <c r="G76" s="145" t="s">
        <v>214</v>
      </c>
      <c r="H76" s="18"/>
      <c r="I76" s="18"/>
      <c r="J76" s="18"/>
      <c r="K76" s="18"/>
      <c r="L76" s="18"/>
      <c r="M76" s="18"/>
    </row>
    <row r="77" spans="1:13">
      <c r="A77" s="82"/>
      <c r="B77" s="61" t="s">
        <v>213</v>
      </c>
      <c r="C77" s="15" t="s">
        <v>212</v>
      </c>
      <c r="D77" s="146" t="s">
        <v>205</v>
      </c>
      <c r="E77" s="1269">
        <v>42125.333333333336</v>
      </c>
      <c r="F77" s="1270">
        <v>42166.708333333336</v>
      </c>
      <c r="G77" s="145" t="s">
        <v>211</v>
      </c>
      <c r="H77" s="18"/>
      <c r="I77" s="18"/>
      <c r="J77" s="18"/>
      <c r="K77" s="18"/>
      <c r="L77" s="18"/>
      <c r="M77" s="18"/>
    </row>
    <row r="78" spans="1:13">
      <c r="A78" s="82"/>
      <c r="B78" s="61" t="s">
        <v>210</v>
      </c>
      <c r="C78" s="15" t="s">
        <v>209</v>
      </c>
      <c r="D78" s="146" t="s">
        <v>205</v>
      </c>
      <c r="E78" s="1269">
        <v>42167.333333333336</v>
      </c>
      <c r="F78" s="1270">
        <v>42208.708333333336</v>
      </c>
      <c r="G78" s="145" t="s">
        <v>208</v>
      </c>
      <c r="H78" s="18"/>
      <c r="I78" s="18"/>
      <c r="J78" s="18"/>
      <c r="K78" s="18"/>
      <c r="L78" s="18"/>
      <c r="M78" s="18"/>
    </row>
    <row r="79" spans="1:13">
      <c r="A79" s="82"/>
      <c r="B79" s="61" t="s">
        <v>207</v>
      </c>
      <c r="C79" s="15" t="s">
        <v>206</v>
      </c>
      <c r="D79" s="146" t="s">
        <v>205</v>
      </c>
      <c r="E79" s="1269">
        <v>42209.333333333336</v>
      </c>
      <c r="F79" s="1270">
        <v>42250.708333333336</v>
      </c>
      <c r="G79" s="145" t="s">
        <v>204</v>
      </c>
      <c r="H79" s="18"/>
      <c r="I79" s="18"/>
      <c r="J79" s="18"/>
      <c r="K79" s="18"/>
      <c r="L79" s="18"/>
      <c r="M79" s="18"/>
    </row>
    <row r="80" spans="1:13">
      <c r="A80" s="82"/>
      <c r="B80" s="61" t="s">
        <v>203</v>
      </c>
      <c r="C80" s="15" t="s">
        <v>202</v>
      </c>
      <c r="D80" s="146" t="s">
        <v>198</v>
      </c>
      <c r="E80" s="1269">
        <v>42251.333333333336</v>
      </c>
      <c r="F80" s="1270">
        <v>42254.708333333336</v>
      </c>
      <c r="G80" s="145" t="s">
        <v>201</v>
      </c>
      <c r="H80" s="18"/>
      <c r="I80" s="18"/>
      <c r="J80" s="18"/>
      <c r="K80" s="18"/>
      <c r="L80" s="18"/>
      <c r="M80" s="18"/>
    </row>
    <row r="81" spans="1:13">
      <c r="A81" s="82"/>
      <c r="B81" s="61" t="s">
        <v>200</v>
      </c>
      <c r="C81" s="15" t="s">
        <v>199</v>
      </c>
      <c r="D81" s="146" t="s">
        <v>198</v>
      </c>
      <c r="E81" s="1269">
        <v>42255.333333333336</v>
      </c>
      <c r="F81" s="1270">
        <v>42256.708333333336</v>
      </c>
      <c r="G81" s="145" t="s">
        <v>197</v>
      </c>
      <c r="H81" s="18"/>
      <c r="I81" s="18"/>
      <c r="J81" s="18"/>
      <c r="K81" s="18"/>
      <c r="L81" s="18"/>
      <c r="M81" s="18"/>
    </row>
    <row r="82" spans="1:13">
      <c r="A82" s="82"/>
      <c r="B82" s="61" t="s">
        <v>196</v>
      </c>
      <c r="C82" s="15" t="s">
        <v>195</v>
      </c>
      <c r="D82" s="146" t="s">
        <v>194</v>
      </c>
      <c r="E82" s="1269">
        <v>42257.333333333336</v>
      </c>
      <c r="F82" s="1270">
        <v>42263.708333333336</v>
      </c>
      <c r="G82" s="145" t="s">
        <v>193</v>
      </c>
      <c r="H82" s="18"/>
      <c r="I82" s="18"/>
      <c r="J82" s="18"/>
      <c r="K82" s="18"/>
      <c r="L82" s="18"/>
      <c r="M82" s="18"/>
    </row>
    <row r="83" spans="1:13">
      <c r="A83" s="56"/>
      <c r="B83" s="18"/>
      <c r="C83" s="18"/>
      <c r="D83" s="18"/>
      <c r="E83" s="18"/>
      <c r="F83" s="18"/>
      <c r="G83" s="18"/>
      <c r="H83" s="18"/>
      <c r="I83" s="18"/>
      <c r="J83" s="18"/>
      <c r="K83" s="18"/>
      <c r="L83" s="18"/>
    </row>
    <row r="84" spans="1:13">
      <c r="A84" s="56"/>
      <c r="B84" s="18"/>
      <c r="C84" s="18"/>
      <c r="D84" s="18"/>
      <c r="E84" s="18"/>
      <c r="F84" s="18"/>
      <c r="G84" s="18"/>
      <c r="H84" s="18"/>
      <c r="I84" s="18"/>
      <c r="J84" s="18"/>
      <c r="K84" s="18"/>
      <c r="L84" s="18"/>
    </row>
    <row r="85" spans="1:13">
      <c r="A85" s="56"/>
      <c r="B85" s="18"/>
      <c r="C85" s="18"/>
      <c r="D85" s="18"/>
      <c r="E85" s="18"/>
      <c r="F85" s="18"/>
      <c r="G85" s="18"/>
      <c r="H85" s="18"/>
      <c r="I85" s="18"/>
      <c r="J85" s="18"/>
      <c r="K85" s="18"/>
      <c r="L85" s="18"/>
    </row>
    <row r="86" spans="1:13">
      <c r="A86" s="56"/>
      <c r="B86" s="18"/>
      <c r="C86" s="18"/>
      <c r="D86" s="18"/>
      <c r="E86" s="18"/>
      <c r="F86" s="18"/>
      <c r="G86" s="18"/>
      <c r="H86" s="18"/>
      <c r="I86" s="18"/>
      <c r="J86" s="18"/>
      <c r="K86" s="18"/>
      <c r="L86" s="18"/>
    </row>
    <row r="87" spans="1:13">
      <c r="A87" s="56"/>
      <c r="B87" s="78"/>
      <c r="C87" s="18"/>
      <c r="D87" s="18"/>
      <c r="E87" s="18"/>
      <c r="F87" s="18"/>
      <c r="G87" s="18"/>
      <c r="H87" s="18"/>
      <c r="I87" s="18"/>
      <c r="J87" s="18"/>
      <c r="K87" s="18"/>
      <c r="L87" s="18"/>
    </row>
    <row r="88" spans="1:13">
      <c r="A88" s="56"/>
      <c r="B88" s="18"/>
      <c r="C88" s="18"/>
      <c r="D88" s="18"/>
      <c r="E88" s="18"/>
      <c r="F88" s="18"/>
      <c r="G88" s="18"/>
      <c r="H88" s="18"/>
      <c r="I88" s="18"/>
      <c r="J88" s="18"/>
      <c r="K88" s="18"/>
      <c r="L88" s="18"/>
    </row>
    <row r="89" spans="1:13">
      <c r="A89" s="56"/>
      <c r="B89" s="18"/>
      <c r="C89" s="18"/>
      <c r="D89" s="18"/>
      <c r="E89" s="18"/>
      <c r="F89" s="18"/>
      <c r="G89" s="18"/>
      <c r="H89" s="18"/>
      <c r="I89" s="18"/>
      <c r="J89" s="18"/>
      <c r="K89" s="18"/>
      <c r="L89" s="18"/>
    </row>
    <row r="90" spans="1:13">
      <c r="A90" s="56"/>
      <c r="B90" s="18"/>
      <c r="C90" s="18"/>
      <c r="D90" s="18"/>
      <c r="E90" s="18"/>
      <c r="F90" s="18"/>
      <c r="G90" s="18"/>
      <c r="H90" s="18"/>
      <c r="I90" s="18"/>
      <c r="J90" s="18"/>
      <c r="K90" s="18"/>
      <c r="L90" s="18"/>
    </row>
    <row r="91" spans="1:13">
      <c r="A91" s="56"/>
      <c r="B91" s="18"/>
      <c r="C91" s="18"/>
      <c r="D91" s="18"/>
      <c r="E91" s="18"/>
      <c r="F91" s="18"/>
      <c r="G91" s="18"/>
      <c r="H91" s="18"/>
      <c r="I91" s="18"/>
      <c r="J91" s="18"/>
      <c r="K91" s="18"/>
      <c r="L91" s="18"/>
    </row>
    <row r="93" spans="1:13">
      <c r="B93" s="141"/>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2021-08-12T03:36:22Z</dcterms:modified>
</cp:coreProperties>
</file>