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63\Downloads\"/>
    </mc:Choice>
  </mc:AlternateContent>
  <xr:revisionPtr revIDLastSave="0" documentId="13_ncr:1_{6CCA1FB8-5BC8-4AE4-B781-2DF12D8097AD}" xr6:coauthVersionLast="47" xr6:coauthVersionMax="47" xr10:uidLastSave="{00000000-0000-0000-0000-000000000000}"/>
  <bookViews>
    <workbookView xWindow="-108" yWindow="-108" windowWidth="23256" windowHeight="12456" xr2:uid="{5CB2EABA-71F8-4221-8F8E-678FCC0C96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X2" i="1"/>
  <c r="W2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I49" i="1"/>
  <c r="G49" i="1"/>
  <c r="M49" i="1"/>
  <c r="L49" i="1"/>
  <c r="K49" i="1"/>
  <c r="I48" i="1"/>
  <c r="G48" i="1"/>
  <c r="M48" i="1"/>
  <c r="L48" i="1"/>
  <c r="K48" i="1"/>
  <c r="N48" i="1" s="1"/>
  <c r="I47" i="1"/>
  <c r="J47" i="1" s="1"/>
  <c r="G47" i="1"/>
  <c r="H47" i="1" s="1"/>
  <c r="T47" i="1" s="1"/>
  <c r="M47" i="1"/>
  <c r="L47" i="1"/>
  <c r="K47" i="1"/>
  <c r="I46" i="1"/>
  <c r="G46" i="1"/>
  <c r="H46" i="1" s="1"/>
  <c r="T46" i="1" s="1"/>
  <c r="M46" i="1"/>
  <c r="L46" i="1"/>
  <c r="K46" i="1"/>
  <c r="I45" i="1"/>
  <c r="G45" i="1"/>
  <c r="H45" i="1" s="1"/>
  <c r="M45" i="1"/>
  <c r="L45" i="1"/>
  <c r="N45" i="1" s="1"/>
  <c r="K45" i="1"/>
  <c r="I44" i="1"/>
  <c r="G44" i="1"/>
  <c r="M44" i="1"/>
  <c r="L44" i="1"/>
  <c r="K44" i="1"/>
  <c r="I43" i="1"/>
  <c r="J43" i="1" s="1"/>
  <c r="G43" i="1"/>
  <c r="H43" i="1" s="1"/>
  <c r="M43" i="1"/>
  <c r="L43" i="1"/>
  <c r="K43" i="1"/>
  <c r="I42" i="1"/>
  <c r="J42" i="1" s="1"/>
  <c r="G42" i="1"/>
  <c r="M42" i="1"/>
  <c r="L42" i="1"/>
  <c r="K42" i="1"/>
  <c r="N42" i="1" s="1"/>
  <c r="I41" i="1"/>
  <c r="G41" i="1"/>
  <c r="M41" i="1"/>
  <c r="L41" i="1"/>
  <c r="R41" i="1" s="1"/>
  <c r="K41" i="1"/>
  <c r="I40" i="1"/>
  <c r="J40" i="1" s="1"/>
  <c r="G40" i="1"/>
  <c r="H40" i="1" s="1"/>
  <c r="T40" i="1" s="1"/>
  <c r="M40" i="1"/>
  <c r="L40" i="1"/>
  <c r="K40" i="1"/>
  <c r="I39" i="1"/>
  <c r="G39" i="1"/>
  <c r="H39" i="1" s="1"/>
  <c r="T39" i="1" s="1"/>
  <c r="M39" i="1"/>
  <c r="L39" i="1"/>
  <c r="K39" i="1"/>
  <c r="I38" i="1"/>
  <c r="J38" i="1" s="1"/>
  <c r="G38" i="1"/>
  <c r="M38" i="1"/>
  <c r="L38" i="1"/>
  <c r="K38" i="1"/>
  <c r="I37" i="1"/>
  <c r="G37" i="1"/>
  <c r="M37" i="1"/>
  <c r="L37" i="1"/>
  <c r="N37" i="1" s="1"/>
  <c r="K37" i="1"/>
  <c r="I36" i="1"/>
  <c r="G36" i="1"/>
  <c r="M36" i="1"/>
  <c r="L36" i="1"/>
  <c r="K36" i="1"/>
  <c r="R36" i="1" s="1"/>
  <c r="I35" i="1"/>
  <c r="J35" i="1" s="1"/>
  <c r="G35" i="1"/>
  <c r="M35" i="1"/>
  <c r="L35" i="1"/>
  <c r="K35" i="1"/>
  <c r="I34" i="1"/>
  <c r="J34" i="1" s="1"/>
  <c r="G34" i="1"/>
  <c r="M34" i="1"/>
  <c r="L34" i="1"/>
  <c r="K34" i="1"/>
  <c r="R34" i="1" s="1"/>
  <c r="I33" i="1"/>
  <c r="G33" i="1"/>
  <c r="H33" i="1" s="1"/>
  <c r="Q33" i="1" s="1"/>
  <c r="M33" i="1"/>
  <c r="L33" i="1"/>
  <c r="R33" i="1" s="1"/>
  <c r="K33" i="1"/>
  <c r="I32" i="1"/>
  <c r="J32" i="1" s="1"/>
  <c r="G32" i="1"/>
  <c r="M32" i="1"/>
  <c r="L32" i="1"/>
  <c r="K32" i="1"/>
  <c r="I31" i="1"/>
  <c r="G31" i="1"/>
  <c r="H31" i="1" s="1"/>
  <c r="M31" i="1"/>
  <c r="L31" i="1"/>
  <c r="K31" i="1"/>
  <c r="I30" i="1"/>
  <c r="J30" i="1" s="1"/>
  <c r="G30" i="1"/>
  <c r="M30" i="1"/>
  <c r="L30" i="1"/>
  <c r="K30" i="1"/>
  <c r="N30" i="1" s="1"/>
  <c r="I29" i="1"/>
  <c r="J29" i="1" s="1"/>
  <c r="G29" i="1"/>
  <c r="M29" i="1"/>
  <c r="L29" i="1"/>
  <c r="N29" i="1" s="1"/>
  <c r="K29" i="1"/>
  <c r="I28" i="1"/>
  <c r="J28" i="1" s="1"/>
  <c r="G28" i="1"/>
  <c r="H28" i="1" s="1"/>
  <c r="M28" i="1"/>
  <c r="L28" i="1"/>
  <c r="K28" i="1"/>
  <c r="I27" i="1"/>
  <c r="G27" i="1"/>
  <c r="H27" i="1" s="1"/>
  <c r="M27" i="1"/>
  <c r="L27" i="1"/>
  <c r="K27" i="1"/>
  <c r="N27" i="1" s="1"/>
  <c r="I26" i="1"/>
  <c r="J26" i="1" s="1"/>
  <c r="G26" i="1"/>
  <c r="M26" i="1"/>
  <c r="L26" i="1"/>
  <c r="K26" i="1"/>
  <c r="R26" i="1" s="1"/>
  <c r="I25" i="1"/>
  <c r="G25" i="1"/>
  <c r="M25" i="1"/>
  <c r="L25" i="1"/>
  <c r="R25" i="1" s="1"/>
  <c r="K25" i="1"/>
  <c r="I24" i="1"/>
  <c r="J24" i="1" s="1"/>
  <c r="G24" i="1"/>
  <c r="H24" i="1" s="1"/>
  <c r="M24" i="1"/>
  <c r="L24" i="1"/>
  <c r="K24" i="1"/>
  <c r="R24" i="1" s="1"/>
  <c r="I23" i="1"/>
  <c r="G23" i="1"/>
  <c r="H23" i="1" s="1"/>
  <c r="T23" i="1" s="1"/>
  <c r="M23" i="1"/>
  <c r="L23" i="1"/>
  <c r="K23" i="1"/>
  <c r="N23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I22" i="1"/>
  <c r="J22" i="1" s="1"/>
  <c r="G22" i="1"/>
  <c r="H22" i="1" s="1"/>
  <c r="L22" i="1"/>
  <c r="K22" i="1"/>
  <c r="I21" i="1"/>
  <c r="J21" i="1" s="1"/>
  <c r="G21" i="1"/>
  <c r="H21" i="1" s="1"/>
  <c r="L21" i="1"/>
  <c r="K21" i="1"/>
  <c r="I20" i="1"/>
  <c r="J20" i="1" s="1"/>
  <c r="G20" i="1"/>
  <c r="H20" i="1" s="1"/>
  <c r="L20" i="1"/>
  <c r="K20" i="1"/>
  <c r="I19" i="1"/>
  <c r="J19" i="1" s="1"/>
  <c r="G19" i="1"/>
  <c r="H19" i="1" s="1"/>
  <c r="L19" i="1"/>
  <c r="K19" i="1"/>
  <c r="N19" i="1" s="1"/>
  <c r="I18" i="1"/>
  <c r="J18" i="1" s="1"/>
  <c r="G18" i="1"/>
  <c r="H18" i="1" s="1"/>
  <c r="L18" i="1"/>
  <c r="K18" i="1"/>
  <c r="I17" i="1"/>
  <c r="J17" i="1" s="1"/>
  <c r="G17" i="1"/>
  <c r="H17" i="1" s="1"/>
  <c r="L17" i="1"/>
  <c r="K17" i="1"/>
  <c r="I16" i="1"/>
  <c r="G16" i="1"/>
  <c r="H16" i="1" s="1"/>
  <c r="L16" i="1"/>
  <c r="K16" i="1"/>
  <c r="N16" i="1" s="1"/>
  <c r="I15" i="1"/>
  <c r="J15" i="1" s="1"/>
  <c r="G15" i="1"/>
  <c r="H15" i="1" s="1"/>
  <c r="L15" i="1"/>
  <c r="K15" i="1"/>
  <c r="I14" i="1"/>
  <c r="J14" i="1" s="1"/>
  <c r="G14" i="1"/>
  <c r="H14" i="1" s="1"/>
  <c r="L14" i="1"/>
  <c r="K14" i="1"/>
  <c r="I13" i="1"/>
  <c r="J13" i="1" s="1"/>
  <c r="G13" i="1"/>
  <c r="L13" i="1"/>
  <c r="K13" i="1"/>
  <c r="I12" i="1"/>
  <c r="J12" i="1" s="1"/>
  <c r="G12" i="1"/>
  <c r="H12" i="1" s="1"/>
  <c r="L12" i="1"/>
  <c r="K12" i="1"/>
  <c r="I11" i="1"/>
  <c r="J11" i="1" s="1"/>
  <c r="G11" i="1"/>
  <c r="H11" i="1" s="1"/>
  <c r="L11" i="1"/>
  <c r="K11" i="1"/>
  <c r="I10" i="1"/>
  <c r="J10" i="1" s="1"/>
  <c r="G10" i="1"/>
  <c r="H10" i="1" s="1"/>
  <c r="T10" i="1" s="1"/>
  <c r="L10" i="1"/>
  <c r="K10" i="1"/>
  <c r="I9" i="1"/>
  <c r="J9" i="1" s="1"/>
  <c r="G9" i="1"/>
  <c r="H9" i="1" s="1"/>
  <c r="L9" i="1"/>
  <c r="K9" i="1"/>
  <c r="N4" i="1"/>
  <c r="N24" i="1"/>
  <c r="N32" i="1"/>
  <c r="N33" i="1"/>
  <c r="N39" i="1"/>
  <c r="N40" i="1"/>
  <c r="N41" i="1"/>
  <c r="N44" i="1"/>
  <c r="N47" i="1"/>
  <c r="G8" i="1"/>
  <c r="H8" i="1" s="1"/>
  <c r="I8" i="1"/>
  <c r="J8" i="1" s="1"/>
  <c r="L8" i="1"/>
  <c r="K8" i="1"/>
  <c r="I7" i="1"/>
  <c r="J7" i="1" s="1"/>
  <c r="G7" i="1"/>
  <c r="H7" i="1" s="1"/>
  <c r="L7" i="1"/>
  <c r="K7" i="1"/>
  <c r="I6" i="1"/>
  <c r="J6" i="1" s="1"/>
  <c r="G6" i="1"/>
  <c r="H6" i="1" s="1"/>
  <c r="I5" i="1"/>
  <c r="J5" i="1" s="1"/>
  <c r="G5" i="1"/>
  <c r="H5" i="1" s="1"/>
  <c r="G4" i="1"/>
  <c r="H4" i="1" s="1"/>
  <c r="Q4" i="1" s="1"/>
  <c r="I2" i="1"/>
  <c r="J2" i="1" s="1"/>
  <c r="I4" i="1"/>
  <c r="J4" i="1" s="1"/>
  <c r="G3" i="1"/>
  <c r="H3" i="1" s="1"/>
  <c r="I3" i="1"/>
  <c r="J3" i="1" s="1"/>
  <c r="J16" i="1"/>
  <c r="J23" i="1"/>
  <c r="J25" i="1"/>
  <c r="J27" i="1"/>
  <c r="J31" i="1"/>
  <c r="J33" i="1"/>
  <c r="J36" i="1"/>
  <c r="J37" i="1"/>
  <c r="J39" i="1"/>
  <c r="J41" i="1"/>
  <c r="J44" i="1"/>
  <c r="J45" i="1"/>
  <c r="J46" i="1"/>
  <c r="J48" i="1"/>
  <c r="J49" i="1"/>
  <c r="H13" i="1"/>
  <c r="T13" i="1" s="1"/>
  <c r="H25" i="1"/>
  <c r="H26" i="1"/>
  <c r="H29" i="1"/>
  <c r="Q29" i="1" s="1"/>
  <c r="H30" i="1"/>
  <c r="T30" i="1" s="1"/>
  <c r="H32" i="1"/>
  <c r="H34" i="1"/>
  <c r="H35" i="1"/>
  <c r="H36" i="1"/>
  <c r="H37" i="1"/>
  <c r="P37" i="1" s="1"/>
  <c r="H38" i="1"/>
  <c r="H41" i="1"/>
  <c r="H42" i="1"/>
  <c r="H44" i="1"/>
  <c r="H48" i="1"/>
  <c r="H49" i="1"/>
  <c r="T49" i="1" s="1"/>
  <c r="G2" i="1"/>
  <c r="H2" i="1" s="1"/>
  <c r="L6" i="1"/>
  <c r="K6" i="1"/>
  <c r="L5" i="1"/>
  <c r="K5" i="1"/>
  <c r="R4" i="1"/>
  <c r="R23" i="1"/>
  <c r="R27" i="1"/>
  <c r="R32" i="1"/>
  <c r="R39" i="1"/>
  <c r="R40" i="1"/>
  <c r="R42" i="1"/>
  <c r="R44" i="1"/>
  <c r="R47" i="1"/>
  <c r="K3" i="1"/>
  <c r="L3" i="1"/>
  <c r="K2" i="1"/>
  <c r="L2" i="1"/>
  <c r="N38" i="1" l="1"/>
  <c r="R31" i="1"/>
  <c r="R38" i="1"/>
  <c r="Q31" i="1"/>
  <c r="N43" i="1"/>
  <c r="R30" i="1"/>
  <c r="N26" i="1"/>
  <c r="T45" i="1"/>
  <c r="R45" i="1"/>
  <c r="Q43" i="1"/>
  <c r="P24" i="1"/>
  <c r="R49" i="1"/>
  <c r="T16" i="1"/>
  <c r="R43" i="1"/>
  <c r="R29" i="1"/>
  <c r="Q48" i="1"/>
  <c r="Q34" i="1"/>
  <c r="N46" i="1"/>
  <c r="N36" i="1"/>
  <c r="P44" i="1"/>
  <c r="N49" i="1"/>
  <c r="S49" i="1" s="1"/>
  <c r="N34" i="1"/>
  <c r="S34" i="1" s="1"/>
  <c r="P42" i="1"/>
  <c r="T41" i="1"/>
  <c r="N31" i="1"/>
  <c r="S31" i="1" s="1"/>
  <c r="R48" i="1"/>
  <c r="P38" i="1"/>
  <c r="P26" i="1"/>
  <c r="P20" i="1"/>
  <c r="P36" i="1"/>
  <c r="T8" i="1"/>
  <c r="P32" i="1"/>
  <c r="N6" i="1"/>
  <c r="N8" i="1"/>
  <c r="S8" i="1" s="1"/>
  <c r="N25" i="1"/>
  <c r="S25" i="1" s="1"/>
  <c r="R37" i="1"/>
  <c r="R46" i="1"/>
  <c r="R35" i="1"/>
  <c r="N35" i="1"/>
  <c r="Q35" i="1"/>
  <c r="R28" i="1"/>
  <c r="N28" i="1"/>
  <c r="Q28" i="1"/>
  <c r="P25" i="1"/>
  <c r="Q32" i="1"/>
  <c r="P11" i="1"/>
  <c r="P17" i="1"/>
  <c r="P9" i="1"/>
  <c r="P15" i="1"/>
  <c r="P18" i="1"/>
  <c r="T2" i="1"/>
  <c r="P12" i="1"/>
  <c r="P21" i="1"/>
  <c r="P2" i="1"/>
  <c r="P4" i="1"/>
  <c r="P10" i="1"/>
  <c r="P13" i="1"/>
  <c r="P22" i="1"/>
  <c r="P3" i="1"/>
  <c r="N5" i="1"/>
  <c r="S5" i="1" s="1"/>
  <c r="P7" i="1"/>
  <c r="P41" i="1"/>
  <c r="P35" i="1"/>
  <c r="P23" i="1"/>
  <c r="T19" i="1"/>
  <c r="T22" i="1"/>
  <c r="P40" i="1"/>
  <c r="P34" i="1"/>
  <c r="P33" i="1"/>
  <c r="T11" i="1"/>
  <c r="O33" i="1"/>
  <c r="N11" i="1"/>
  <c r="S11" i="1" s="1"/>
  <c r="R14" i="1"/>
  <c r="N20" i="1"/>
  <c r="S20" i="1" s="1"/>
  <c r="Q40" i="1"/>
  <c r="T14" i="1"/>
  <c r="P48" i="1"/>
  <c r="P30" i="1"/>
  <c r="P19" i="1"/>
  <c r="P49" i="1"/>
  <c r="P47" i="1"/>
  <c r="P29" i="1"/>
  <c r="P6" i="1"/>
  <c r="P8" i="1"/>
  <c r="P46" i="1"/>
  <c r="P28" i="1"/>
  <c r="P5" i="1"/>
  <c r="R19" i="1"/>
  <c r="S27" i="1"/>
  <c r="P45" i="1"/>
  <c r="P39" i="1"/>
  <c r="P27" i="1"/>
  <c r="P16" i="1"/>
  <c r="P31" i="1"/>
  <c r="R16" i="1"/>
  <c r="T5" i="1"/>
  <c r="P43" i="1"/>
  <c r="P14" i="1"/>
  <c r="N14" i="1"/>
  <c r="S14" i="1" s="1"/>
  <c r="T17" i="1"/>
  <c r="T20" i="1"/>
  <c r="S37" i="1"/>
  <c r="N12" i="1"/>
  <c r="S12" i="1" s="1"/>
  <c r="N18" i="1"/>
  <c r="S18" i="1" s="1"/>
  <c r="R21" i="1"/>
  <c r="T9" i="1"/>
  <c r="T15" i="1"/>
  <c r="T6" i="1"/>
  <c r="S32" i="1"/>
  <c r="Q12" i="1"/>
  <c r="T12" i="1"/>
  <c r="Q21" i="1"/>
  <c r="T21" i="1"/>
  <c r="T29" i="1"/>
  <c r="S47" i="1"/>
  <c r="S29" i="1"/>
  <c r="N15" i="1"/>
  <c r="S15" i="1" s="1"/>
  <c r="T7" i="1"/>
  <c r="R10" i="1"/>
  <c r="T35" i="1"/>
  <c r="T34" i="1"/>
  <c r="R12" i="1"/>
  <c r="T33" i="1"/>
  <c r="T48" i="1"/>
  <c r="T32" i="1"/>
  <c r="T31" i="1"/>
  <c r="O22" i="1"/>
  <c r="Q18" i="1"/>
  <c r="T18" i="1"/>
  <c r="R20" i="1"/>
  <c r="O26" i="1"/>
  <c r="O42" i="1"/>
  <c r="R15" i="1"/>
  <c r="N3" i="1"/>
  <c r="S3" i="1" s="1"/>
  <c r="T28" i="1"/>
  <c r="O38" i="1"/>
  <c r="O48" i="1"/>
  <c r="O8" i="1"/>
  <c r="N21" i="1"/>
  <c r="S21" i="1" s="1"/>
  <c r="T27" i="1"/>
  <c r="T4" i="1"/>
  <c r="O44" i="1"/>
  <c r="R18" i="1"/>
  <c r="O24" i="1"/>
  <c r="S24" i="1"/>
  <c r="R17" i="1"/>
  <c r="T44" i="1"/>
  <c r="T38" i="1"/>
  <c r="T26" i="1"/>
  <c r="T3" i="1"/>
  <c r="Q25" i="1"/>
  <c r="N10" i="1"/>
  <c r="S10" i="1" s="1"/>
  <c r="T43" i="1"/>
  <c r="T37" i="1"/>
  <c r="T25" i="1"/>
  <c r="O36" i="1"/>
  <c r="T42" i="1"/>
  <c r="T36" i="1"/>
  <c r="T24" i="1"/>
  <c r="Q22" i="1"/>
  <c r="R22" i="1"/>
  <c r="N22" i="1"/>
  <c r="S22" i="1" s="1"/>
  <c r="N17" i="1"/>
  <c r="S17" i="1" s="1"/>
  <c r="S16" i="1"/>
  <c r="O15" i="1"/>
  <c r="R13" i="1"/>
  <c r="N13" i="1"/>
  <c r="S13" i="1" s="1"/>
  <c r="Q13" i="1"/>
  <c r="Q11" i="1"/>
  <c r="S41" i="1"/>
  <c r="N2" i="1"/>
  <c r="S2" i="1" s="1"/>
  <c r="O37" i="1"/>
  <c r="Q24" i="1"/>
  <c r="S40" i="1"/>
  <c r="Q20" i="1"/>
  <c r="Q37" i="1"/>
  <c r="S6" i="1"/>
  <c r="S48" i="1"/>
  <c r="S30" i="1"/>
  <c r="S19" i="1"/>
  <c r="S23" i="1"/>
  <c r="O43" i="1"/>
  <c r="Q23" i="1"/>
  <c r="S42" i="1"/>
  <c r="Q41" i="1"/>
  <c r="O32" i="1"/>
  <c r="O21" i="1"/>
  <c r="S35" i="1"/>
  <c r="O46" i="1"/>
  <c r="O17" i="1"/>
  <c r="O31" i="1"/>
  <c r="O20" i="1"/>
  <c r="S36" i="1"/>
  <c r="R11" i="1"/>
  <c r="O9" i="1"/>
  <c r="Q9" i="1"/>
  <c r="N9" i="1"/>
  <c r="S9" i="1" s="1"/>
  <c r="R9" i="1"/>
  <c r="N7" i="1"/>
  <c r="S7" i="1" s="1"/>
  <c r="O25" i="1"/>
  <c r="Q14" i="1"/>
  <c r="O13" i="1"/>
  <c r="S45" i="1"/>
  <c r="S39" i="1"/>
  <c r="S46" i="1"/>
  <c r="S44" i="1"/>
  <c r="S38" i="1"/>
  <c r="S26" i="1"/>
  <c r="S28" i="1"/>
  <c r="O14" i="1"/>
  <c r="S43" i="1"/>
  <c r="O49" i="1"/>
  <c r="S4" i="1"/>
  <c r="S33" i="1"/>
  <c r="O18" i="1"/>
  <c r="Q47" i="1"/>
  <c r="Q42" i="1"/>
  <c r="Q36" i="1"/>
  <c r="R7" i="1"/>
  <c r="O41" i="1"/>
  <c r="O35" i="1"/>
  <c r="O23" i="1"/>
  <c r="O12" i="1"/>
  <c r="O47" i="1"/>
  <c r="O40" i="1"/>
  <c r="O34" i="1"/>
  <c r="O11" i="1"/>
  <c r="O29" i="1"/>
  <c r="O10" i="1"/>
  <c r="Q49" i="1"/>
  <c r="Q15" i="1"/>
  <c r="O5" i="1"/>
  <c r="Q26" i="1"/>
  <c r="Q44" i="1"/>
  <c r="Q38" i="1"/>
  <c r="O30" i="1"/>
  <c r="O19" i="1"/>
  <c r="R8" i="1"/>
  <c r="Q8" i="1"/>
  <c r="O7" i="1"/>
  <c r="O6" i="1"/>
  <c r="O4" i="1"/>
  <c r="O45" i="1"/>
  <c r="O39" i="1"/>
  <c r="O27" i="1"/>
  <c r="O16" i="1"/>
  <c r="Q46" i="1"/>
  <c r="Q17" i="1"/>
  <c r="O28" i="1"/>
  <c r="Q45" i="1"/>
  <c r="Q39" i="1"/>
  <c r="Q30" i="1"/>
  <c r="Q27" i="1"/>
  <c r="Q19" i="1"/>
  <c r="Q16" i="1"/>
  <c r="Q10" i="1"/>
  <c r="Q7" i="1"/>
  <c r="Q3" i="1"/>
  <c r="R2" i="1"/>
  <c r="R5" i="1"/>
  <c r="O2" i="1"/>
  <c r="O3" i="1"/>
  <c r="Q5" i="1"/>
  <c r="R6" i="1"/>
  <c r="Q6" i="1"/>
  <c r="Q2" i="1"/>
  <c r="R3" i="1"/>
</calcChain>
</file>

<file path=xl/sharedStrings.xml><?xml version="1.0" encoding="utf-8"?>
<sst xmlns="http://schemas.openxmlformats.org/spreadsheetml/2006/main" count="235" uniqueCount="138">
  <si>
    <t>Sticker</t>
  </si>
  <si>
    <t>EQR</t>
  </si>
  <si>
    <t>A-</t>
  </si>
  <si>
    <t>Total Debt</t>
  </si>
  <si>
    <t>NOI</t>
  </si>
  <si>
    <t>AVB</t>
  </si>
  <si>
    <t>BBB+</t>
  </si>
  <si>
    <t>UDR</t>
  </si>
  <si>
    <t>MAA</t>
  </si>
  <si>
    <t>ESS</t>
  </si>
  <si>
    <t>CPT</t>
  </si>
  <si>
    <t>Full name</t>
  </si>
  <si>
    <t>Equity Residential</t>
  </si>
  <si>
    <t>AvalonBay Communities </t>
  </si>
  <si>
    <t>UDR Inc.</t>
  </si>
  <si>
    <t>Mid-America Apartment Communities</t>
  </si>
  <si>
    <t>Essex Property Trust</t>
  </si>
  <si>
    <t>Camden Property Trust</t>
  </si>
  <si>
    <t>AIV</t>
  </si>
  <si>
    <t>BBB-</t>
  </si>
  <si>
    <t xml:space="preserve">Apartment Investment and Management Co </t>
  </si>
  <si>
    <t>ARE</t>
  </si>
  <si>
    <t>Alexandria Real Estate Equities</t>
  </si>
  <si>
    <t>Focus</t>
  </si>
  <si>
    <t>Office</t>
  </si>
  <si>
    <t>BBB</t>
  </si>
  <si>
    <t>KRC</t>
  </si>
  <si>
    <t>Kilroy Realty Corp.</t>
  </si>
  <si>
    <t>BXP</t>
  </si>
  <si>
    <t>Boston Properties Inc.</t>
  </si>
  <si>
    <t>FSP</t>
  </si>
  <si>
    <t>Franklin Street Props</t>
  </si>
  <si>
    <t>Hudson Pacific Properties</t>
  </si>
  <si>
    <t>HPP</t>
  </si>
  <si>
    <t>BB</t>
  </si>
  <si>
    <t>OPI</t>
  </si>
  <si>
    <t>Office Properties Income Trust</t>
  </si>
  <si>
    <t>BDN</t>
  </si>
  <si>
    <t>Brandywine Realty Trust</t>
  </si>
  <si>
    <t>SL Green Realty Corp.</t>
  </si>
  <si>
    <t>SLG</t>
  </si>
  <si>
    <t>Highwoods Properties</t>
  </si>
  <si>
    <t>HIW</t>
  </si>
  <si>
    <t>Piedmont Office Realty Trust</t>
  </si>
  <si>
    <t>PDM</t>
  </si>
  <si>
    <t>INVH</t>
  </si>
  <si>
    <t>Invitation Homes Inc.</t>
  </si>
  <si>
    <t>Residential</t>
  </si>
  <si>
    <t>Sun Communities</t>
  </si>
  <si>
    <t>SUI</t>
  </si>
  <si>
    <t>Apartment Income REIT Corp.</t>
  </si>
  <si>
    <t>AIRC</t>
  </si>
  <si>
    <t>B</t>
  </si>
  <si>
    <t>VRE</t>
  </si>
  <si>
    <t>Veris Residential Inc</t>
  </si>
  <si>
    <t>American Homes 4 Rent</t>
  </si>
  <si>
    <t>AMH</t>
  </si>
  <si>
    <t>Retail</t>
  </si>
  <si>
    <t>Agree Realty</t>
  </si>
  <si>
    <t>ADC</t>
  </si>
  <si>
    <t>Kite Realty Group Trust</t>
  </si>
  <si>
    <t>KRG</t>
  </si>
  <si>
    <t>Four Corners Property Trust</t>
  </si>
  <si>
    <t>FCPT</t>
  </si>
  <si>
    <t>SITE Centers</t>
  </si>
  <si>
    <t>SITC</t>
  </si>
  <si>
    <t>Spirit Realty Capital, Inc.</t>
  </si>
  <si>
    <t>SRC</t>
  </si>
  <si>
    <t>Brixmor Property Group</t>
  </si>
  <si>
    <t>BRX</t>
  </si>
  <si>
    <t>Federal Realty Investment</t>
  </si>
  <si>
    <t>FRT</t>
  </si>
  <si>
    <t>Simon Property Group</t>
  </si>
  <si>
    <t>SPG</t>
  </si>
  <si>
    <t>Getty Realty</t>
  </si>
  <si>
    <t>GTY</t>
  </si>
  <si>
    <t>Essential Props Realty</t>
  </si>
  <si>
    <t>EPRT</t>
  </si>
  <si>
    <t xml:space="preserve">Kimco Realty </t>
  </si>
  <si>
    <t>KIM</t>
  </si>
  <si>
    <t>NNN reit Inc.</t>
  </si>
  <si>
    <t>NNN</t>
  </si>
  <si>
    <t>Realty Income</t>
  </si>
  <si>
    <t>O</t>
  </si>
  <si>
    <t>Regency Centers</t>
  </si>
  <si>
    <t>REG</t>
  </si>
  <si>
    <t>Tanger Factory Outlet</t>
  </si>
  <si>
    <t>SKT</t>
  </si>
  <si>
    <t>B+</t>
  </si>
  <si>
    <t>BB-</t>
  </si>
  <si>
    <t>Industrial</t>
  </si>
  <si>
    <t>Stag Industrial Inc.</t>
  </si>
  <si>
    <t>STAG</t>
  </si>
  <si>
    <t>Rexford Industrial Realty, Inc.</t>
  </si>
  <si>
    <t>REXR</t>
  </si>
  <si>
    <t>EastGroup Properties, Inc.</t>
  </si>
  <si>
    <t>EGP</t>
  </si>
  <si>
    <t>Americold Realty Trust, Inc</t>
  </si>
  <si>
    <t>COLD</t>
  </si>
  <si>
    <t>Terreno Realty Corporation</t>
  </si>
  <si>
    <t>TRNO</t>
  </si>
  <si>
    <t>LXP Industrial Trust</t>
  </si>
  <si>
    <t>LXP</t>
  </si>
  <si>
    <t>Public Storage</t>
  </si>
  <si>
    <t>PSA</t>
  </si>
  <si>
    <t xml:space="preserve">Extra Space Storage Inc. </t>
  </si>
  <si>
    <t>EXR</t>
  </si>
  <si>
    <t xml:space="preserve">CubeSmart </t>
  </si>
  <si>
    <t>CUBE</t>
  </si>
  <si>
    <t>National Storage Affiliates Trust</t>
  </si>
  <si>
    <t>NSA</t>
  </si>
  <si>
    <t>Interest Expense</t>
  </si>
  <si>
    <t>Rating</t>
  </si>
  <si>
    <t>Cash</t>
  </si>
  <si>
    <t>Total Equity</t>
  </si>
  <si>
    <t>IE (UNADJUSTED)</t>
  </si>
  <si>
    <t>NOI(UNADJUSTED)</t>
  </si>
  <si>
    <t>Total Assets</t>
  </si>
  <si>
    <t>BB+</t>
  </si>
  <si>
    <t>ELME</t>
  </si>
  <si>
    <t>ELME Communities</t>
  </si>
  <si>
    <t>А</t>
  </si>
  <si>
    <t>AAA</t>
  </si>
  <si>
    <t>AA+</t>
  </si>
  <si>
    <t>AA</t>
  </si>
  <si>
    <t>AA-</t>
  </si>
  <si>
    <t>A+</t>
  </si>
  <si>
    <t>B-</t>
  </si>
  <si>
    <t>5Y default rate</t>
  </si>
  <si>
    <t>5Y_Default_Rate</t>
  </si>
  <si>
    <t>Interest_Expense_Coverage_Ratio</t>
  </si>
  <si>
    <t>Net_Debt_Leverage_Ratio</t>
  </si>
  <si>
    <t>Total_Leverage_Ratio</t>
  </si>
  <si>
    <t>Debt_to_Equity_Ratio</t>
  </si>
  <si>
    <t>EBITDA_Asset_Ratio</t>
  </si>
  <si>
    <t>EBITDA_Equity_Ratio</t>
  </si>
  <si>
    <t>Numerical Rating</t>
  </si>
  <si>
    <t>Numerical_Rating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</si>
</sst>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1BB2-0160-4B42-8F9F-04A80F268104}">
  <dimension ref="A1:X49"/>
  <sheetViews>
    <sheetView tabSelected="1" workbookViewId="0">
      <selection activeCell="E3" sqref="E3"/>
    </sheetView>
  </sheetViews>
  <sheetFormatPr defaultRowHeight="14.4" x14ac:dyDescent="0.3"/>
  <cols>
    <col min="2" max="2" width="35" bestFit="1" customWidth="1"/>
    <col min="3" max="3" width="35" customWidth="1"/>
    <col min="4" max="7" width="14.21875" customWidth="1"/>
    <col min="8" max="8" width="12.5546875" style="2" bestFit="1" customWidth="1"/>
    <col min="9" max="9" width="12.5546875" style="2" customWidth="1"/>
    <col min="10" max="10" width="14.6640625" style="2" bestFit="1" customWidth="1"/>
    <col min="11" max="12" width="13.6640625" style="2" bestFit="1" customWidth="1"/>
    <col min="13" max="13" width="11.109375" style="2" bestFit="1" customWidth="1"/>
    <col min="14" max="14" width="13.6640625" style="2" customWidth="1"/>
    <col min="15" max="15" width="27.21875" customWidth="1"/>
    <col min="16" max="16" width="21.33203125" customWidth="1"/>
    <col min="17" max="17" width="18" bestFit="1" customWidth="1"/>
    <col min="18" max="18" width="19.21875" bestFit="1" customWidth="1"/>
    <col min="19" max="19" width="17.88671875" bestFit="1" customWidth="1"/>
    <col min="20" max="20" width="18.5546875" bestFit="1" customWidth="1"/>
  </cols>
  <sheetData>
    <row r="1" spans="1:24" x14ac:dyDescent="0.3">
      <c r="A1" t="s">
        <v>0</v>
      </c>
      <c r="B1" t="s">
        <v>11</v>
      </c>
      <c r="C1" t="s">
        <v>23</v>
      </c>
      <c r="D1" t="s">
        <v>112</v>
      </c>
      <c r="E1" t="s">
        <v>137</v>
      </c>
      <c r="F1" t="s">
        <v>129</v>
      </c>
      <c r="G1" t="s">
        <v>116</v>
      </c>
      <c r="H1" s="2" t="s">
        <v>4</v>
      </c>
      <c r="I1" s="2" t="s">
        <v>115</v>
      </c>
      <c r="J1" s="2" t="s">
        <v>111</v>
      </c>
      <c r="K1" s="2" t="s">
        <v>3</v>
      </c>
      <c r="L1" s="2" t="s">
        <v>114</v>
      </c>
      <c r="M1" s="2" t="s">
        <v>113</v>
      </c>
      <c r="N1" s="2" t="s">
        <v>117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47</v>
      </c>
      <c r="V1" t="s">
        <v>24</v>
      </c>
      <c r="W1" t="s">
        <v>57</v>
      </c>
      <c r="X1" t="s">
        <v>90</v>
      </c>
    </row>
    <row r="2" spans="1:24" x14ac:dyDescent="0.3">
      <c r="A2" t="s">
        <v>51</v>
      </c>
      <c r="B2" t="s">
        <v>50</v>
      </c>
      <c r="C2" t="s">
        <v>47</v>
      </c>
      <c r="D2" t="s">
        <v>25</v>
      </c>
      <c r="E2">
        <f>VLOOKUP(D2,Sheet2!A:C,3,0)</f>
        <v>8</v>
      </c>
      <c r="F2">
        <v>1.1599999999999999E-2</v>
      </c>
      <c r="G2">
        <f>623677-510689+263949</f>
        <v>376937</v>
      </c>
      <c r="H2" s="2">
        <f>G2*4/3</f>
        <v>502582.66666666669</v>
      </c>
      <c r="I2" s="2">
        <f>96629</f>
        <v>96629</v>
      </c>
      <c r="J2" s="2">
        <f>I2*4/3</f>
        <v>128838.66666666667</v>
      </c>
      <c r="K2" s="2">
        <f>3611381</f>
        <v>3611381</v>
      </c>
      <c r="L2" s="2">
        <f>2710728</f>
        <v>2710728</v>
      </c>
      <c r="M2" s="2">
        <f>106630+27540</f>
        <v>134170</v>
      </c>
      <c r="N2" s="2">
        <f t="shared" ref="N2:N33" si="0">K2+L2</f>
        <v>6322109</v>
      </c>
      <c r="O2">
        <f t="shared" ref="O2:O33" si="1">H2/J2</f>
        <v>3.9008682693601302</v>
      </c>
      <c r="P2">
        <f t="shared" ref="P2:P32" si="2">(K2-M2)/H2</f>
        <v>6.918684687361548</v>
      </c>
      <c r="Q2">
        <f t="shared" ref="Q2:Q33" si="3">K2/H2</f>
        <v>7.1856457445143347</v>
      </c>
      <c r="R2">
        <f t="shared" ref="R2:R33" si="4">K2/L2</f>
        <v>1.3322550252183178</v>
      </c>
      <c r="S2">
        <f t="shared" ref="S2:S33" si="5">H2/N2</f>
        <v>7.9496045807920537E-2</v>
      </c>
      <c r="T2">
        <f>H2/L2</f>
        <v>0.18540505232050825</v>
      </c>
      <c r="U2">
        <f>IF(C2="Residential",1,0)</f>
        <v>1</v>
      </c>
      <c r="V2">
        <f t="shared" ref="V2:V49" si="6">IF(C2="Office",1,0)</f>
        <v>0</v>
      </c>
      <c r="W2">
        <f t="shared" ref="W2:W49" si="7">IF(C2="Retail",1,0)</f>
        <v>0</v>
      </c>
      <c r="X2">
        <f t="shared" ref="X2:X49" si="8">IF(C2="Industrial",1,0)</f>
        <v>0</v>
      </c>
    </row>
    <row r="3" spans="1:24" x14ac:dyDescent="0.3">
      <c r="A3" t="s">
        <v>18</v>
      </c>
      <c r="B3" t="s">
        <v>20</v>
      </c>
      <c r="C3" t="s">
        <v>47</v>
      </c>
      <c r="D3" t="s">
        <v>19</v>
      </c>
      <c r="E3">
        <f>VLOOKUP(D3,Sheet2!A:C,3,0)</f>
        <v>7</v>
      </c>
      <c r="F3">
        <v>2.4399999999999998E-2</v>
      </c>
      <c r="G3">
        <f>137643-44330+17804</f>
        <v>111117</v>
      </c>
      <c r="H3" s="2">
        <f t="shared" ref="H3:H49" si="9">G3*4/3</f>
        <v>148156</v>
      </c>
      <c r="I3" s="2">
        <f>27633</f>
        <v>27633</v>
      </c>
      <c r="J3" s="2">
        <f t="shared" ref="J3:J49" si="10">I3*4/3</f>
        <v>36844</v>
      </c>
      <c r="K3" s="2">
        <f>1495401</f>
        <v>1495401</v>
      </c>
      <c r="L3" s="2">
        <f>585264</f>
        <v>585264</v>
      </c>
      <c r="M3" s="2">
        <f>95680+20205</f>
        <v>115885</v>
      </c>
      <c r="N3" s="2">
        <f t="shared" si="0"/>
        <v>2080665</v>
      </c>
      <c r="O3">
        <f t="shared" si="1"/>
        <v>4.0211703398110954</v>
      </c>
      <c r="P3">
        <f t="shared" si="2"/>
        <v>9.3112395043062719</v>
      </c>
      <c r="Q3">
        <f t="shared" si="3"/>
        <v>10.093421798644671</v>
      </c>
      <c r="R3">
        <f t="shared" si="4"/>
        <v>2.5550879603050931</v>
      </c>
      <c r="S3">
        <f t="shared" si="5"/>
        <v>7.1206080748222322E-2</v>
      </c>
      <c r="T3">
        <f t="shared" ref="T3:T49" si="11">H3/L3</f>
        <v>0.25314388036851748</v>
      </c>
      <c r="U3">
        <f t="shared" ref="U3:U49" si="12">IF(C3="residential",1,0)</f>
        <v>1</v>
      </c>
      <c r="V3">
        <f t="shared" si="6"/>
        <v>0</v>
      </c>
      <c r="W3">
        <f t="shared" si="7"/>
        <v>0</v>
      </c>
      <c r="X3">
        <f t="shared" si="8"/>
        <v>0</v>
      </c>
    </row>
    <row r="4" spans="1:24" x14ac:dyDescent="0.3">
      <c r="A4" t="s">
        <v>5</v>
      </c>
      <c r="B4" t="s">
        <v>13</v>
      </c>
      <c r="C4" t="s">
        <v>47</v>
      </c>
      <c r="D4" t="s">
        <v>2</v>
      </c>
      <c r="E4">
        <f>VLOOKUP(D4,Sheet2!A:C,3,0)</f>
        <v>10</v>
      </c>
      <c r="F4">
        <v>4.5999999999999999E-3</v>
      </c>
      <c r="G4">
        <f>2063204-509871-227882</f>
        <v>1325451</v>
      </c>
      <c r="H4" s="2">
        <f t="shared" si="9"/>
        <v>1767268</v>
      </c>
      <c r="I4" s="2">
        <f>156521</f>
        <v>156521</v>
      </c>
      <c r="J4" s="2">
        <f t="shared" si="10"/>
        <v>208694.66666666666</v>
      </c>
      <c r="K4" s="2">
        <v>8923508</v>
      </c>
      <c r="L4" s="2">
        <v>11777601</v>
      </c>
      <c r="M4" s="2">
        <f>508571+271535</f>
        <v>780106</v>
      </c>
      <c r="N4" s="2">
        <f t="shared" si="0"/>
        <v>20701109</v>
      </c>
      <c r="O4">
        <f t="shared" si="1"/>
        <v>8.4681991553849016</v>
      </c>
      <c r="P4">
        <f t="shared" si="2"/>
        <v>4.6079044038595169</v>
      </c>
      <c r="Q4">
        <f t="shared" si="3"/>
        <v>5.0493235887256489</v>
      </c>
      <c r="R4">
        <f t="shared" si="4"/>
        <v>0.75766771178612691</v>
      </c>
      <c r="S4">
        <f t="shared" si="5"/>
        <v>8.5370691975970955E-2</v>
      </c>
      <c r="T4">
        <f t="shared" si="11"/>
        <v>0.15005330881900311</v>
      </c>
      <c r="U4">
        <f t="shared" si="12"/>
        <v>1</v>
      </c>
      <c r="V4">
        <f t="shared" si="6"/>
        <v>0</v>
      </c>
      <c r="W4">
        <f t="shared" si="7"/>
        <v>0</v>
      </c>
      <c r="X4">
        <f t="shared" si="8"/>
        <v>0</v>
      </c>
    </row>
    <row r="5" spans="1:24" x14ac:dyDescent="0.3">
      <c r="A5" t="s">
        <v>10</v>
      </c>
      <c r="B5" t="s">
        <v>17</v>
      </c>
      <c r="C5" t="s">
        <v>47</v>
      </c>
      <c r="D5" t="s">
        <v>2</v>
      </c>
      <c r="E5">
        <f>VLOOKUP(D5,Sheet2!A:C,3,0)</f>
        <v>10</v>
      </c>
      <c r="F5">
        <v>4.5999999999999999E-3</v>
      </c>
      <c r="G5">
        <f>1154440-412383+2373-24939-1277-46762</f>
        <v>671452</v>
      </c>
      <c r="H5" s="2">
        <f t="shared" si="9"/>
        <v>895269.33333333337</v>
      </c>
      <c r="I5" s="2">
        <f>99427</f>
        <v>99427</v>
      </c>
      <c r="J5" s="2">
        <f t="shared" si="10"/>
        <v>132569.33333333334</v>
      </c>
      <c r="K5" s="2">
        <f>4279485</f>
        <v>4279485</v>
      </c>
      <c r="L5" s="2">
        <f>4934979</f>
        <v>4934979</v>
      </c>
      <c r="M5" s="2">
        <f>14600+8369</f>
        <v>22969</v>
      </c>
      <c r="N5" s="2">
        <f t="shared" si="0"/>
        <v>9214464</v>
      </c>
      <c r="O5">
        <f t="shared" si="1"/>
        <v>6.7532159272632182</v>
      </c>
      <c r="P5">
        <f t="shared" si="2"/>
        <v>4.7544530361068249</v>
      </c>
      <c r="Q5">
        <f t="shared" si="3"/>
        <v>4.7801090025794846</v>
      </c>
      <c r="R5">
        <f t="shared" si="4"/>
        <v>0.86717390286767182</v>
      </c>
      <c r="S5">
        <f t="shared" si="5"/>
        <v>9.7159133003648757E-2</v>
      </c>
      <c r="T5">
        <f t="shared" si="11"/>
        <v>0.18141299756966209</v>
      </c>
      <c r="U5">
        <f t="shared" si="12"/>
        <v>1</v>
      </c>
      <c r="V5">
        <f t="shared" si="6"/>
        <v>0</v>
      </c>
      <c r="W5">
        <f t="shared" si="7"/>
        <v>0</v>
      </c>
      <c r="X5">
        <f t="shared" si="8"/>
        <v>0</v>
      </c>
    </row>
    <row r="6" spans="1:24" x14ac:dyDescent="0.3">
      <c r="A6" t="s">
        <v>1</v>
      </c>
      <c r="B6" t="s">
        <v>12</v>
      </c>
      <c r="C6" t="s">
        <v>47</v>
      </c>
      <c r="D6" t="s">
        <v>2</v>
      </c>
      <c r="E6">
        <f>VLOOKUP(D6,Sheet2!A:C,3,0)</f>
        <v>10</v>
      </c>
      <c r="F6">
        <v>4.5999999999999999E-3</v>
      </c>
      <c r="G6">
        <f>2146464-1505414+661921</f>
        <v>1302971</v>
      </c>
      <c r="H6" s="2">
        <f t="shared" si="9"/>
        <v>1737294.6666666667</v>
      </c>
      <c r="I6" s="2">
        <f>200882+7023</f>
        <v>207905</v>
      </c>
      <c r="J6" s="2">
        <f t="shared" si="10"/>
        <v>277206.66666666669</v>
      </c>
      <c r="K6" s="2">
        <f>8565306</f>
        <v>8565306</v>
      </c>
      <c r="L6" s="2">
        <f>11265887</f>
        <v>11265887</v>
      </c>
      <c r="M6" s="2">
        <f>39250+87477</f>
        <v>126727</v>
      </c>
      <c r="N6" s="2">
        <f t="shared" si="0"/>
        <v>19831193</v>
      </c>
      <c r="O6">
        <f t="shared" si="1"/>
        <v>6.2671460522834943</v>
      </c>
      <c r="P6">
        <f t="shared" si="2"/>
        <v>4.8573101396731007</v>
      </c>
      <c r="Q6">
        <f t="shared" si="3"/>
        <v>4.9302551630082325</v>
      </c>
      <c r="R6">
        <f t="shared" si="4"/>
        <v>0.76028687310639631</v>
      </c>
      <c r="S6">
        <f t="shared" si="5"/>
        <v>8.7604142961377404E-2</v>
      </c>
      <c r="T6">
        <f t="shared" si="11"/>
        <v>0.15420842288464873</v>
      </c>
      <c r="U6">
        <f t="shared" si="12"/>
        <v>1</v>
      </c>
      <c r="V6">
        <f t="shared" si="6"/>
        <v>0</v>
      </c>
      <c r="W6">
        <f t="shared" si="7"/>
        <v>0</v>
      </c>
      <c r="X6">
        <f t="shared" si="8"/>
        <v>0</v>
      </c>
    </row>
    <row r="7" spans="1:24" x14ac:dyDescent="0.3">
      <c r="A7" t="s">
        <v>9</v>
      </c>
      <c r="B7" t="s">
        <v>16</v>
      </c>
      <c r="C7" t="s">
        <v>47</v>
      </c>
      <c r="D7" t="s">
        <v>6</v>
      </c>
      <c r="E7">
        <f>VLOOKUP(D7,Sheet2!A:C,3,0)</f>
        <v>9</v>
      </c>
      <c r="F7">
        <v>8.1000000000000013E-3</v>
      </c>
      <c r="G7">
        <f>1247647-852884+410422</f>
        <v>805185</v>
      </c>
      <c r="H7" s="2">
        <f t="shared" si="9"/>
        <v>1073580</v>
      </c>
      <c r="I7" s="2">
        <f>157806</f>
        <v>157806</v>
      </c>
      <c r="J7" s="2">
        <f t="shared" si="10"/>
        <v>210408</v>
      </c>
      <c r="K7" s="2">
        <f>6761240</f>
        <v>6761240</v>
      </c>
      <c r="L7" s="2">
        <f>5706447</f>
        <v>5706447</v>
      </c>
      <c r="M7" s="2">
        <f>391994+8503+90186</f>
        <v>490683</v>
      </c>
      <c r="N7" s="2">
        <f t="shared" si="0"/>
        <v>12467687</v>
      </c>
      <c r="O7">
        <f t="shared" si="1"/>
        <v>5.1023725333637504</v>
      </c>
      <c r="P7">
        <f t="shared" si="2"/>
        <v>5.8407915572197693</v>
      </c>
      <c r="Q7">
        <f t="shared" si="3"/>
        <v>6.297844594720468</v>
      </c>
      <c r="R7">
        <f t="shared" si="4"/>
        <v>1.1848423370969712</v>
      </c>
      <c r="S7">
        <f t="shared" si="5"/>
        <v>8.6108995196943913E-2</v>
      </c>
      <c r="T7">
        <f t="shared" si="11"/>
        <v>0.18813457831116279</v>
      </c>
      <c r="U7">
        <f t="shared" si="12"/>
        <v>1</v>
      </c>
      <c r="V7">
        <f t="shared" si="6"/>
        <v>0</v>
      </c>
      <c r="W7">
        <f t="shared" si="7"/>
        <v>0</v>
      </c>
      <c r="X7">
        <f t="shared" si="8"/>
        <v>0</v>
      </c>
    </row>
    <row r="8" spans="1:24" x14ac:dyDescent="0.3">
      <c r="A8" t="s">
        <v>45</v>
      </c>
      <c r="B8" t="s">
        <v>46</v>
      </c>
      <c r="C8" t="s">
        <v>47</v>
      </c>
      <c r="D8" t="s">
        <v>25</v>
      </c>
      <c r="E8">
        <f>VLOOKUP(D8,Sheet2!A:C,3,0)</f>
        <v>8</v>
      </c>
      <c r="F8">
        <v>1.1599999999999999E-2</v>
      </c>
      <c r="G8">
        <f>1807957-1532376+243408+501128</f>
        <v>1020117</v>
      </c>
      <c r="H8" s="2">
        <f t="shared" si="9"/>
        <v>1360156</v>
      </c>
      <c r="I8" s="2">
        <f>243408</f>
        <v>243408</v>
      </c>
      <c r="J8" s="2">
        <f t="shared" si="10"/>
        <v>324544</v>
      </c>
      <c r="K8" s="2">
        <f>9196652</f>
        <v>9196652</v>
      </c>
      <c r="L8" s="2">
        <f>10269546</f>
        <v>10269546</v>
      </c>
      <c r="M8" s="2">
        <f>762638+217253</f>
        <v>979891</v>
      </c>
      <c r="N8" s="2">
        <f t="shared" si="0"/>
        <v>19466198</v>
      </c>
      <c r="O8">
        <f t="shared" si="1"/>
        <v>4.1909756458292247</v>
      </c>
      <c r="P8">
        <f t="shared" si="2"/>
        <v>6.0410430862342261</v>
      </c>
      <c r="Q8">
        <f t="shared" si="3"/>
        <v>6.7614685374324708</v>
      </c>
      <c r="R8">
        <f t="shared" si="4"/>
        <v>0.89552663769167595</v>
      </c>
      <c r="S8">
        <f t="shared" si="5"/>
        <v>6.9872709606673064E-2</v>
      </c>
      <c r="T8">
        <f t="shared" si="11"/>
        <v>0.13244558230714387</v>
      </c>
      <c r="U8">
        <f t="shared" si="12"/>
        <v>1</v>
      </c>
      <c r="V8">
        <f t="shared" si="6"/>
        <v>0</v>
      </c>
      <c r="W8">
        <f t="shared" si="7"/>
        <v>0</v>
      </c>
      <c r="X8">
        <f t="shared" si="8"/>
        <v>0</v>
      </c>
    </row>
    <row r="9" spans="1:24" x14ac:dyDescent="0.3">
      <c r="A9" t="s">
        <v>8</v>
      </c>
      <c r="B9" t="s">
        <v>15</v>
      </c>
      <c r="C9" t="s">
        <v>47</v>
      </c>
      <c r="D9" t="s">
        <v>2</v>
      </c>
      <c r="E9">
        <f>VLOOKUP(D9,Sheet2!A:C,3,0)</f>
        <v>10</v>
      </c>
      <c r="F9">
        <v>4.5999999999999999E-3</v>
      </c>
      <c r="G9">
        <f>1606221-1000534-50317-43329+424175</f>
        <v>936216</v>
      </c>
      <c r="H9" s="2">
        <f t="shared" si="9"/>
        <v>1248288</v>
      </c>
      <c r="I9" s="2">
        <f>110655</f>
        <v>110655</v>
      </c>
      <c r="J9" s="2">
        <f t="shared" si="10"/>
        <v>147540</v>
      </c>
      <c r="K9" s="2">
        <f>5060700</f>
        <v>5060700</v>
      </c>
      <c r="L9" s="2">
        <f>6303589</f>
        <v>6303589</v>
      </c>
      <c r="M9" s="3">
        <f>161897+13440</f>
        <v>175337</v>
      </c>
      <c r="N9" s="2">
        <f t="shared" si="0"/>
        <v>11364289</v>
      </c>
      <c r="O9">
        <f t="shared" si="1"/>
        <v>8.4606750711671417</v>
      </c>
      <c r="P9">
        <f t="shared" si="2"/>
        <v>3.9136505357737956</v>
      </c>
      <c r="Q9">
        <f t="shared" si="3"/>
        <v>4.0541125124971158</v>
      </c>
      <c r="R9">
        <f t="shared" si="4"/>
        <v>0.80282835698837596</v>
      </c>
      <c r="S9">
        <f t="shared" si="5"/>
        <v>0.10984303549478547</v>
      </c>
      <c r="T9">
        <f t="shared" si="11"/>
        <v>0.19802813920767995</v>
      </c>
      <c r="U9">
        <f t="shared" si="12"/>
        <v>1</v>
      </c>
      <c r="V9">
        <f t="shared" si="6"/>
        <v>0</v>
      </c>
      <c r="W9">
        <f t="shared" si="7"/>
        <v>0</v>
      </c>
      <c r="X9">
        <f t="shared" si="8"/>
        <v>0</v>
      </c>
    </row>
    <row r="10" spans="1:24" x14ac:dyDescent="0.3">
      <c r="A10" t="s">
        <v>49</v>
      </c>
      <c r="B10" t="s">
        <v>48</v>
      </c>
      <c r="C10" t="s">
        <v>47</v>
      </c>
      <c r="D10" t="s">
        <v>25</v>
      </c>
      <c r="E10">
        <f>VLOOKUP(D10,Sheet2!A:C,3,0)</f>
        <v>8</v>
      </c>
      <c r="F10">
        <v>1.1599999999999999E-2</v>
      </c>
      <c r="G10">
        <f>2497.9-2223.6+482.3+239.9+2.7</f>
        <v>999.20000000000016</v>
      </c>
      <c r="H10" s="2">
        <f t="shared" si="9"/>
        <v>1332.2666666666669</v>
      </c>
      <c r="I10" s="2">
        <f>239.9+2.7</f>
        <v>242.6</v>
      </c>
      <c r="J10" s="2">
        <f t="shared" si="10"/>
        <v>323.46666666666664</v>
      </c>
      <c r="K10" s="2">
        <f>9465</f>
        <v>9465</v>
      </c>
      <c r="L10" s="2">
        <f>7835.8</f>
        <v>7835.8</v>
      </c>
      <c r="M10" s="2">
        <f>62+112.8</f>
        <v>174.8</v>
      </c>
      <c r="N10" s="2">
        <f t="shared" si="0"/>
        <v>17300.8</v>
      </c>
      <c r="O10">
        <f t="shared" si="1"/>
        <v>4.1187139323990118</v>
      </c>
      <c r="P10">
        <f t="shared" si="2"/>
        <v>6.9732285828662928</v>
      </c>
      <c r="Q10">
        <f t="shared" si="3"/>
        <v>7.1044335468374689</v>
      </c>
      <c r="R10">
        <f t="shared" si="4"/>
        <v>1.2079175068276373</v>
      </c>
      <c r="S10">
        <f t="shared" si="5"/>
        <v>7.7006072936896958E-2</v>
      </c>
      <c r="T10">
        <f t="shared" si="11"/>
        <v>0.17002305656942071</v>
      </c>
      <c r="U10">
        <f t="shared" si="12"/>
        <v>1</v>
      </c>
      <c r="V10">
        <f t="shared" si="6"/>
        <v>0</v>
      </c>
      <c r="W10">
        <f t="shared" si="7"/>
        <v>0</v>
      </c>
      <c r="X10">
        <f t="shared" si="8"/>
        <v>0</v>
      </c>
    </row>
    <row r="11" spans="1:24" x14ac:dyDescent="0.3">
      <c r="A11" t="s">
        <v>7</v>
      </c>
      <c r="B11" t="s">
        <v>14</v>
      </c>
      <c r="C11" t="s">
        <v>47</v>
      </c>
      <c r="D11" t="s">
        <v>6</v>
      </c>
      <c r="E11">
        <f>VLOOKUP(D11,Sheet2!A:C,3,0)</f>
        <v>9</v>
      </c>
      <c r="F11">
        <v>8.1000000000000013E-3</v>
      </c>
      <c r="G11">
        <f>1214228-999354+11022+505776</f>
        <v>731672</v>
      </c>
      <c r="H11" s="2">
        <f t="shared" si="9"/>
        <v>975562.66666666663</v>
      </c>
      <c r="I11" s="2">
        <f>133519</f>
        <v>133519</v>
      </c>
      <c r="J11" s="2">
        <f t="shared" si="10"/>
        <v>178025.33333333334</v>
      </c>
      <c r="K11" s="2">
        <f>6361659</f>
        <v>6361659</v>
      </c>
      <c r="L11" s="2">
        <f>4151134</f>
        <v>4151134</v>
      </c>
      <c r="M11" s="2">
        <f>1624+30831</f>
        <v>32455</v>
      </c>
      <c r="N11" s="2">
        <f t="shared" si="0"/>
        <v>10512793</v>
      </c>
      <c r="O11">
        <f t="shared" si="1"/>
        <v>5.479909226402234</v>
      </c>
      <c r="P11">
        <f t="shared" si="2"/>
        <v>6.487747241933544</v>
      </c>
      <c r="Q11">
        <f t="shared" si="3"/>
        <v>6.5210152226680806</v>
      </c>
      <c r="R11">
        <f t="shared" si="4"/>
        <v>1.5325111162395626</v>
      </c>
      <c r="S11">
        <f t="shared" si="5"/>
        <v>9.2797667248529156E-2</v>
      </c>
      <c r="T11">
        <f t="shared" si="11"/>
        <v>0.23501112386800008</v>
      </c>
      <c r="U11">
        <f t="shared" si="12"/>
        <v>1</v>
      </c>
      <c r="V11">
        <f t="shared" si="6"/>
        <v>0</v>
      </c>
      <c r="W11">
        <f t="shared" si="7"/>
        <v>0</v>
      </c>
      <c r="X11">
        <f t="shared" si="8"/>
        <v>0</v>
      </c>
    </row>
    <row r="12" spans="1:24" x14ac:dyDescent="0.3">
      <c r="A12" t="s">
        <v>53</v>
      </c>
      <c r="B12" t="s">
        <v>54</v>
      </c>
      <c r="C12" t="s">
        <v>47</v>
      </c>
      <c r="D12" t="s">
        <v>52</v>
      </c>
      <c r="E12">
        <f>VLOOKUP(D12,Sheet2!A:C,3,0)</f>
        <v>2</v>
      </c>
      <c r="F12">
        <v>0.1532</v>
      </c>
      <c r="G12">
        <f>206943-204260+70543</f>
        <v>73226</v>
      </c>
      <c r="H12" s="2">
        <f t="shared" si="9"/>
        <v>97634.666666666672</v>
      </c>
      <c r="I12" s="2">
        <f>67422</f>
        <v>67422</v>
      </c>
      <c r="J12" s="2">
        <f t="shared" si="10"/>
        <v>89896</v>
      </c>
      <c r="K12" s="2">
        <f>1998585</f>
        <v>1998585</v>
      </c>
      <c r="L12" s="2">
        <f>1291074</f>
        <v>1291074</v>
      </c>
      <c r="M12" s="2">
        <f>17274+23603</f>
        <v>40877</v>
      </c>
      <c r="N12" s="2">
        <f t="shared" si="0"/>
        <v>3289659</v>
      </c>
      <c r="O12">
        <f t="shared" si="1"/>
        <v>1.0860846607932129</v>
      </c>
      <c r="P12">
        <f t="shared" si="2"/>
        <v>20.051361538251438</v>
      </c>
      <c r="Q12">
        <f t="shared" si="3"/>
        <v>20.470034550569469</v>
      </c>
      <c r="R12">
        <f t="shared" si="4"/>
        <v>1.5480018960958086</v>
      </c>
      <c r="S12">
        <f t="shared" si="5"/>
        <v>2.9679266655500365E-2</v>
      </c>
      <c r="T12">
        <f t="shared" si="11"/>
        <v>7.5622827712948038E-2</v>
      </c>
      <c r="U12">
        <f t="shared" si="12"/>
        <v>1</v>
      </c>
      <c r="V12">
        <f t="shared" si="6"/>
        <v>0</v>
      </c>
      <c r="W12">
        <f t="shared" si="7"/>
        <v>0</v>
      </c>
      <c r="X12">
        <f t="shared" si="8"/>
        <v>0</v>
      </c>
    </row>
    <row r="13" spans="1:24" x14ac:dyDescent="0.3">
      <c r="A13" t="s">
        <v>119</v>
      </c>
      <c r="B13" t="s">
        <v>120</v>
      </c>
      <c r="C13" t="s">
        <v>47</v>
      </c>
      <c r="D13" t="s">
        <v>25</v>
      </c>
      <c r="E13">
        <f>VLOOKUP(D13,Sheet2!A:C,3,0)</f>
        <v>8</v>
      </c>
      <c r="F13">
        <v>1.1599999999999999E-2</v>
      </c>
      <c r="G13">
        <f>169059-198403+64855</f>
        <v>35511</v>
      </c>
      <c r="H13" s="2">
        <f t="shared" si="9"/>
        <v>47348</v>
      </c>
      <c r="I13" s="2">
        <f>21043</f>
        <v>21043</v>
      </c>
      <c r="J13" s="2">
        <f t="shared" si="10"/>
        <v>28057.333333333332</v>
      </c>
      <c r="K13" s="2">
        <f>737220</f>
        <v>737220</v>
      </c>
      <c r="L13" s="2">
        <f>1173053</f>
        <v>1173053</v>
      </c>
      <c r="M13" s="2">
        <f>8079+2104</f>
        <v>10183</v>
      </c>
      <c r="N13" s="2">
        <f t="shared" si="0"/>
        <v>1910273</v>
      </c>
      <c r="O13">
        <f t="shared" si="1"/>
        <v>1.6875445516323719</v>
      </c>
      <c r="P13">
        <f t="shared" si="2"/>
        <v>15.355178677029652</v>
      </c>
      <c r="Q13">
        <f t="shared" si="3"/>
        <v>15.570245839317394</v>
      </c>
      <c r="R13">
        <f t="shared" si="4"/>
        <v>0.62846265258261991</v>
      </c>
      <c r="S13">
        <f t="shared" si="5"/>
        <v>2.4785986086805392E-2</v>
      </c>
      <c r="T13">
        <f t="shared" si="11"/>
        <v>4.036305264979502E-2</v>
      </c>
      <c r="U13">
        <f t="shared" si="12"/>
        <v>1</v>
      </c>
      <c r="V13">
        <f t="shared" si="6"/>
        <v>0</v>
      </c>
      <c r="W13">
        <f t="shared" si="7"/>
        <v>0</v>
      </c>
      <c r="X13">
        <f t="shared" si="8"/>
        <v>0</v>
      </c>
    </row>
    <row r="14" spans="1:24" x14ac:dyDescent="0.3">
      <c r="A14" t="s">
        <v>56</v>
      </c>
      <c r="B14" t="s">
        <v>55</v>
      </c>
      <c r="C14" t="s">
        <v>47</v>
      </c>
      <c r="D14" t="s">
        <v>25</v>
      </c>
      <c r="E14">
        <f>VLOOKUP(D14,Sheet2!A:C,3,0)</f>
        <v>8</v>
      </c>
      <c r="F14">
        <v>1.1599999999999999E-2</v>
      </c>
      <c r="G14">
        <f>1214948-1063577+105107+340779</f>
        <v>597257</v>
      </c>
      <c r="H14" s="2">
        <f t="shared" si="9"/>
        <v>796342.66666666663</v>
      </c>
      <c r="I14" s="2">
        <f>105107</f>
        <v>105107</v>
      </c>
      <c r="J14" s="2">
        <f t="shared" si="10"/>
        <v>140142.66666666666</v>
      </c>
      <c r="K14" s="2">
        <f>5008841</f>
        <v>5008841</v>
      </c>
      <c r="L14" s="2">
        <f>7550536</f>
        <v>7550536</v>
      </c>
      <c r="M14" s="2">
        <f>69514+173133</f>
        <v>242647</v>
      </c>
      <c r="N14" s="2">
        <f t="shared" si="0"/>
        <v>12559377</v>
      </c>
      <c r="O14">
        <f t="shared" si="1"/>
        <v>5.6823712978203167</v>
      </c>
      <c r="P14">
        <f t="shared" si="2"/>
        <v>5.9851044022924809</v>
      </c>
      <c r="Q14">
        <f t="shared" si="3"/>
        <v>6.289806147102504</v>
      </c>
      <c r="R14">
        <f t="shared" si="4"/>
        <v>0.66337555373552293</v>
      </c>
      <c r="S14">
        <f t="shared" si="5"/>
        <v>6.3406223626113506E-2</v>
      </c>
      <c r="T14">
        <f t="shared" si="11"/>
        <v>0.10546836233436495</v>
      </c>
      <c r="U14">
        <f t="shared" si="12"/>
        <v>1</v>
      </c>
      <c r="V14">
        <f t="shared" si="6"/>
        <v>0</v>
      </c>
      <c r="W14">
        <f t="shared" si="7"/>
        <v>0</v>
      </c>
      <c r="X14">
        <f t="shared" si="8"/>
        <v>0</v>
      </c>
    </row>
    <row r="15" spans="1:24" x14ac:dyDescent="0.3">
      <c r="A15" t="s">
        <v>21</v>
      </c>
      <c r="B15" t="s">
        <v>22</v>
      </c>
      <c r="C15" t="s">
        <v>24</v>
      </c>
      <c r="D15" t="s">
        <v>6</v>
      </c>
      <c r="E15">
        <f>VLOOKUP(D15,Sheet2!A:C,3,0)</f>
        <v>9</v>
      </c>
      <c r="F15">
        <v>8.1000000000000013E-3</v>
      </c>
      <c r="G15">
        <f>2128483-1816207+42237+808227</f>
        <v>1162740</v>
      </c>
      <c r="H15" s="2">
        <f t="shared" si="9"/>
        <v>1550320</v>
      </c>
      <c r="I15" s="2">
        <f>42237</f>
        <v>42237</v>
      </c>
      <c r="J15" s="2">
        <f t="shared" si="10"/>
        <v>56316</v>
      </c>
      <c r="K15" s="2">
        <f>14070411</f>
        <v>14070411</v>
      </c>
      <c r="L15" s="2">
        <f>22661224</f>
        <v>22661224</v>
      </c>
      <c r="M15" s="2">
        <f>532390+35321</f>
        <v>567711</v>
      </c>
      <c r="N15" s="2">
        <f t="shared" si="0"/>
        <v>36731635</v>
      </c>
      <c r="O15">
        <f t="shared" si="1"/>
        <v>27.528943817032459</v>
      </c>
      <c r="P15">
        <f t="shared" si="2"/>
        <v>8.7096212394860419</v>
      </c>
      <c r="Q15">
        <f t="shared" si="3"/>
        <v>9.0758108003508955</v>
      </c>
      <c r="R15">
        <f t="shared" si="4"/>
        <v>0.62090251612181235</v>
      </c>
      <c r="S15">
        <f t="shared" si="5"/>
        <v>4.2206670081525094E-2</v>
      </c>
      <c r="T15">
        <f t="shared" si="11"/>
        <v>6.8412897732267247E-2</v>
      </c>
      <c r="U15">
        <f t="shared" si="12"/>
        <v>0</v>
      </c>
      <c r="V15">
        <f t="shared" si="6"/>
        <v>1</v>
      </c>
      <c r="W15">
        <f t="shared" si="7"/>
        <v>0</v>
      </c>
      <c r="X15">
        <f t="shared" si="8"/>
        <v>0</v>
      </c>
    </row>
    <row r="16" spans="1:24" x14ac:dyDescent="0.3">
      <c r="A16" t="s">
        <v>26</v>
      </c>
      <c r="B16" t="s">
        <v>27</v>
      </c>
      <c r="C16" t="s">
        <v>24</v>
      </c>
      <c r="D16" t="s">
        <v>25</v>
      </c>
      <c r="E16">
        <f>VLOOKUP(D16,Sheet2!A:C,3,0)</f>
        <v>8</v>
      </c>
      <c r="F16">
        <v>1.1599999999999999E-2</v>
      </c>
      <c r="G16">
        <f>860678-605441+269262</f>
        <v>524499</v>
      </c>
      <c r="H16" s="2">
        <f t="shared" si="9"/>
        <v>699332</v>
      </c>
      <c r="I16" s="2">
        <f>81891</f>
        <v>81891</v>
      </c>
      <c r="J16" s="2">
        <f t="shared" si="10"/>
        <v>109188</v>
      </c>
      <c r="K16" s="2">
        <f>5803596</f>
        <v>5803596</v>
      </c>
      <c r="L16" s="2">
        <f>5667525</f>
        <v>5667525</v>
      </c>
      <c r="M16" s="2">
        <f>618794+278789</f>
        <v>897583</v>
      </c>
      <c r="N16" s="2">
        <f t="shared" si="0"/>
        <v>11471121</v>
      </c>
      <c r="O16">
        <f t="shared" si="1"/>
        <v>6.404843023042825</v>
      </c>
      <c r="P16">
        <f t="shared" si="2"/>
        <v>7.015284585861937</v>
      </c>
      <c r="Q16">
        <f t="shared" si="3"/>
        <v>8.2987708270177833</v>
      </c>
      <c r="R16">
        <f t="shared" si="4"/>
        <v>1.0240088927706539</v>
      </c>
      <c r="S16">
        <f t="shared" si="5"/>
        <v>6.0964573558242474E-2</v>
      </c>
      <c r="T16">
        <f t="shared" si="11"/>
        <v>0.12339283902585343</v>
      </c>
      <c r="U16">
        <f t="shared" si="12"/>
        <v>0</v>
      </c>
      <c r="V16">
        <f t="shared" si="6"/>
        <v>1</v>
      </c>
      <c r="W16">
        <f t="shared" si="7"/>
        <v>0</v>
      </c>
      <c r="X16">
        <f t="shared" si="8"/>
        <v>0</v>
      </c>
    </row>
    <row r="17" spans="1:24" x14ac:dyDescent="0.3">
      <c r="A17" t="s">
        <v>28</v>
      </c>
      <c r="B17" t="s">
        <v>29</v>
      </c>
      <c r="C17" t="s">
        <v>24</v>
      </c>
      <c r="D17" t="s">
        <v>6</v>
      </c>
      <c r="E17">
        <f>VLOOKUP(D17,Sheet2!A:C,3,0)</f>
        <v>9</v>
      </c>
      <c r="F17">
        <v>8.1000000000000013E-3</v>
      </c>
      <c r="G17">
        <f>2444636-1672241+618746</f>
        <v>1391141</v>
      </c>
      <c r="H17" s="2">
        <f t="shared" si="9"/>
        <v>1854854.6666666667</v>
      </c>
      <c r="I17" s="2">
        <f>424492</f>
        <v>424492</v>
      </c>
      <c r="J17" s="2">
        <f t="shared" si="10"/>
        <v>565989.33333333337</v>
      </c>
      <c r="K17" s="2">
        <f>16698784</f>
        <v>16698784</v>
      </c>
      <c r="L17" s="2">
        <f>8033576</f>
        <v>8033576</v>
      </c>
      <c r="M17" s="2">
        <f>882647</f>
        <v>882647</v>
      </c>
      <c r="N17" s="2">
        <f t="shared" si="0"/>
        <v>24732360</v>
      </c>
      <c r="O17">
        <f t="shared" si="1"/>
        <v>3.2771901472819276</v>
      </c>
      <c r="P17">
        <f t="shared" si="2"/>
        <v>8.5268874614435202</v>
      </c>
      <c r="Q17">
        <f t="shared" si="3"/>
        <v>9.0027452285569893</v>
      </c>
      <c r="R17">
        <f t="shared" si="4"/>
        <v>2.0786240150090074</v>
      </c>
      <c r="S17">
        <f t="shared" si="5"/>
        <v>7.499707535660434E-2</v>
      </c>
      <c r="T17">
        <f t="shared" si="11"/>
        <v>0.23088779724828229</v>
      </c>
      <c r="U17">
        <f t="shared" si="12"/>
        <v>0</v>
      </c>
      <c r="V17">
        <f t="shared" si="6"/>
        <v>1</v>
      </c>
      <c r="W17">
        <f t="shared" si="7"/>
        <v>0</v>
      </c>
      <c r="X17">
        <f t="shared" si="8"/>
        <v>0</v>
      </c>
    </row>
    <row r="18" spans="1:24" x14ac:dyDescent="0.3">
      <c r="A18" t="s">
        <v>30</v>
      </c>
      <c r="B18" s="1" t="s">
        <v>31</v>
      </c>
      <c r="C18" t="s">
        <v>24</v>
      </c>
      <c r="D18" t="s">
        <v>6</v>
      </c>
      <c r="E18">
        <f>VLOOKUP(D18,Sheet2!A:C,3,0)</f>
        <v>9</v>
      </c>
      <c r="F18">
        <v>8.1000000000000013E-3</v>
      </c>
      <c r="G18">
        <f>110936-130612+42780+18099</f>
        <v>41203</v>
      </c>
      <c r="H18" s="2">
        <f t="shared" si="9"/>
        <v>54937.333333333336</v>
      </c>
      <c r="I18" s="2">
        <f>18099</f>
        <v>18099</v>
      </c>
      <c r="J18" s="2">
        <f t="shared" si="10"/>
        <v>24132</v>
      </c>
      <c r="K18" s="2">
        <f>440447</f>
        <v>440447</v>
      </c>
      <c r="L18" s="2">
        <f>711326</f>
        <v>711326</v>
      </c>
      <c r="M18" s="2">
        <f>13043</f>
        <v>13043</v>
      </c>
      <c r="N18" s="2">
        <f t="shared" si="0"/>
        <v>1151773</v>
      </c>
      <c r="O18">
        <f t="shared" si="1"/>
        <v>2.2765346151721091</v>
      </c>
      <c r="P18">
        <f t="shared" si="2"/>
        <v>7.7798461277091473</v>
      </c>
      <c r="Q18">
        <f t="shared" si="3"/>
        <v>8.0172620925660745</v>
      </c>
      <c r="R18">
        <f t="shared" si="4"/>
        <v>0.61919148182408623</v>
      </c>
      <c r="S18">
        <f t="shared" si="5"/>
        <v>4.7698056243142821E-2</v>
      </c>
      <c r="T18">
        <f t="shared" si="11"/>
        <v>7.7232286368463035E-2</v>
      </c>
      <c r="U18">
        <f t="shared" si="12"/>
        <v>0</v>
      </c>
      <c r="V18">
        <f t="shared" si="6"/>
        <v>1</v>
      </c>
      <c r="W18">
        <f t="shared" si="7"/>
        <v>0</v>
      </c>
      <c r="X18">
        <f t="shared" si="8"/>
        <v>0</v>
      </c>
    </row>
    <row r="19" spans="1:24" x14ac:dyDescent="0.3">
      <c r="A19" t="s">
        <v>33</v>
      </c>
      <c r="B19" t="s">
        <v>32</v>
      </c>
      <c r="C19" t="s">
        <v>24</v>
      </c>
      <c r="D19" t="s">
        <v>19</v>
      </c>
      <c r="E19">
        <f>VLOOKUP(D19,Sheet2!A:C,3,0)</f>
        <v>7</v>
      </c>
      <c r="F19">
        <v>2.4399999999999998E-2</v>
      </c>
      <c r="G19">
        <f>728874-684751+294654</f>
        <v>338777</v>
      </c>
      <c r="H19" s="2">
        <f t="shared" si="9"/>
        <v>451702.66666666669</v>
      </c>
      <c r="I19" s="2">
        <f>162036</f>
        <v>162036</v>
      </c>
      <c r="J19" s="2">
        <f t="shared" si="10"/>
        <v>216048</v>
      </c>
      <c r="K19" s="2">
        <f>5260582</f>
        <v>5260582</v>
      </c>
      <c r="L19" s="2">
        <f>3600825</f>
        <v>3600825</v>
      </c>
      <c r="M19" s="2">
        <f>75040+19054</f>
        <v>94094</v>
      </c>
      <c r="N19" s="2">
        <f t="shared" si="0"/>
        <v>8861407</v>
      </c>
      <c r="O19">
        <f t="shared" si="1"/>
        <v>2.09075143795206</v>
      </c>
      <c r="P19">
        <f t="shared" si="2"/>
        <v>11.437807171088945</v>
      </c>
      <c r="Q19">
        <f t="shared" si="3"/>
        <v>11.646116767076867</v>
      </c>
      <c r="R19">
        <f t="shared" si="4"/>
        <v>1.4609379794908111</v>
      </c>
      <c r="S19">
        <f t="shared" si="5"/>
        <v>5.0974147408720388E-2</v>
      </c>
      <c r="T19">
        <f t="shared" si="11"/>
        <v>0.1254442153302831</v>
      </c>
      <c r="U19">
        <f t="shared" si="12"/>
        <v>0</v>
      </c>
      <c r="V19">
        <f t="shared" si="6"/>
        <v>1</v>
      </c>
      <c r="W19">
        <f t="shared" si="7"/>
        <v>0</v>
      </c>
      <c r="X19">
        <f t="shared" si="8"/>
        <v>0</v>
      </c>
    </row>
    <row r="20" spans="1:24" x14ac:dyDescent="0.3">
      <c r="A20" t="s">
        <v>35</v>
      </c>
      <c r="B20" t="s">
        <v>36</v>
      </c>
      <c r="C20" t="s">
        <v>24</v>
      </c>
      <c r="D20" t="s">
        <v>34</v>
      </c>
      <c r="E20">
        <f>VLOOKUP(D20,Sheet2!A:C,3,0)</f>
        <v>5</v>
      </c>
      <c r="F20">
        <v>5.3399999999999996E-2</v>
      </c>
      <c r="G20">
        <f>399780-350113+155559</f>
        <v>205226</v>
      </c>
      <c r="H20" s="2">
        <f t="shared" si="9"/>
        <v>273634.66666666669</v>
      </c>
      <c r="I20" s="2">
        <f>80591</f>
        <v>80591</v>
      </c>
      <c r="J20" s="2">
        <f t="shared" si="10"/>
        <v>107454.66666666667</v>
      </c>
      <c r="K20" s="2">
        <f>2740357</f>
        <v>2740357</v>
      </c>
      <c r="L20" s="2">
        <f>1304633</f>
        <v>1304633</v>
      </c>
      <c r="M20" s="2">
        <f>24358+15270</f>
        <v>39628</v>
      </c>
      <c r="N20" s="2">
        <f t="shared" si="0"/>
        <v>4044990</v>
      </c>
      <c r="O20">
        <f t="shared" si="1"/>
        <v>2.5465126378876053</v>
      </c>
      <c r="P20">
        <f t="shared" si="2"/>
        <v>9.8698349624316606</v>
      </c>
      <c r="Q20">
        <f t="shared" si="3"/>
        <v>10.014655794100163</v>
      </c>
      <c r="R20">
        <f t="shared" si="4"/>
        <v>2.1004811314752883</v>
      </c>
      <c r="S20">
        <f t="shared" si="5"/>
        <v>6.7647798058009218E-2</v>
      </c>
      <c r="T20">
        <f t="shared" si="11"/>
        <v>0.20974072146470824</v>
      </c>
      <c r="U20">
        <f t="shared" si="12"/>
        <v>0</v>
      </c>
      <c r="V20">
        <f t="shared" si="6"/>
        <v>1</v>
      </c>
      <c r="W20">
        <f t="shared" si="7"/>
        <v>0</v>
      </c>
      <c r="X20">
        <f t="shared" si="8"/>
        <v>0</v>
      </c>
    </row>
    <row r="21" spans="1:24" x14ac:dyDescent="0.3">
      <c r="A21" t="s">
        <v>37</v>
      </c>
      <c r="B21" t="s">
        <v>38</v>
      </c>
      <c r="C21" t="s">
        <v>24</v>
      </c>
      <c r="D21" t="s">
        <v>118</v>
      </c>
      <c r="E21">
        <f>VLOOKUP(D21,Sheet2!A:C,3,0)</f>
        <v>6</v>
      </c>
      <c r="F21">
        <v>3.1300000000000001E-2</v>
      </c>
      <c r="G21">
        <f>384481-327943+141645</f>
        <v>198183</v>
      </c>
      <c r="H21" s="2">
        <f t="shared" si="9"/>
        <v>264244</v>
      </c>
      <c r="I21" s="2">
        <f>70677+3251</f>
        <v>73928</v>
      </c>
      <c r="J21" s="2">
        <f t="shared" si="10"/>
        <v>98570.666666666672</v>
      </c>
      <c r="K21" s="2">
        <f>2408295</f>
        <v>2408295</v>
      </c>
      <c r="L21" s="2">
        <f>1514368</f>
        <v>1514368</v>
      </c>
      <c r="M21" s="2">
        <f>47872+10745</f>
        <v>58617</v>
      </c>
      <c r="N21" s="2">
        <f t="shared" si="0"/>
        <v>3922663</v>
      </c>
      <c r="O21">
        <f t="shared" si="1"/>
        <v>2.6807569527107455</v>
      </c>
      <c r="P21">
        <f t="shared" si="2"/>
        <v>8.8920770197241943</v>
      </c>
      <c r="Q21">
        <f t="shared" si="3"/>
        <v>9.1139060867985648</v>
      </c>
      <c r="R21">
        <f t="shared" si="4"/>
        <v>1.5902970744231257</v>
      </c>
      <c r="S21">
        <f t="shared" si="5"/>
        <v>6.7363421226855333E-2</v>
      </c>
      <c r="T21">
        <f t="shared" si="11"/>
        <v>0.17449127292705605</v>
      </c>
      <c r="U21">
        <f t="shared" si="12"/>
        <v>0</v>
      </c>
      <c r="V21">
        <f t="shared" si="6"/>
        <v>1</v>
      </c>
      <c r="W21">
        <f t="shared" si="7"/>
        <v>0</v>
      </c>
      <c r="X21">
        <f t="shared" si="8"/>
        <v>0</v>
      </c>
    </row>
    <row r="22" spans="1:24" x14ac:dyDescent="0.3">
      <c r="A22" t="s">
        <v>40</v>
      </c>
      <c r="B22" t="s">
        <v>39</v>
      </c>
      <c r="C22" t="s">
        <v>24</v>
      </c>
      <c r="D22" t="s">
        <v>118</v>
      </c>
      <c r="E22">
        <f>VLOOKUP(D22,Sheet2!A:C,3,0)</f>
        <v>6</v>
      </c>
      <c r="F22">
        <v>3.1300000000000001E-2</v>
      </c>
      <c r="G22">
        <f>617865-672268+197844+109714+6327</f>
        <v>259482</v>
      </c>
      <c r="H22" s="2">
        <f t="shared" si="9"/>
        <v>345976</v>
      </c>
      <c r="I22" s="2">
        <f>6327+109714</f>
        <v>116041</v>
      </c>
      <c r="J22" s="2">
        <f t="shared" si="10"/>
        <v>154721.33333333334</v>
      </c>
      <c r="K22" s="2">
        <f>5168616</f>
        <v>5168616</v>
      </c>
      <c r="L22" s="2">
        <f>4107243</f>
        <v>4107243</v>
      </c>
      <c r="M22" s="2">
        <f>189750+119573+9616</f>
        <v>318939</v>
      </c>
      <c r="N22" s="2">
        <f t="shared" si="0"/>
        <v>9275859</v>
      </c>
      <c r="O22">
        <f t="shared" si="1"/>
        <v>2.236123439129273</v>
      </c>
      <c r="P22">
        <f t="shared" si="2"/>
        <v>14.017379818253289</v>
      </c>
      <c r="Q22">
        <f t="shared" si="3"/>
        <v>14.939232779152311</v>
      </c>
      <c r="R22">
        <f t="shared" si="4"/>
        <v>1.2584149513432734</v>
      </c>
      <c r="S22">
        <f t="shared" si="5"/>
        <v>3.7298540221450113E-2</v>
      </c>
      <c r="T22">
        <f t="shared" si="11"/>
        <v>8.4235580899401377E-2</v>
      </c>
      <c r="U22">
        <f t="shared" si="12"/>
        <v>0</v>
      </c>
      <c r="V22">
        <f t="shared" si="6"/>
        <v>1</v>
      </c>
      <c r="W22">
        <f t="shared" si="7"/>
        <v>0</v>
      </c>
      <c r="X22">
        <f t="shared" si="8"/>
        <v>0</v>
      </c>
    </row>
    <row r="23" spans="1:24" x14ac:dyDescent="0.3">
      <c r="A23" t="s">
        <v>42</v>
      </c>
      <c r="B23" t="s">
        <v>41</v>
      </c>
      <c r="C23" t="s">
        <v>24</v>
      </c>
      <c r="D23" t="s">
        <v>25</v>
      </c>
      <c r="E23">
        <f>VLOOKUP(D23,Sheet2!A:C,3,0)</f>
        <v>8</v>
      </c>
      <c r="F23">
        <v>1.1599999999999999E-2</v>
      </c>
      <c r="G23">
        <f>627138-450315+220416</f>
        <v>397239</v>
      </c>
      <c r="H23" s="2">
        <f t="shared" si="9"/>
        <v>529652</v>
      </c>
      <c r="I23" s="2">
        <f>101408</f>
        <v>101408</v>
      </c>
      <c r="J23" s="2">
        <f t="shared" si="10"/>
        <v>135210.66666666666</v>
      </c>
      <c r="K23" s="2">
        <f>3522594</f>
        <v>3522594</v>
      </c>
      <c r="L23" s="2">
        <f>2457322</f>
        <v>2457322</v>
      </c>
      <c r="M23" s="2">
        <f>16901+3809</f>
        <v>20710</v>
      </c>
      <c r="N23" s="2">
        <f t="shared" si="0"/>
        <v>5979916</v>
      </c>
      <c r="O23">
        <f t="shared" si="1"/>
        <v>3.9172353266014519</v>
      </c>
      <c r="P23">
        <f t="shared" si="2"/>
        <v>6.6116695490624036</v>
      </c>
      <c r="Q23">
        <f t="shared" si="3"/>
        <v>6.6507706947203067</v>
      </c>
      <c r="R23">
        <f t="shared" si="4"/>
        <v>1.4335093243783272</v>
      </c>
      <c r="S23">
        <f t="shared" si="5"/>
        <v>8.8571812714426087E-2</v>
      </c>
      <c r="T23">
        <f t="shared" si="11"/>
        <v>0.21554033211764678</v>
      </c>
      <c r="U23">
        <f t="shared" si="12"/>
        <v>0</v>
      </c>
      <c r="V23">
        <f t="shared" si="6"/>
        <v>1</v>
      </c>
      <c r="W23">
        <f t="shared" si="7"/>
        <v>0</v>
      </c>
      <c r="X23">
        <f t="shared" si="8"/>
        <v>0</v>
      </c>
    </row>
    <row r="24" spans="1:24" x14ac:dyDescent="0.3">
      <c r="A24" t="s">
        <v>44</v>
      </c>
      <c r="B24" t="s">
        <v>43</v>
      </c>
      <c r="C24" t="s">
        <v>24</v>
      </c>
      <c r="D24" t="s">
        <v>25</v>
      </c>
      <c r="E24">
        <f>VLOOKUP(D24,Sheet2!A:C,3,0)</f>
        <v>8</v>
      </c>
      <c r="F24">
        <v>1.1599999999999999E-2</v>
      </c>
      <c r="G24">
        <f>432425-382922+110422+63524</f>
        <v>223449</v>
      </c>
      <c r="H24" s="2">
        <f t="shared" si="9"/>
        <v>297932</v>
      </c>
      <c r="I24" s="2">
        <f>72827</f>
        <v>72827</v>
      </c>
      <c r="J24" s="2">
        <f t="shared" si="10"/>
        <v>97102.666666666672</v>
      </c>
      <c r="K24" s="2">
        <f>2306713</f>
        <v>2306713</v>
      </c>
      <c r="L24" s="2">
        <f>1767065</f>
        <v>1767065</v>
      </c>
      <c r="M24" s="2">
        <f>5044+5983</f>
        <v>11027</v>
      </c>
      <c r="N24" s="2">
        <f t="shared" si="0"/>
        <v>4073778</v>
      </c>
      <c r="O24">
        <f t="shared" si="1"/>
        <v>3.068216458181718</v>
      </c>
      <c r="P24">
        <f t="shared" si="2"/>
        <v>7.7054025750842472</v>
      </c>
      <c r="Q24">
        <f t="shared" si="3"/>
        <v>7.7424143764348914</v>
      </c>
      <c r="R24">
        <f t="shared" si="4"/>
        <v>1.3053922747606908</v>
      </c>
      <c r="S24">
        <f t="shared" si="5"/>
        <v>7.3134078489304033E-2</v>
      </c>
      <c r="T24">
        <f t="shared" si="11"/>
        <v>0.16860273957098351</v>
      </c>
      <c r="U24">
        <f t="shared" si="12"/>
        <v>0</v>
      </c>
      <c r="V24">
        <f t="shared" si="6"/>
        <v>1</v>
      </c>
      <c r="W24">
        <f t="shared" si="7"/>
        <v>0</v>
      </c>
      <c r="X24">
        <f t="shared" si="8"/>
        <v>0</v>
      </c>
    </row>
    <row r="25" spans="1:24" x14ac:dyDescent="0.3">
      <c r="A25" t="s">
        <v>59</v>
      </c>
      <c r="B25" t="s">
        <v>58</v>
      </c>
      <c r="C25" t="s">
        <v>57</v>
      </c>
      <c r="D25" t="s">
        <v>6</v>
      </c>
      <c r="E25">
        <f>VLOOKUP(D25,Sheet2!A:C,3,0)</f>
        <v>9</v>
      </c>
      <c r="F25">
        <v>8.1000000000000013E-3</v>
      </c>
      <c r="G25">
        <f>393330-208418+129020</f>
        <v>313932</v>
      </c>
      <c r="H25" s="2">
        <f t="shared" si="9"/>
        <v>418576</v>
      </c>
      <c r="I25" s="2">
        <f>58748</f>
        <v>58748</v>
      </c>
      <c r="J25" s="2">
        <f t="shared" si="10"/>
        <v>78330.666666666672</v>
      </c>
      <c r="K25" s="2">
        <f>2401712</f>
        <v>2401712</v>
      </c>
      <c r="L25" s="2">
        <f>5245394</f>
        <v>5245394</v>
      </c>
      <c r="M25" s="2">
        <f>6384+3</f>
        <v>6387</v>
      </c>
      <c r="N25" s="2">
        <f t="shared" si="0"/>
        <v>7647106</v>
      </c>
      <c r="O25">
        <f t="shared" si="1"/>
        <v>5.3437053176278342</v>
      </c>
      <c r="P25">
        <f t="shared" si="2"/>
        <v>5.7225569550093649</v>
      </c>
      <c r="Q25">
        <f t="shared" si="3"/>
        <v>5.7378158327281064</v>
      </c>
      <c r="R25">
        <f t="shared" si="4"/>
        <v>0.45787065757119483</v>
      </c>
      <c r="S25">
        <f t="shared" si="5"/>
        <v>5.4736523856214366E-2</v>
      </c>
      <c r="T25">
        <f t="shared" si="11"/>
        <v>7.9798772027420625E-2</v>
      </c>
      <c r="U25">
        <f t="shared" si="12"/>
        <v>0</v>
      </c>
      <c r="V25">
        <f t="shared" si="6"/>
        <v>0</v>
      </c>
      <c r="W25">
        <f t="shared" si="7"/>
        <v>1</v>
      </c>
      <c r="X25">
        <f t="shared" si="8"/>
        <v>0</v>
      </c>
    </row>
    <row r="26" spans="1:24" x14ac:dyDescent="0.3">
      <c r="A26" t="s">
        <v>61</v>
      </c>
      <c r="B26" t="s">
        <v>60</v>
      </c>
      <c r="C26" t="s">
        <v>57</v>
      </c>
      <c r="D26" t="s">
        <v>19</v>
      </c>
      <c r="E26">
        <f>VLOOKUP(D26,Sheet2!A:C,3,0)</f>
        <v>7</v>
      </c>
      <c r="F26">
        <v>2.4399999999999998E-2</v>
      </c>
      <c r="G26">
        <f>622728-528263+323463</f>
        <v>417928</v>
      </c>
      <c r="H26" s="2">
        <f t="shared" si="9"/>
        <v>557237.33333333337</v>
      </c>
      <c r="I26" s="2">
        <f>78114</f>
        <v>78114</v>
      </c>
      <c r="J26" s="2">
        <f t="shared" si="10"/>
        <v>104152</v>
      </c>
      <c r="K26" s="2">
        <f>3347828</f>
        <v>3347828</v>
      </c>
      <c r="L26" s="2">
        <f>3637669</f>
        <v>3637669</v>
      </c>
      <c r="M26" s="2">
        <f>52317+5997</f>
        <v>58314</v>
      </c>
      <c r="N26" s="2">
        <f t="shared" si="0"/>
        <v>6985497</v>
      </c>
      <c r="O26">
        <f t="shared" si="1"/>
        <v>5.3502317126251384</v>
      </c>
      <c r="P26">
        <f t="shared" si="2"/>
        <v>5.9032548668670195</v>
      </c>
      <c r="Q26">
        <f t="shared" si="3"/>
        <v>6.0079032752052983</v>
      </c>
      <c r="R26">
        <f t="shared" si="4"/>
        <v>0.92032232729256014</v>
      </c>
      <c r="S26">
        <f t="shared" si="5"/>
        <v>7.9770606634479033E-2</v>
      </c>
      <c r="T26">
        <f t="shared" si="11"/>
        <v>0.1531852769818621</v>
      </c>
      <c r="U26">
        <f t="shared" si="12"/>
        <v>0</v>
      </c>
      <c r="V26">
        <f t="shared" si="6"/>
        <v>0</v>
      </c>
      <c r="W26">
        <f t="shared" si="7"/>
        <v>1</v>
      </c>
      <c r="X26">
        <f t="shared" si="8"/>
        <v>0</v>
      </c>
    </row>
    <row r="27" spans="1:24" x14ac:dyDescent="0.3">
      <c r="A27" t="s">
        <v>63</v>
      </c>
      <c r="B27" t="s">
        <v>62</v>
      </c>
      <c r="C27" t="s">
        <v>57</v>
      </c>
      <c r="D27" t="s">
        <v>25</v>
      </c>
      <c r="E27">
        <f>VLOOKUP(D27,Sheet2!A:C,3,0)</f>
        <v>8</v>
      </c>
      <c r="F27">
        <v>1.1599999999999999E-2</v>
      </c>
      <c r="G27">
        <f>185463-85027+37411</f>
        <v>137847</v>
      </c>
      <c r="H27" s="2">
        <f t="shared" si="9"/>
        <v>183796</v>
      </c>
      <c r="I27" s="2">
        <f>32245</f>
        <v>32245</v>
      </c>
      <c r="J27" s="2">
        <f t="shared" si="10"/>
        <v>42993.333333333336</v>
      </c>
      <c r="K27" s="2">
        <f>1202250</f>
        <v>1202250</v>
      </c>
      <c r="L27" s="2">
        <f>1253644</f>
        <v>1253644</v>
      </c>
      <c r="M27" s="2">
        <f>5675</f>
        <v>5675</v>
      </c>
      <c r="N27" s="2">
        <f t="shared" si="0"/>
        <v>2455894</v>
      </c>
      <c r="O27">
        <f t="shared" si="1"/>
        <v>4.2749883702899671</v>
      </c>
      <c r="P27">
        <f t="shared" si="2"/>
        <v>6.5103429889660278</v>
      </c>
      <c r="Q27">
        <f t="shared" si="3"/>
        <v>6.5412196130492504</v>
      </c>
      <c r="R27">
        <f t="shared" si="4"/>
        <v>0.95900431063364078</v>
      </c>
      <c r="S27">
        <f t="shared" si="5"/>
        <v>7.4838734896538694E-2</v>
      </c>
      <c r="T27">
        <f t="shared" si="11"/>
        <v>0.14660940426468758</v>
      </c>
      <c r="U27">
        <f t="shared" si="12"/>
        <v>0</v>
      </c>
      <c r="V27">
        <f t="shared" si="6"/>
        <v>0</v>
      </c>
      <c r="W27">
        <f t="shared" si="7"/>
        <v>1</v>
      </c>
      <c r="X27">
        <f t="shared" si="8"/>
        <v>0</v>
      </c>
    </row>
    <row r="28" spans="1:24" x14ac:dyDescent="0.3">
      <c r="A28" t="s">
        <v>65</v>
      </c>
      <c r="B28" t="s">
        <v>64</v>
      </c>
      <c r="C28" t="s">
        <v>57</v>
      </c>
      <c r="D28" t="s">
        <v>19</v>
      </c>
      <c r="E28">
        <f>VLOOKUP(D28,Sheet2!A:C,3,0)</f>
        <v>7</v>
      </c>
      <c r="F28">
        <v>2.4399999999999998E-2</v>
      </c>
      <c r="G28">
        <f>421609-328973+165535</f>
        <v>258171</v>
      </c>
      <c r="H28" s="2">
        <f t="shared" si="9"/>
        <v>344228</v>
      </c>
      <c r="I28" s="2">
        <f>61991</f>
        <v>61991</v>
      </c>
      <c r="J28" s="2">
        <f t="shared" si="10"/>
        <v>82654.666666666672</v>
      </c>
      <c r="K28" s="2">
        <f>1978405</f>
        <v>1978405</v>
      </c>
      <c r="L28" s="2">
        <f>2046717</f>
        <v>2046717</v>
      </c>
      <c r="M28" s="2">
        <f>26560+36701</f>
        <v>63261</v>
      </c>
      <c r="N28" s="2">
        <f t="shared" si="0"/>
        <v>4025122</v>
      </c>
      <c r="O28">
        <f t="shared" si="1"/>
        <v>4.1646529334903448</v>
      </c>
      <c r="P28">
        <f t="shared" si="2"/>
        <v>5.5635915730271801</v>
      </c>
      <c r="Q28">
        <f t="shared" si="3"/>
        <v>5.7473680235192957</v>
      </c>
      <c r="R28">
        <f t="shared" si="4"/>
        <v>0.96662362212264807</v>
      </c>
      <c r="S28">
        <f t="shared" si="5"/>
        <v>8.5519892316307425E-2</v>
      </c>
      <c r="T28">
        <f t="shared" si="11"/>
        <v>0.16818544039063535</v>
      </c>
      <c r="U28">
        <f t="shared" si="12"/>
        <v>0</v>
      </c>
      <c r="V28">
        <f t="shared" si="6"/>
        <v>0</v>
      </c>
      <c r="W28">
        <f t="shared" si="7"/>
        <v>1</v>
      </c>
      <c r="X28">
        <f t="shared" si="8"/>
        <v>0</v>
      </c>
    </row>
    <row r="29" spans="1:24" x14ac:dyDescent="0.3">
      <c r="A29" t="s">
        <v>67</v>
      </c>
      <c r="B29" t="s">
        <v>66</v>
      </c>
      <c r="C29" t="s">
        <v>57</v>
      </c>
      <c r="D29" t="s">
        <v>25</v>
      </c>
      <c r="E29">
        <f>VLOOKUP(D29,Sheet2!A:C,3,0)</f>
        <v>8</v>
      </c>
      <c r="F29">
        <v>1.1599999999999999E-2</v>
      </c>
      <c r="G29">
        <f>570965-447839+236527</f>
        <v>359653</v>
      </c>
      <c r="H29" s="2">
        <f t="shared" si="9"/>
        <v>479537.33333333331</v>
      </c>
      <c r="I29" s="2">
        <f>104993</f>
        <v>104993</v>
      </c>
      <c r="J29" s="2">
        <f t="shared" si="10"/>
        <v>139990.66666666666</v>
      </c>
      <c r="K29" s="2">
        <f>4157415</f>
        <v>4157415</v>
      </c>
      <c r="L29" s="2">
        <f>4492793</f>
        <v>4492793</v>
      </c>
      <c r="M29" s="2">
        <f>134166</f>
        <v>134166</v>
      </c>
      <c r="N29" s="2">
        <f t="shared" si="0"/>
        <v>8650208</v>
      </c>
      <c r="O29">
        <f t="shared" si="1"/>
        <v>3.4254950330022003</v>
      </c>
      <c r="P29">
        <f t="shared" si="2"/>
        <v>8.3898556386294576</v>
      </c>
      <c r="Q29">
        <f t="shared" si="3"/>
        <v>8.6696378175630411</v>
      </c>
      <c r="R29">
        <f t="shared" si="4"/>
        <v>0.92535200264067363</v>
      </c>
      <c r="S29">
        <f t="shared" si="5"/>
        <v>5.5436508964100434E-2</v>
      </c>
      <c r="T29">
        <f t="shared" si="11"/>
        <v>0.10673479355343843</v>
      </c>
      <c r="U29">
        <f t="shared" si="12"/>
        <v>0</v>
      </c>
      <c r="V29">
        <f t="shared" si="6"/>
        <v>0</v>
      </c>
      <c r="W29">
        <f t="shared" si="7"/>
        <v>1</v>
      </c>
      <c r="X29">
        <f t="shared" si="8"/>
        <v>0</v>
      </c>
    </row>
    <row r="30" spans="1:24" x14ac:dyDescent="0.3">
      <c r="A30" t="s">
        <v>69</v>
      </c>
      <c r="B30" t="s">
        <v>68</v>
      </c>
      <c r="C30" t="s">
        <v>57</v>
      </c>
      <c r="D30" t="s">
        <v>25</v>
      </c>
      <c r="E30">
        <f>VLOOKUP(D30,Sheet2!A:C,3,0)</f>
        <v>8</v>
      </c>
      <c r="F30">
        <v>1.1599999999999999E-2</v>
      </c>
      <c r="G30">
        <f>928551-614725+272807</f>
        <v>586633</v>
      </c>
      <c r="H30" s="2">
        <f t="shared" si="9"/>
        <v>782177.33333333337</v>
      </c>
      <c r="I30" s="2">
        <f>143529</f>
        <v>143529</v>
      </c>
      <c r="J30" s="2">
        <f t="shared" si="10"/>
        <v>191372</v>
      </c>
      <c r="K30" s="2">
        <f>5467510</f>
        <v>5467510</v>
      </c>
      <c r="L30" s="2">
        <f>2868380</f>
        <v>2868380</v>
      </c>
      <c r="M30" s="2">
        <f>861+17822+20609</f>
        <v>39292</v>
      </c>
      <c r="N30" s="2">
        <f t="shared" si="0"/>
        <v>8335890</v>
      </c>
      <c r="O30">
        <f t="shared" si="1"/>
        <v>4.0872088567467202</v>
      </c>
      <c r="P30">
        <f t="shared" si="2"/>
        <v>6.9398814931993256</v>
      </c>
      <c r="Q30">
        <f t="shared" si="3"/>
        <v>6.9901156259535346</v>
      </c>
      <c r="R30">
        <f t="shared" si="4"/>
        <v>1.9061316840864879</v>
      </c>
      <c r="S30">
        <f t="shared" si="5"/>
        <v>9.3832492191395681E-2</v>
      </c>
      <c r="T30">
        <f t="shared" si="11"/>
        <v>0.27268957855421294</v>
      </c>
      <c r="U30">
        <f t="shared" si="12"/>
        <v>0</v>
      </c>
      <c r="V30">
        <f t="shared" si="6"/>
        <v>0</v>
      </c>
      <c r="W30">
        <f t="shared" si="7"/>
        <v>1</v>
      </c>
      <c r="X30">
        <f t="shared" si="8"/>
        <v>0</v>
      </c>
    </row>
    <row r="31" spans="1:24" x14ac:dyDescent="0.3">
      <c r="A31" t="s">
        <v>71</v>
      </c>
      <c r="B31" t="s">
        <v>70</v>
      </c>
      <c r="C31" t="s">
        <v>57</v>
      </c>
      <c r="D31" t="s">
        <v>6</v>
      </c>
      <c r="E31">
        <f>VLOOKUP(D31,Sheet2!A:C,3,0)</f>
        <v>9</v>
      </c>
      <c r="F31">
        <v>8.1000000000000013E-3</v>
      </c>
      <c r="G31">
        <f>840342-544351+239342</f>
        <v>535333</v>
      </c>
      <c r="H31" s="2">
        <f t="shared" si="9"/>
        <v>713777.33333333337</v>
      </c>
      <c r="I31" s="2">
        <f>124835</f>
        <v>124835</v>
      </c>
      <c r="J31" s="2">
        <f t="shared" si="10"/>
        <v>166446.66666666666</v>
      </c>
      <c r="K31" s="2">
        <f>5156105</f>
        <v>5156105</v>
      </c>
      <c r="L31" s="2">
        <f>2961049</f>
        <v>2961049</v>
      </c>
      <c r="M31" s="2">
        <f>98210</f>
        <v>98210</v>
      </c>
      <c r="N31" s="2">
        <f t="shared" si="0"/>
        <v>8117154</v>
      </c>
      <c r="O31">
        <f t="shared" si="1"/>
        <v>4.2883245884567636</v>
      </c>
      <c r="P31">
        <f t="shared" si="2"/>
        <v>7.0860964110189357</v>
      </c>
      <c r="Q31">
        <f t="shared" si="3"/>
        <v>7.2236883397810328</v>
      </c>
      <c r="R31">
        <f t="shared" si="4"/>
        <v>1.741310258627939</v>
      </c>
      <c r="S31">
        <f t="shared" si="5"/>
        <v>8.7934432848426114E-2</v>
      </c>
      <c r="T31">
        <f t="shared" si="11"/>
        <v>0.24105556285402011</v>
      </c>
      <c r="U31">
        <f t="shared" si="12"/>
        <v>0</v>
      </c>
      <c r="V31">
        <f t="shared" si="6"/>
        <v>0</v>
      </c>
      <c r="W31">
        <f t="shared" si="7"/>
        <v>1</v>
      </c>
      <c r="X31">
        <f t="shared" si="8"/>
        <v>0</v>
      </c>
    </row>
    <row r="32" spans="1:24" x14ac:dyDescent="0.3">
      <c r="A32" t="s">
        <v>73</v>
      </c>
      <c r="B32" t="s">
        <v>72</v>
      </c>
      <c r="C32" t="s">
        <v>57</v>
      </c>
      <c r="D32" t="s">
        <v>2</v>
      </c>
      <c r="E32">
        <f>VLOOKUP(D32,Sheet2!A:C,3,0)</f>
        <v>10</v>
      </c>
      <c r="F32">
        <v>4.5999999999999999E-3</v>
      </c>
      <c r="G32">
        <f>4131398-2116515+941851</f>
        <v>2956734</v>
      </c>
      <c r="H32" s="2">
        <f t="shared" si="9"/>
        <v>3942312</v>
      </c>
      <c r="I32" s="2">
        <f>629725</f>
        <v>629725</v>
      </c>
      <c r="J32" s="2">
        <f t="shared" si="10"/>
        <v>839633.33333333337</v>
      </c>
      <c r="K32" s="2">
        <f>29351729</f>
        <v>29351729</v>
      </c>
      <c r="L32" s="2">
        <f>3410408</f>
        <v>3410408</v>
      </c>
      <c r="M32" s="2">
        <f>769031</f>
        <v>769031</v>
      </c>
      <c r="N32" s="2">
        <f t="shared" si="0"/>
        <v>32762137</v>
      </c>
      <c r="O32">
        <f t="shared" si="1"/>
        <v>4.6952780975822774</v>
      </c>
      <c r="P32">
        <f t="shared" si="2"/>
        <v>7.2502374241308143</v>
      </c>
      <c r="Q32">
        <f t="shared" si="3"/>
        <v>7.4453084890287728</v>
      </c>
      <c r="R32">
        <f t="shared" si="4"/>
        <v>8.6065154081271213</v>
      </c>
      <c r="S32">
        <f t="shared" si="5"/>
        <v>0.12033134468609297</v>
      </c>
      <c r="T32">
        <f t="shared" si="11"/>
        <v>1.1559649168076078</v>
      </c>
      <c r="U32">
        <f t="shared" si="12"/>
        <v>0</v>
      </c>
      <c r="V32">
        <f t="shared" si="6"/>
        <v>0</v>
      </c>
      <c r="W32">
        <f t="shared" si="7"/>
        <v>1</v>
      </c>
      <c r="X32">
        <f t="shared" si="8"/>
        <v>0</v>
      </c>
    </row>
    <row r="33" spans="1:24" x14ac:dyDescent="0.3">
      <c r="A33" t="s">
        <v>75</v>
      </c>
      <c r="B33" t="s">
        <v>74</v>
      </c>
      <c r="C33" t="s">
        <v>57</v>
      </c>
      <c r="D33" t="s">
        <v>19</v>
      </c>
      <c r="E33">
        <f>VLOOKUP(D33,Sheet2!A:C,3,0)</f>
        <v>7</v>
      </c>
      <c r="F33">
        <v>2.4399999999999998E-2</v>
      </c>
      <c r="G33">
        <f>138204-73690+32580</f>
        <v>97094</v>
      </c>
      <c r="H33" s="2">
        <f t="shared" si="9"/>
        <v>129458.66666666667</v>
      </c>
      <c r="I33" s="2">
        <f>22701</f>
        <v>22701</v>
      </c>
      <c r="J33" s="2">
        <f t="shared" si="10"/>
        <v>30268</v>
      </c>
      <c r="K33" s="2">
        <f>852801</f>
        <v>852801</v>
      </c>
      <c r="L33" s="2">
        <f>925906</f>
        <v>925906</v>
      </c>
      <c r="M33" s="2">
        <f>5496+1366</f>
        <v>6862</v>
      </c>
      <c r="N33" s="2">
        <f t="shared" si="0"/>
        <v>1778707</v>
      </c>
      <c r="O33">
        <f t="shared" si="1"/>
        <v>4.2770803048323867</v>
      </c>
      <c r="P33">
        <f t="shared" ref="P33:P49" si="13">(K33-M33)/H33</f>
        <v>6.5344331266607618</v>
      </c>
      <c r="Q33">
        <f t="shared" si="3"/>
        <v>6.5874384616969124</v>
      </c>
      <c r="R33">
        <f t="shared" si="4"/>
        <v>0.92104490088626711</v>
      </c>
      <c r="S33">
        <f t="shared" si="5"/>
        <v>7.2782457519235413E-2</v>
      </c>
      <c r="T33">
        <f t="shared" si="11"/>
        <v>0.13981836889129853</v>
      </c>
      <c r="U33">
        <f t="shared" si="12"/>
        <v>0</v>
      </c>
      <c r="V33">
        <f t="shared" si="6"/>
        <v>0</v>
      </c>
      <c r="W33">
        <f t="shared" si="7"/>
        <v>1</v>
      </c>
      <c r="X33">
        <f t="shared" si="8"/>
        <v>0</v>
      </c>
    </row>
    <row r="34" spans="1:24" x14ac:dyDescent="0.3">
      <c r="A34" t="s">
        <v>77</v>
      </c>
      <c r="B34" t="s">
        <v>76</v>
      </c>
      <c r="C34" t="s">
        <v>57</v>
      </c>
      <c r="D34" t="s">
        <v>25</v>
      </c>
      <c r="E34">
        <f>VLOOKUP(D34,Sheet2!A:C,3,0)</f>
        <v>8</v>
      </c>
      <c r="F34">
        <v>1.1599999999999999E-2</v>
      </c>
      <c r="G34">
        <f>261861-103028+36837</f>
        <v>195670</v>
      </c>
      <c r="H34" s="2">
        <f t="shared" si="9"/>
        <v>260893.33333333334</v>
      </c>
      <c r="I34" s="2">
        <f>36837</f>
        <v>36837</v>
      </c>
      <c r="J34" s="2">
        <f t="shared" si="10"/>
        <v>49116</v>
      </c>
      <c r="K34" s="2">
        <f>1674391</f>
        <v>1674391</v>
      </c>
      <c r="L34" s="2">
        <f>2837790</f>
        <v>2837790</v>
      </c>
      <c r="M34" s="2">
        <f>36106+5912</f>
        <v>42018</v>
      </c>
      <c r="N34" s="2">
        <f t="shared" ref="N34:N49" si="14">K34+L34</f>
        <v>4512181</v>
      </c>
      <c r="O34">
        <f t="shared" ref="O34:O49" si="15">H34/J34</f>
        <v>5.3117789179357713</v>
      </c>
      <c r="P34">
        <f t="shared" si="13"/>
        <v>6.2568597638881789</v>
      </c>
      <c r="Q34">
        <f t="shared" ref="Q34:Q49" si="16">K34/H34</f>
        <v>6.4179140900495728</v>
      </c>
      <c r="R34">
        <f t="shared" ref="R34:R49" si="17">K34/L34</f>
        <v>0.59003344151610937</v>
      </c>
      <c r="S34">
        <f t="shared" ref="S34:S49" si="18">H34/N34</f>
        <v>5.781978456390232E-2</v>
      </c>
      <c r="T34">
        <f t="shared" si="11"/>
        <v>9.1935391037861622E-2</v>
      </c>
      <c r="U34">
        <f t="shared" si="12"/>
        <v>0</v>
      </c>
      <c r="V34">
        <f t="shared" si="6"/>
        <v>0</v>
      </c>
      <c r="W34">
        <f t="shared" si="7"/>
        <v>1</v>
      </c>
      <c r="X34">
        <f t="shared" si="8"/>
        <v>0</v>
      </c>
    </row>
    <row r="35" spans="1:24" x14ac:dyDescent="0.3">
      <c r="A35" t="s">
        <v>79</v>
      </c>
      <c r="B35" t="s">
        <v>78</v>
      </c>
      <c r="C35" t="s">
        <v>57</v>
      </c>
      <c r="D35" t="s">
        <v>6</v>
      </c>
      <c r="E35">
        <f>VLOOKUP(D35,Sheet2!A:C,3,0)</f>
        <v>9</v>
      </c>
      <c r="F35">
        <v>8.1000000000000013E-3</v>
      </c>
      <c r="G35">
        <f>1331797-913974+382983</f>
        <v>800806</v>
      </c>
      <c r="H35" s="2">
        <f t="shared" si="9"/>
        <v>1067741.3333333333</v>
      </c>
      <c r="I35" s="2">
        <f>182404</f>
        <v>182404</v>
      </c>
      <c r="J35" s="2">
        <f t="shared" si="10"/>
        <v>243205.33333333334</v>
      </c>
      <c r="K35" s="2">
        <f>8136080</f>
        <v>8136080</v>
      </c>
      <c r="L35" s="2">
        <f>9722348</f>
        <v>9722348</v>
      </c>
      <c r="M35" s="2">
        <f>424262+327135</f>
        <v>751397</v>
      </c>
      <c r="N35" s="2">
        <f t="shared" si="14"/>
        <v>17858428</v>
      </c>
      <c r="O35">
        <f t="shared" si="15"/>
        <v>4.3902874936953129</v>
      </c>
      <c r="P35">
        <f t="shared" si="13"/>
        <v>6.9161722689390448</v>
      </c>
      <c r="Q35">
        <f t="shared" si="16"/>
        <v>7.6198979528125417</v>
      </c>
      <c r="R35">
        <f t="shared" si="17"/>
        <v>0.83684311649819565</v>
      </c>
      <c r="S35">
        <f t="shared" si="18"/>
        <v>5.9789211756674961E-2</v>
      </c>
      <c r="T35">
        <f t="shared" si="11"/>
        <v>0.10982340205610139</v>
      </c>
      <c r="U35">
        <f t="shared" si="12"/>
        <v>0</v>
      </c>
      <c r="V35">
        <f t="shared" si="6"/>
        <v>0</v>
      </c>
      <c r="W35">
        <f t="shared" si="7"/>
        <v>1</v>
      </c>
      <c r="X35">
        <f t="shared" si="8"/>
        <v>0</v>
      </c>
    </row>
    <row r="36" spans="1:24" x14ac:dyDescent="0.3">
      <c r="A36" t="s">
        <v>81</v>
      </c>
      <c r="B36" t="s">
        <v>80</v>
      </c>
      <c r="C36" t="s">
        <v>57</v>
      </c>
      <c r="D36" t="s">
        <v>6</v>
      </c>
      <c r="E36">
        <f>VLOOKUP(D36,Sheet2!A:C,3,0)</f>
        <v>9</v>
      </c>
      <c r="F36">
        <v>8.1000000000000013E-3</v>
      </c>
      <c r="G36">
        <f>611880-236686+178546</f>
        <v>553740</v>
      </c>
      <c r="H36" s="2">
        <f t="shared" si="9"/>
        <v>738320</v>
      </c>
      <c r="I36" s="2">
        <f>120509</f>
        <v>120509</v>
      </c>
      <c r="J36" s="2">
        <f t="shared" si="10"/>
        <v>160678.66666666666</v>
      </c>
      <c r="K36" s="2">
        <f>4403250</f>
        <v>4403250</v>
      </c>
      <c r="L36" s="2">
        <f>4158058</f>
        <v>4158058</v>
      </c>
      <c r="M36" s="2">
        <f>77137+21126</f>
        <v>98263</v>
      </c>
      <c r="N36" s="2">
        <f t="shared" si="14"/>
        <v>8561308</v>
      </c>
      <c r="O36">
        <f t="shared" si="15"/>
        <v>4.5950095013650438</v>
      </c>
      <c r="P36">
        <f t="shared" si="13"/>
        <v>5.8307874634304913</v>
      </c>
      <c r="Q36">
        <f t="shared" si="16"/>
        <v>5.9638774515115394</v>
      </c>
      <c r="R36">
        <f t="shared" si="17"/>
        <v>1.0589679124245019</v>
      </c>
      <c r="S36">
        <f t="shared" si="18"/>
        <v>8.6239158782746753E-2</v>
      </c>
      <c r="T36">
        <f t="shared" si="11"/>
        <v>0.17756366072815724</v>
      </c>
      <c r="U36">
        <f t="shared" si="12"/>
        <v>0</v>
      </c>
      <c r="V36">
        <f t="shared" si="6"/>
        <v>0</v>
      </c>
      <c r="W36">
        <f t="shared" si="7"/>
        <v>1</v>
      </c>
      <c r="X36">
        <f t="shared" si="8"/>
        <v>0</v>
      </c>
    </row>
    <row r="37" spans="1:24" x14ac:dyDescent="0.3">
      <c r="A37" t="s">
        <v>83</v>
      </c>
      <c r="B37" t="s">
        <v>82</v>
      </c>
      <c r="C37" t="s">
        <v>57</v>
      </c>
      <c r="D37" t="s">
        <v>2</v>
      </c>
      <c r="E37">
        <f>VLOOKUP(D37,Sheet2!A:C,3,0)</f>
        <v>10</v>
      </c>
      <c r="F37">
        <v>4.5999999999999999E-3</v>
      </c>
      <c r="G37">
        <f>3002708-2347366+1419321+522110</f>
        <v>2596773</v>
      </c>
      <c r="H37" s="2">
        <f t="shared" si="9"/>
        <v>3462364</v>
      </c>
      <c r="I37" s="2">
        <f>522110</f>
        <v>522110</v>
      </c>
      <c r="J37" s="2">
        <f t="shared" si="10"/>
        <v>696146.66666666663</v>
      </c>
      <c r="K37" s="2">
        <f>23513502</f>
        <v>23513502</v>
      </c>
      <c r="L37" s="2">
        <f>31823418</f>
        <v>31823418</v>
      </c>
      <c r="M37" s="2">
        <f>344129</f>
        <v>344129</v>
      </c>
      <c r="N37" s="2">
        <f t="shared" si="14"/>
        <v>55336920</v>
      </c>
      <c r="O37">
        <f t="shared" si="15"/>
        <v>4.9736128402060871</v>
      </c>
      <c r="P37">
        <f t="shared" si="13"/>
        <v>6.6917785074013016</v>
      </c>
      <c r="Q37">
        <f t="shared" si="16"/>
        <v>6.7911698481153335</v>
      </c>
      <c r="R37">
        <f t="shared" si="17"/>
        <v>0.73887418378503533</v>
      </c>
      <c r="S37">
        <f t="shared" si="18"/>
        <v>6.2568787709905066E-2</v>
      </c>
      <c r="T37">
        <f t="shared" si="11"/>
        <v>0.10879924965948032</v>
      </c>
      <c r="U37">
        <f t="shared" si="12"/>
        <v>0</v>
      </c>
      <c r="V37">
        <f t="shared" si="6"/>
        <v>0</v>
      </c>
      <c r="W37">
        <f t="shared" si="7"/>
        <v>1</v>
      </c>
      <c r="X37">
        <f t="shared" si="8"/>
        <v>0</v>
      </c>
    </row>
    <row r="38" spans="1:24" x14ac:dyDescent="0.3">
      <c r="A38" t="s">
        <v>85</v>
      </c>
      <c r="B38" t="s">
        <v>84</v>
      </c>
      <c r="C38" t="s">
        <v>57</v>
      </c>
      <c r="D38" t="s">
        <v>6</v>
      </c>
      <c r="E38">
        <f>VLOOKUP(D38,Sheet2!A:C,3,0)</f>
        <v>9</v>
      </c>
      <c r="F38">
        <v>8.1000000000000013E-3</v>
      </c>
      <c r="G38">
        <f>962862-611139+253373</f>
        <v>605096</v>
      </c>
      <c r="H38" s="2">
        <f t="shared" si="9"/>
        <v>806794.66666666663</v>
      </c>
      <c r="I38" s="2">
        <f>112156</f>
        <v>112156</v>
      </c>
      <c r="J38" s="2">
        <f t="shared" si="10"/>
        <v>149541.33333333334</v>
      </c>
      <c r="K38" s="2">
        <f>5149887</f>
        <v>5149887</v>
      </c>
      <c r="L38" s="2">
        <f>7231527</f>
        <v>7231527</v>
      </c>
      <c r="M38" s="2">
        <f>81070</f>
        <v>81070</v>
      </c>
      <c r="N38" s="2">
        <f t="shared" si="14"/>
        <v>12381414</v>
      </c>
      <c r="O38">
        <f t="shared" si="15"/>
        <v>5.395128214272976</v>
      </c>
      <c r="P38">
        <f t="shared" si="13"/>
        <v>6.2826605199836063</v>
      </c>
      <c r="Q38">
        <f t="shared" si="16"/>
        <v>6.3831445754062166</v>
      </c>
      <c r="R38">
        <f t="shared" si="17"/>
        <v>0.71214378374028053</v>
      </c>
      <c r="S38">
        <f t="shared" si="18"/>
        <v>6.516175508440851E-2</v>
      </c>
      <c r="T38">
        <f t="shared" si="11"/>
        <v>0.11156629390537665</v>
      </c>
      <c r="U38">
        <f t="shared" si="12"/>
        <v>0</v>
      </c>
      <c r="V38">
        <f t="shared" si="6"/>
        <v>0</v>
      </c>
      <c r="W38">
        <f t="shared" si="7"/>
        <v>1</v>
      </c>
      <c r="X38">
        <f t="shared" si="8"/>
        <v>0</v>
      </c>
    </row>
    <row r="39" spans="1:24" x14ac:dyDescent="0.3">
      <c r="A39" t="s">
        <v>87</v>
      </c>
      <c r="B39" t="s">
        <v>86</v>
      </c>
      <c r="C39" t="s">
        <v>57</v>
      </c>
      <c r="D39" t="s">
        <v>25</v>
      </c>
      <c r="E39">
        <f>VLOOKUP(D39,Sheet2!A:C,3,0)</f>
        <v>8</v>
      </c>
      <c r="F39">
        <v>1.1599999999999999E-2</v>
      </c>
      <c r="G39">
        <f>336930-234949+76656</f>
        <v>178637</v>
      </c>
      <c r="H39" s="2">
        <f t="shared" si="9"/>
        <v>238182.66666666666</v>
      </c>
      <c r="I39" s="2">
        <f>35997</f>
        <v>35997</v>
      </c>
      <c r="J39" s="2">
        <f t="shared" si="10"/>
        <v>47996</v>
      </c>
      <c r="K39" s="2">
        <f>1692873</f>
        <v>1692873</v>
      </c>
      <c r="L39" s="2">
        <f>512430</f>
        <v>512430</v>
      </c>
      <c r="M39" s="2">
        <f>188459</f>
        <v>188459</v>
      </c>
      <c r="N39" s="2">
        <f t="shared" si="14"/>
        <v>2205303</v>
      </c>
      <c r="O39">
        <f t="shared" si="15"/>
        <v>4.9625524349251329</v>
      </c>
      <c r="P39">
        <f t="shared" si="13"/>
        <v>6.3162194842054005</v>
      </c>
      <c r="Q39">
        <f t="shared" si="16"/>
        <v>7.1074567418843806</v>
      </c>
      <c r="R39">
        <f t="shared" si="17"/>
        <v>3.3036180551489958</v>
      </c>
      <c r="S39">
        <f t="shared" si="18"/>
        <v>0.10800450852634158</v>
      </c>
      <c r="T39">
        <f t="shared" si="11"/>
        <v>0.46481015293145728</v>
      </c>
      <c r="U39">
        <f t="shared" si="12"/>
        <v>0</v>
      </c>
      <c r="V39">
        <f t="shared" si="6"/>
        <v>0</v>
      </c>
      <c r="W39">
        <f t="shared" si="7"/>
        <v>1</v>
      </c>
      <c r="X39">
        <f t="shared" si="8"/>
        <v>0</v>
      </c>
    </row>
    <row r="40" spans="1:24" x14ac:dyDescent="0.3">
      <c r="A40" t="s">
        <v>92</v>
      </c>
      <c r="B40" t="s">
        <v>91</v>
      </c>
      <c r="C40" t="s">
        <v>90</v>
      </c>
      <c r="D40" t="s">
        <v>25</v>
      </c>
      <c r="E40">
        <f>VLOOKUP(D40,Sheet2!A:C,3,0)</f>
        <v>8</v>
      </c>
      <c r="F40">
        <v>1.1599999999999999E-2</v>
      </c>
      <c r="G40">
        <f>524528-350126+207199</f>
        <v>381601</v>
      </c>
      <c r="H40" s="2">
        <f t="shared" si="9"/>
        <v>508801.33333333331</v>
      </c>
      <c r="I40" s="2">
        <f>69225</f>
        <v>69225</v>
      </c>
      <c r="J40" s="2">
        <f t="shared" si="10"/>
        <v>92300</v>
      </c>
      <c r="K40" s="2">
        <f>2780651</f>
        <v>2780651</v>
      </c>
      <c r="L40" s="2">
        <f>3495363</f>
        <v>3495363</v>
      </c>
      <c r="M40" s="2">
        <f>10944+1086</f>
        <v>12030</v>
      </c>
      <c r="N40" s="2">
        <f t="shared" si="14"/>
        <v>6276014</v>
      </c>
      <c r="O40">
        <f t="shared" si="15"/>
        <v>5.5124738172625491</v>
      </c>
      <c r="P40">
        <f t="shared" si="13"/>
        <v>5.4414578316094557</v>
      </c>
      <c r="Q40">
        <f t="shared" si="16"/>
        <v>5.4651016375743255</v>
      </c>
      <c r="R40">
        <f t="shared" si="17"/>
        <v>0.79552567215479475</v>
      </c>
      <c r="S40">
        <f t="shared" si="18"/>
        <v>8.1070777301219102E-2</v>
      </c>
      <c r="T40">
        <f t="shared" si="11"/>
        <v>0.1455646619058831</v>
      </c>
      <c r="U40">
        <f t="shared" si="12"/>
        <v>0</v>
      </c>
      <c r="V40">
        <f t="shared" si="6"/>
        <v>0</v>
      </c>
      <c r="W40">
        <f t="shared" si="7"/>
        <v>0</v>
      </c>
      <c r="X40">
        <f t="shared" si="8"/>
        <v>1</v>
      </c>
    </row>
    <row r="41" spans="1:24" x14ac:dyDescent="0.3">
      <c r="A41" t="s">
        <v>94</v>
      </c>
      <c r="B41" t="s">
        <v>93</v>
      </c>
      <c r="C41" t="s">
        <v>90</v>
      </c>
      <c r="D41" t="s">
        <v>6</v>
      </c>
      <c r="E41">
        <f>VLOOKUP(D41,Sheet2!A:C,3,0)</f>
        <v>9</v>
      </c>
      <c r="F41">
        <v>8.1000000000000013E-3</v>
      </c>
      <c r="G41">
        <f>587401-368930+178671</f>
        <v>397142</v>
      </c>
      <c r="H41" s="2">
        <f t="shared" si="9"/>
        <v>529522.66666666663</v>
      </c>
      <c r="I41" s="2">
        <f>46830</f>
        <v>46830</v>
      </c>
      <c r="J41" s="2">
        <f t="shared" si="10"/>
        <v>62440</v>
      </c>
      <c r="K41" s="2">
        <f>2734160</f>
        <v>2734160</v>
      </c>
      <c r="L41" s="2">
        <f>7843304</f>
        <v>7843304</v>
      </c>
      <c r="M41" s="2">
        <f>83268+18973</f>
        <v>102241</v>
      </c>
      <c r="N41" s="2">
        <f t="shared" si="14"/>
        <v>10577464</v>
      </c>
      <c r="O41">
        <f t="shared" si="15"/>
        <v>8.4805039504591075</v>
      </c>
      <c r="P41">
        <f t="shared" si="13"/>
        <v>4.9703613568950153</v>
      </c>
      <c r="Q41">
        <f t="shared" si="16"/>
        <v>5.1634427987974076</v>
      </c>
      <c r="R41">
        <f t="shared" si="17"/>
        <v>0.34859798880675796</v>
      </c>
      <c r="S41">
        <f t="shared" si="18"/>
        <v>5.0061400981054306E-2</v>
      </c>
      <c r="T41">
        <f t="shared" si="11"/>
        <v>6.7512704679898505E-2</v>
      </c>
      <c r="U41">
        <f t="shared" si="12"/>
        <v>0</v>
      </c>
      <c r="V41">
        <f t="shared" si="6"/>
        <v>0</v>
      </c>
      <c r="W41">
        <f t="shared" si="7"/>
        <v>0</v>
      </c>
      <c r="X41">
        <f t="shared" si="8"/>
        <v>1</v>
      </c>
    </row>
    <row r="42" spans="1:24" x14ac:dyDescent="0.3">
      <c r="A42" t="s">
        <v>96</v>
      </c>
      <c r="B42" t="s">
        <v>95</v>
      </c>
      <c r="C42" t="s">
        <v>90</v>
      </c>
      <c r="D42" t="s">
        <v>25</v>
      </c>
      <c r="E42">
        <f>VLOOKUP(D42,Sheet2!A:C,3,0)</f>
        <v>8</v>
      </c>
      <c r="F42">
        <v>1.1599999999999999E-2</v>
      </c>
      <c r="G42">
        <f>421442-253945+125830</f>
        <v>293327</v>
      </c>
      <c r="H42" s="2">
        <f t="shared" si="9"/>
        <v>391102.66666666669</v>
      </c>
      <c r="I42" s="2">
        <f>36888</f>
        <v>36888</v>
      </c>
      <c r="J42" s="2">
        <f t="shared" si="10"/>
        <v>49184</v>
      </c>
      <c r="K42" s="2">
        <f>1975589</f>
        <v>1975589</v>
      </c>
      <c r="L42" s="2">
        <f>2379265</f>
        <v>2379265</v>
      </c>
      <c r="M42" s="2">
        <f>374</f>
        <v>374</v>
      </c>
      <c r="N42" s="2">
        <f t="shared" si="14"/>
        <v>4354854</v>
      </c>
      <c r="O42">
        <f t="shared" si="15"/>
        <v>7.9518271524615054</v>
      </c>
      <c r="P42">
        <f t="shared" si="13"/>
        <v>5.0503746671803142</v>
      </c>
      <c r="Q42">
        <f t="shared" si="16"/>
        <v>5.0513309378270668</v>
      </c>
      <c r="R42">
        <f t="shared" si="17"/>
        <v>0.83033583900910579</v>
      </c>
      <c r="S42">
        <f t="shared" si="18"/>
        <v>8.9808445166397466E-2</v>
      </c>
      <c r="T42">
        <f t="shared" si="11"/>
        <v>0.16437961583374139</v>
      </c>
      <c r="U42">
        <f t="shared" si="12"/>
        <v>0</v>
      </c>
      <c r="V42">
        <f t="shared" si="6"/>
        <v>0</v>
      </c>
      <c r="W42">
        <f t="shared" si="7"/>
        <v>0</v>
      </c>
      <c r="X42">
        <f t="shared" si="8"/>
        <v>1</v>
      </c>
    </row>
    <row r="43" spans="1:24" x14ac:dyDescent="0.3">
      <c r="A43" t="s">
        <v>98</v>
      </c>
      <c r="B43" t="s">
        <v>97</v>
      </c>
      <c r="C43" t="s">
        <v>90</v>
      </c>
      <c r="D43" t="s">
        <v>25</v>
      </c>
      <c r="E43">
        <f>VLOOKUP(D43,Sheet2!A:C,3,0)</f>
        <v>8</v>
      </c>
      <c r="F43">
        <v>1.1599999999999999E-2</v>
      </c>
      <c r="G43">
        <f>1994038-1908022+259644-2259</f>
        <v>343401</v>
      </c>
      <c r="H43" s="2">
        <f t="shared" si="9"/>
        <v>457868</v>
      </c>
      <c r="I43" s="2">
        <f>106426</f>
        <v>106426</v>
      </c>
      <c r="J43" s="2">
        <f t="shared" si="10"/>
        <v>141901.33333333334</v>
      </c>
      <c r="K43" s="2">
        <f>4067069</f>
        <v>4067069</v>
      </c>
      <c r="L43" s="2">
        <f>3946650</f>
        <v>3946650</v>
      </c>
      <c r="M43" s="2">
        <f>53831</f>
        <v>53831</v>
      </c>
      <c r="N43" s="2">
        <f t="shared" si="14"/>
        <v>8013719</v>
      </c>
      <c r="O43">
        <f t="shared" si="15"/>
        <v>3.2266645368612932</v>
      </c>
      <c r="P43">
        <f t="shared" si="13"/>
        <v>8.7650545572086287</v>
      </c>
      <c r="Q43">
        <f t="shared" si="16"/>
        <v>8.8826233761695512</v>
      </c>
      <c r="R43">
        <f t="shared" si="17"/>
        <v>1.0305116997960295</v>
      </c>
      <c r="S43">
        <f t="shared" si="18"/>
        <v>5.7135519725610547E-2</v>
      </c>
      <c r="T43">
        <f t="shared" si="11"/>
        <v>0.11601434127677904</v>
      </c>
      <c r="U43">
        <f t="shared" si="12"/>
        <v>0</v>
      </c>
      <c r="V43">
        <f t="shared" si="6"/>
        <v>0</v>
      </c>
      <c r="W43">
        <f t="shared" si="7"/>
        <v>0</v>
      </c>
      <c r="X43">
        <f t="shared" si="8"/>
        <v>1</v>
      </c>
    </row>
    <row r="44" spans="1:24" x14ac:dyDescent="0.3">
      <c r="A44" t="s">
        <v>100</v>
      </c>
      <c r="B44" t="s">
        <v>99</v>
      </c>
      <c r="C44" t="s">
        <v>90</v>
      </c>
      <c r="D44" t="s">
        <v>25</v>
      </c>
      <c r="E44">
        <f>VLOOKUP(D44,Sheet2!A:C,3,0)</f>
        <v>8</v>
      </c>
      <c r="F44">
        <v>1.1599999999999999E-2</v>
      </c>
      <c r="G44">
        <f>237106-140403+54636</f>
        <v>151339</v>
      </c>
      <c r="H44" s="2">
        <f t="shared" si="9"/>
        <v>201785.33333333334</v>
      </c>
      <c r="I44" s="2">
        <f>19089</f>
        <v>19089</v>
      </c>
      <c r="J44" s="2">
        <f t="shared" si="10"/>
        <v>25452</v>
      </c>
      <c r="K44" s="2">
        <f>1002495</f>
        <v>1002495</v>
      </c>
      <c r="L44" s="2">
        <f>2736970</f>
        <v>2736970</v>
      </c>
      <c r="M44" s="2">
        <f>96196+4026</f>
        <v>100222</v>
      </c>
      <c r="N44" s="2">
        <f t="shared" si="14"/>
        <v>3739465</v>
      </c>
      <c r="O44">
        <f t="shared" si="15"/>
        <v>7.9280737597569289</v>
      </c>
      <c r="P44">
        <f t="shared" si="13"/>
        <v>4.4714498576044504</v>
      </c>
      <c r="Q44">
        <f t="shared" si="16"/>
        <v>4.9681261935125773</v>
      </c>
      <c r="R44">
        <f t="shared" si="17"/>
        <v>0.3662791334943386</v>
      </c>
      <c r="S44">
        <f t="shared" si="18"/>
        <v>5.3961016705152569E-2</v>
      </c>
      <c r="T44">
        <f t="shared" si="11"/>
        <v>7.3725811146389375E-2</v>
      </c>
      <c r="U44">
        <f t="shared" si="12"/>
        <v>0</v>
      </c>
      <c r="V44">
        <f t="shared" si="6"/>
        <v>0</v>
      </c>
      <c r="W44">
        <f t="shared" si="7"/>
        <v>0</v>
      </c>
      <c r="X44">
        <f t="shared" si="8"/>
        <v>1</v>
      </c>
    </row>
    <row r="45" spans="1:24" x14ac:dyDescent="0.3">
      <c r="A45" t="s">
        <v>102</v>
      </c>
      <c r="B45" t="s">
        <v>101</v>
      </c>
      <c r="C45" t="s">
        <v>90</v>
      </c>
      <c r="D45" t="s">
        <v>25</v>
      </c>
      <c r="E45">
        <f>VLOOKUP(D45,Sheet2!A:C,3,0)</f>
        <v>8</v>
      </c>
      <c r="F45">
        <v>1.1599999999999999E-2</v>
      </c>
      <c r="G45">
        <f>257547-45681-26866-16490</f>
        <v>168510</v>
      </c>
      <c r="H45" s="2">
        <f t="shared" si="9"/>
        <v>224680</v>
      </c>
      <c r="I45" s="2">
        <f>32502</f>
        <v>32502</v>
      </c>
      <c r="J45" s="2">
        <f t="shared" si="10"/>
        <v>43336</v>
      </c>
      <c r="K45" s="2">
        <f>1634864</f>
        <v>1634864</v>
      </c>
      <c r="L45" s="2">
        <f>2294140</f>
        <v>2294140</v>
      </c>
      <c r="M45" s="2">
        <f>35421+211</f>
        <v>35632</v>
      </c>
      <c r="N45" s="2">
        <f t="shared" si="14"/>
        <v>3929004</v>
      </c>
      <c r="O45">
        <f t="shared" si="15"/>
        <v>5.1846040243677312</v>
      </c>
      <c r="P45">
        <f t="shared" si="13"/>
        <v>7.1178209008367457</v>
      </c>
      <c r="Q45">
        <f t="shared" si="16"/>
        <v>7.2764108954958164</v>
      </c>
      <c r="R45">
        <f t="shared" si="17"/>
        <v>0.71262608210484102</v>
      </c>
      <c r="S45">
        <f t="shared" si="18"/>
        <v>5.7184976141536122E-2</v>
      </c>
      <c r="T45">
        <f t="shared" si="11"/>
        <v>9.7936481644537818E-2</v>
      </c>
      <c r="U45">
        <f t="shared" si="12"/>
        <v>0</v>
      </c>
      <c r="V45">
        <f t="shared" si="6"/>
        <v>0</v>
      </c>
      <c r="W45">
        <f t="shared" si="7"/>
        <v>0</v>
      </c>
      <c r="X45">
        <f t="shared" si="8"/>
        <v>1</v>
      </c>
    </row>
    <row r="46" spans="1:24" x14ac:dyDescent="0.3">
      <c r="A46" t="s">
        <v>104</v>
      </c>
      <c r="B46" t="s">
        <v>103</v>
      </c>
      <c r="C46" t="s">
        <v>90</v>
      </c>
      <c r="D46" t="s">
        <v>2</v>
      </c>
      <c r="E46">
        <f>VLOOKUP(D46,Sheet2!A:C,3,0)</f>
        <v>10</v>
      </c>
      <c r="F46">
        <v>4.5999999999999999E-3</v>
      </c>
      <c r="G46">
        <f>3357822-1751779+682531+132530</f>
        <v>2421104</v>
      </c>
      <c r="H46" s="2">
        <f t="shared" si="9"/>
        <v>3228138.6666666665</v>
      </c>
      <c r="I46" s="2">
        <f>132530</f>
        <v>132530</v>
      </c>
      <c r="J46" s="2">
        <f t="shared" si="10"/>
        <v>176706.66666666666</v>
      </c>
      <c r="K46" s="2">
        <f>9673858</f>
        <v>9673858</v>
      </c>
      <c r="L46" s="2">
        <f>10201891</f>
        <v>10201891</v>
      </c>
      <c r="M46" s="2">
        <f>629773</f>
        <v>629773</v>
      </c>
      <c r="N46" s="2">
        <f t="shared" si="14"/>
        <v>19875749</v>
      </c>
      <c r="O46">
        <f t="shared" si="15"/>
        <v>18.268346789406174</v>
      </c>
      <c r="P46">
        <f t="shared" si="13"/>
        <v>2.8016408010560472</v>
      </c>
      <c r="Q46">
        <f t="shared" si="16"/>
        <v>2.9967293846113181</v>
      </c>
      <c r="R46">
        <f t="shared" si="17"/>
        <v>0.94824165441485309</v>
      </c>
      <c r="S46">
        <f t="shared" si="18"/>
        <v>0.1624159505469035</v>
      </c>
      <c r="T46">
        <f t="shared" si="11"/>
        <v>0.31642552019686021</v>
      </c>
      <c r="U46">
        <f t="shared" si="12"/>
        <v>0</v>
      </c>
      <c r="V46">
        <f t="shared" si="6"/>
        <v>0</v>
      </c>
      <c r="W46">
        <f t="shared" si="7"/>
        <v>0</v>
      </c>
      <c r="X46">
        <f t="shared" si="8"/>
        <v>1</v>
      </c>
    </row>
    <row r="47" spans="1:24" x14ac:dyDescent="0.3">
      <c r="A47" t="s">
        <v>106</v>
      </c>
      <c r="B47" t="s">
        <v>105</v>
      </c>
      <c r="C47" t="s">
        <v>90</v>
      </c>
      <c r="D47" t="s">
        <v>25</v>
      </c>
      <c r="E47">
        <f>VLOOKUP(D47,Sheet2!A:C,3,0)</f>
        <v>8</v>
      </c>
      <c r="F47">
        <v>1.1599999999999999E-2</v>
      </c>
      <c r="G47">
        <f>1762470-925797+309914</f>
        <v>1146587</v>
      </c>
      <c r="H47" s="2">
        <f t="shared" si="9"/>
        <v>1528782.6666666667</v>
      </c>
      <c r="I47" s="2">
        <f>289370</f>
        <v>289370</v>
      </c>
      <c r="J47" s="2">
        <f t="shared" si="10"/>
        <v>385826.66666666669</v>
      </c>
      <c r="K47" s="2">
        <f>12059117</f>
        <v>12059117</v>
      </c>
      <c r="L47" s="2">
        <f>15566701</f>
        <v>15566701</v>
      </c>
      <c r="M47" s="2">
        <f>216121</f>
        <v>216121</v>
      </c>
      <c r="N47" s="2">
        <f t="shared" si="14"/>
        <v>27625818</v>
      </c>
      <c r="O47">
        <f t="shared" si="15"/>
        <v>3.9623561530220823</v>
      </c>
      <c r="P47">
        <f t="shared" si="13"/>
        <v>7.7466838539072915</v>
      </c>
      <c r="Q47">
        <f t="shared" si="16"/>
        <v>7.888051887907328</v>
      </c>
      <c r="R47">
        <f t="shared" si="17"/>
        <v>0.77467390168282924</v>
      </c>
      <c r="S47">
        <f t="shared" si="18"/>
        <v>5.5338910386894855E-2</v>
      </c>
      <c r="T47">
        <f t="shared" si="11"/>
        <v>9.8208520011187128E-2</v>
      </c>
      <c r="U47">
        <f t="shared" si="12"/>
        <v>0</v>
      </c>
      <c r="V47">
        <f t="shared" si="6"/>
        <v>0</v>
      </c>
      <c r="W47">
        <f t="shared" si="7"/>
        <v>0</v>
      </c>
      <c r="X47">
        <f t="shared" si="8"/>
        <v>1</v>
      </c>
    </row>
    <row r="48" spans="1:24" x14ac:dyDescent="0.3">
      <c r="A48" t="s">
        <v>108</v>
      </c>
      <c r="B48" t="s">
        <v>107</v>
      </c>
      <c r="C48" t="s">
        <v>90</v>
      </c>
      <c r="D48" t="s">
        <v>25</v>
      </c>
      <c r="E48">
        <f>VLOOKUP(D48,Sheet2!A:C,3,0)</f>
        <v>8</v>
      </c>
      <c r="F48">
        <v>1.1599999999999999E-2</v>
      </c>
      <c r="G48">
        <f>785209-417225+150672</f>
        <v>518656</v>
      </c>
      <c r="H48" s="2">
        <f t="shared" si="9"/>
        <v>691541.33333333337</v>
      </c>
      <c r="I48" s="2">
        <f>70439</f>
        <v>70439</v>
      </c>
      <c r="J48" s="2">
        <f t="shared" si="10"/>
        <v>93918.666666666672</v>
      </c>
      <c r="K48" s="2">
        <f>3360082</f>
        <v>3360082</v>
      </c>
      <c r="L48" s="2">
        <f>2821266</f>
        <v>2821266</v>
      </c>
      <c r="M48" s="2">
        <f>8028+1872</f>
        <v>9900</v>
      </c>
      <c r="N48" s="2">
        <f t="shared" si="14"/>
        <v>6181348</v>
      </c>
      <c r="O48">
        <f t="shared" si="15"/>
        <v>7.3631936853163733</v>
      </c>
      <c r="P48">
        <f t="shared" si="13"/>
        <v>4.8445144758761103</v>
      </c>
      <c r="Q48">
        <f t="shared" si="16"/>
        <v>4.8588303229886476</v>
      </c>
      <c r="R48">
        <f t="shared" si="17"/>
        <v>1.1909837640265044</v>
      </c>
      <c r="S48">
        <f t="shared" si="18"/>
        <v>0.11187548951027079</v>
      </c>
      <c r="T48">
        <f t="shared" si="11"/>
        <v>0.24511738110952083</v>
      </c>
      <c r="U48">
        <f t="shared" si="12"/>
        <v>0</v>
      </c>
      <c r="V48">
        <f t="shared" si="6"/>
        <v>0</v>
      </c>
      <c r="W48">
        <f t="shared" si="7"/>
        <v>0</v>
      </c>
      <c r="X48">
        <f t="shared" si="8"/>
        <v>1</v>
      </c>
    </row>
    <row r="49" spans="1:24" x14ac:dyDescent="0.3">
      <c r="A49" t="s">
        <v>110</v>
      </c>
      <c r="B49" t="s">
        <v>109</v>
      </c>
      <c r="C49" t="s">
        <v>90</v>
      </c>
      <c r="D49" t="s">
        <v>6</v>
      </c>
      <c r="E49">
        <f>VLOOKUP(D49,Sheet2!A:C,3,0)</f>
        <v>9</v>
      </c>
      <c r="F49">
        <v>8.1000000000000013E-3</v>
      </c>
      <c r="G49">
        <f>642651-393019+168005</f>
        <v>417637</v>
      </c>
      <c r="H49" s="2">
        <f t="shared" si="9"/>
        <v>556849.33333333337</v>
      </c>
      <c r="I49" s="2">
        <f>120706</f>
        <v>120706</v>
      </c>
      <c r="J49" s="2">
        <f t="shared" si="10"/>
        <v>160941.33333333334</v>
      </c>
      <c r="K49" s="2">
        <f>4008441</f>
        <v>4008441</v>
      </c>
      <c r="L49" s="2">
        <f>2156731</f>
        <v>2156731</v>
      </c>
      <c r="M49" s="2">
        <f>58846+1801</f>
        <v>60647</v>
      </c>
      <c r="N49" s="2">
        <f t="shared" si="14"/>
        <v>6165172</v>
      </c>
      <c r="O49">
        <f t="shared" si="15"/>
        <v>3.4599522807482646</v>
      </c>
      <c r="P49">
        <f t="shared" si="13"/>
        <v>7.0895191278550502</v>
      </c>
      <c r="Q49">
        <f t="shared" si="16"/>
        <v>7.1984300959924523</v>
      </c>
      <c r="R49">
        <f t="shared" si="17"/>
        <v>1.8585725340805135</v>
      </c>
      <c r="S49">
        <f t="shared" si="18"/>
        <v>9.0321783939415382E-2</v>
      </c>
      <c r="T49">
        <f t="shared" si="11"/>
        <v>0.25819137079836724</v>
      </c>
      <c r="U49">
        <f t="shared" si="12"/>
        <v>0</v>
      </c>
      <c r="V49">
        <f t="shared" si="6"/>
        <v>0</v>
      </c>
      <c r="W49">
        <f t="shared" si="7"/>
        <v>0</v>
      </c>
      <c r="X49">
        <f t="shared" si="8"/>
        <v>1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23DA-6889-4276-BF90-362226984762}">
  <dimension ref="A1:C17"/>
  <sheetViews>
    <sheetView workbookViewId="0">
      <selection activeCell="C10" sqref="C10"/>
    </sheetView>
  </sheetViews>
  <sheetFormatPr defaultRowHeight="14.4" x14ac:dyDescent="0.3"/>
  <cols>
    <col min="1" max="1" width="6.109375" bestFit="1" customWidth="1"/>
    <col min="2" max="2" width="13.77734375" customWidth="1"/>
  </cols>
  <sheetData>
    <row r="1" spans="1:3" x14ac:dyDescent="0.3">
      <c r="A1" t="s">
        <v>112</v>
      </c>
      <c r="B1" t="s">
        <v>128</v>
      </c>
      <c r="C1" t="s">
        <v>136</v>
      </c>
    </row>
    <row r="2" spans="1:3" x14ac:dyDescent="0.3">
      <c r="A2" t="s">
        <v>122</v>
      </c>
      <c r="B2">
        <v>0.34</v>
      </c>
      <c r="C2">
        <v>16</v>
      </c>
    </row>
    <row r="3" spans="1:3" x14ac:dyDescent="0.3">
      <c r="A3" t="s">
        <v>123</v>
      </c>
      <c r="B3">
        <v>0.14000000000000001</v>
      </c>
      <c r="C3">
        <v>15</v>
      </c>
    </row>
    <row r="4" spans="1:3" x14ac:dyDescent="0.3">
      <c r="A4" t="s">
        <v>124</v>
      </c>
      <c r="B4">
        <v>0.34</v>
      </c>
      <c r="C4">
        <v>14</v>
      </c>
    </row>
    <row r="5" spans="1:3" x14ac:dyDescent="0.3">
      <c r="A5" t="s">
        <v>125</v>
      </c>
      <c r="B5">
        <v>0.28999999999999998</v>
      </c>
      <c r="C5">
        <v>13</v>
      </c>
    </row>
    <row r="6" spans="1:3" x14ac:dyDescent="0.3">
      <c r="A6" t="s">
        <v>126</v>
      </c>
      <c r="B6">
        <v>0.38</v>
      </c>
      <c r="C6">
        <v>12</v>
      </c>
    </row>
    <row r="7" spans="1:3" x14ac:dyDescent="0.3">
      <c r="A7" t="s">
        <v>121</v>
      </c>
      <c r="B7">
        <v>0.41</v>
      </c>
      <c r="C7">
        <v>11</v>
      </c>
    </row>
    <row r="8" spans="1:3" x14ac:dyDescent="0.3">
      <c r="A8" t="s">
        <v>2</v>
      </c>
      <c r="B8">
        <v>0.46</v>
      </c>
      <c r="C8">
        <v>10</v>
      </c>
    </row>
    <row r="9" spans="1:3" x14ac:dyDescent="0.3">
      <c r="A9" t="s">
        <v>6</v>
      </c>
      <c r="B9">
        <v>0.81</v>
      </c>
      <c r="C9">
        <v>9</v>
      </c>
    </row>
    <row r="10" spans="1:3" x14ac:dyDescent="0.3">
      <c r="A10" t="s">
        <v>25</v>
      </c>
      <c r="B10">
        <v>1.1599999999999999</v>
      </c>
      <c r="C10">
        <v>8</v>
      </c>
    </row>
    <row r="11" spans="1:3" x14ac:dyDescent="0.3">
      <c r="A11" t="s">
        <v>19</v>
      </c>
      <c r="B11">
        <v>2.44</v>
      </c>
      <c r="C11">
        <v>7</v>
      </c>
    </row>
    <row r="12" spans="1:3" x14ac:dyDescent="0.3">
      <c r="A12" t="s">
        <v>118</v>
      </c>
      <c r="B12">
        <v>3.13</v>
      </c>
      <c r="C12">
        <v>6</v>
      </c>
    </row>
    <row r="13" spans="1:3" x14ac:dyDescent="0.3">
      <c r="A13" t="s">
        <v>34</v>
      </c>
      <c r="B13">
        <v>5.34</v>
      </c>
      <c r="C13">
        <v>5</v>
      </c>
    </row>
    <row r="14" spans="1:3" x14ac:dyDescent="0.3">
      <c r="A14" t="s">
        <v>89</v>
      </c>
      <c r="B14">
        <v>8.57</v>
      </c>
      <c r="C14">
        <v>4</v>
      </c>
    </row>
    <row r="15" spans="1:3" x14ac:dyDescent="0.3">
      <c r="A15" t="s">
        <v>88</v>
      </c>
      <c r="B15">
        <v>13.43</v>
      </c>
      <c r="C15">
        <v>3</v>
      </c>
    </row>
    <row r="16" spans="1:3" x14ac:dyDescent="0.3">
      <c r="A16" t="s">
        <v>52</v>
      </c>
      <c r="B16">
        <v>15.32</v>
      </c>
      <c r="C16">
        <v>2</v>
      </c>
    </row>
    <row r="17" spans="1:3" x14ac:dyDescent="0.3">
      <c r="A17" t="s">
        <v>127</v>
      </c>
      <c r="B17">
        <v>22.93</v>
      </c>
      <c r="C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Ho</dc:creator>
  <cp:lastModifiedBy>Harry Ho</cp:lastModifiedBy>
  <dcterms:created xsi:type="dcterms:W3CDTF">2023-11-12T00:32:49Z</dcterms:created>
  <dcterms:modified xsi:type="dcterms:W3CDTF">2023-11-27T01:16:15Z</dcterms:modified>
</cp:coreProperties>
</file>