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esktop\"/>
    </mc:Choice>
  </mc:AlternateContent>
  <xr:revisionPtr revIDLastSave="0" documentId="13_ncr:1_{06D97B51-5D89-489E-A00E-930B860F2F26}" xr6:coauthVersionLast="36" xr6:coauthVersionMax="36" xr10:uidLastSave="{00000000-0000-0000-0000-000000000000}"/>
  <bookViews>
    <workbookView xWindow="0" yWindow="0" windowWidth="23040" windowHeight="8940" tabRatio="971" xr2:uid="{57998FA8-10A1-49C4-B50D-9A4852F556B6}"/>
  </bookViews>
  <sheets>
    <sheet name="WrmsPrms_vs_Nring_FINAL" sheetId="22" r:id="rId1"/>
    <sheet name="Frequency_vs_Dcurve_FINAL" sheetId="2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22" l="1"/>
  <c r="M33" i="22"/>
  <c r="L33" i="22"/>
  <c r="K33" i="22"/>
  <c r="J33" i="22"/>
  <c r="I33" i="22"/>
  <c r="G33" i="22"/>
  <c r="H33" i="22"/>
  <c r="F33" i="22"/>
  <c r="F21" i="22"/>
  <c r="L7" i="24" l="1"/>
  <c r="L2" i="24"/>
  <c r="X86" i="22"/>
  <c r="X43" i="22"/>
  <c r="B23" i="22"/>
  <c r="J48" i="24" l="1"/>
  <c r="J43" i="24"/>
  <c r="I43" i="24"/>
  <c r="J38" i="24"/>
  <c r="I38" i="24"/>
  <c r="J33" i="24"/>
  <c r="I33" i="24"/>
  <c r="H33" i="24"/>
  <c r="K58" i="24"/>
  <c r="K53" i="24"/>
  <c r="K48" i="24"/>
  <c r="K43" i="24"/>
  <c r="K38" i="24"/>
  <c r="L38" i="24" s="1"/>
  <c r="K33" i="24"/>
  <c r="I64" i="24"/>
  <c r="K27" i="24"/>
  <c r="K22" i="24"/>
  <c r="K17" i="24"/>
  <c r="K12" i="24"/>
  <c r="K7" i="24"/>
  <c r="K2" i="24"/>
  <c r="H53" i="24"/>
  <c r="J53" i="24" s="1"/>
  <c r="E50" i="24"/>
  <c r="E49" i="24"/>
  <c r="H48" i="24"/>
  <c r="I48" i="24" s="1"/>
  <c r="E48" i="24"/>
  <c r="E45" i="24"/>
  <c r="E44" i="24"/>
  <c r="H43" i="24"/>
  <c r="E43" i="24"/>
  <c r="E40" i="24"/>
  <c r="E39" i="24"/>
  <c r="H38" i="24"/>
  <c r="E38" i="24"/>
  <c r="E35" i="24"/>
  <c r="D35" i="24"/>
  <c r="E34" i="24"/>
  <c r="E33" i="24"/>
  <c r="K120" i="24"/>
  <c r="H120" i="24"/>
  <c r="L120" i="24" s="1"/>
  <c r="K115" i="24"/>
  <c r="H115" i="24"/>
  <c r="I115" i="24" s="1"/>
  <c r="E112" i="24"/>
  <c r="E111" i="24"/>
  <c r="K110" i="24"/>
  <c r="H110" i="24"/>
  <c r="L110" i="24" s="1"/>
  <c r="E110" i="24"/>
  <c r="E107" i="24"/>
  <c r="E106" i="24"/>
  <c r="K105" i="24"/>
  <c r="L105" i="24" s="1"/>
  <c r="I105" i="24"/>
  <c r="H105" i="24"/>
  <c r="J105" i="24" s="1"/>
  <c r="E105" i="24"/>
  <c r="E102" i="24"/>
  <c r="E101" i="24"/>
  <c r="K100" i="24"/>
  <c r="H100" i="24"/>
  <c r="I100" i="24" s="1"/>
  <c r="E100" i="24"/>
  <c r="D98" i="24"/>
  <c r="E97" i="24"/>
  <c r="D97" i="24"/>
  <c r="E96" i="24"/>
  <c r="K95" i="24"/>
  <c r="H95" i="24"/>
  <c r="I95" i="24" s="1"/>
  <c r="E95" i="24"/>
  <c r="I53" i="24" l="1"/>
  <c r="L48" i="24"/>
  <c r="L33" i="24"/>
  <c r="L43" i="24"/>
  <c r="L53" i="24"/>
  <c r="J115" i="24"/>
  <c r="L115" i="24"/>
  <c r="J95" i="24"/>
  <c r="L100" i="24"/>
  <c r="J100" i="24"/>
  <c r="I110" i="24"/>
  <c r="I120" i="24"/>
  <c r="L95" i="24"/>
  <c r="J110" i="24"/>
  <c r="J120" i="24"/>
  <c r="J27" i="24"/>
  <c r="I27" i="24"/>
  <c r="I22" i="24"/>
  <c r="J17" i="24"/>
  <c r="I17" i="24"/>
  <c r="J12" i="24"/>
  <c r="J7" i="24"/>
  <c r="I12" i="24"/>
  <c r="I7" i="24"/>
  <c r="I2" i="24"/>
  <c r="J22" i="24"/>
  <c r="J2" i="24"/>
  <c r="H14" i="22"/>
  <c r="G15" i="22"/>
  <c r="C16" i="24"/>
  <c r="C21" i="24"/>
  <c r="C11" i="24"/>
  <c r="C13" i="24"/>
  <c r="C14" i="24"/>
  <c r="C15" i="24"/>
  <c r="C17" i="24"/>
  <c r="C18" i="24"/>
  <c r="C19" i="24"/>
  <c r="C20" i="24"/>
  <c r="C12" i="24"/>
  <c r="K3" i="24"/>
  <c r="P2" i="24"/>
  <c r="H7" i="24"/>
  <c r="R4" i="24"/>
  <c r="O2" i="24"/>
  <c r="A23" i="22" l="1"/>
  <c r="U83" i="22"/>
  <c r="D33" i="22"/>
  <c r="D32" i="22"/>
  <c r="D31" i="22"/>
  <c r="D30" i="22"/>
  <c r="D29" i="22"/>
  <c r="D28" i="22"/>
  <c r="D27" i="22"/>
  <c r="D26" i="22"/>
  <c r="D21" i="22"/>
  <c r="D20" i="22"/>
  <c r="D19" i="22"/>
  <c r="D18" i="22"/>
  <c r="D17" i="22"/>
  <c r="D16" i="22"/>
  <c r="D15" i="22"/>
  <c r="D14" i="22"/>
  <c r="J10" i="22"/>
  <c r="J11" i="22"/>
  <c r="F10" i="22"/>
  <c r="F11" i="22"/>
  <c r="E10" i="22"/>
  <c r="E11" i="22"/>
  <c r="E2" i="22"/>
  <c r="E9" i="22"/>
  <c r="D3" i="22"/>
  <c r="D4" i="22"/>
  <c r="D5" i="22"/>
  <c r="D6" i="22"/>
  <c r="D7" i="22"/>
  <c r="D8" i="22"/>
  <c r="D9" i="22"/>
  <c r="D10" i="22"/>
  <c r="D11" i="22"/>
  <c r="D2" i="22"/>
  <c r="E3" i="22"/>
  <c r="E33" i="22"/>
  <c r="N32" i="22"/>
  <c r="I32" i="22"/>
  <c r="E32" i="22"/>
  <c r="B32" i="22"/>
  <c r="N31" i="22"/>
  <c r="I31" i="22"/>
  <c r="E31" i="22"/>
  <c r="N30" i="22"/>
  <c r="I30" i="22"/>
  <c r="E30" i="22"/>
  <c r="N29" i="22"/>
  <c r="I29" i="22"/>
  <c r="E29" i="22"/>
  <c r="N28" i="22"/>
  <c r="I28" i="22"/>
  <c r="E28" i="22"/>
  <c r="N27" i="22"/>
  <c r="I27" i="22"/>
  <c r="E27" i="22"/>
  <c r="N26" i="22"/>
  <c r="I26" i="22"/>
  <c r="E26" i="22"/>
  <c r="N21" i="22"/>
  <c r="I21" i="22"/>
  <c r="E21" i="22"/>
  <c r="N20" i="22"/>
  <c r="I20" i="22"/>
  <c r="E20" i="22"/>
  <c r="B20" i="22"/>
  <c r="N19" i="22"/>
  <c r="I19" i="22"/>
  <c r="E19" i="22"/>
  <c r="N18" i="22"/>
  <c r="I18" i="22"/>
  <c r="E18" i="22"/>
  <c r="N17" i="22"/>
  <c r="I17" i="22"/>
  <c r="E17" i="22"/>
  <c r="N16" i="22"/>
  <c r="I16" i="22"/>
  <c r="E16" i="22"/>
  <c r="N15" i="22"/>
  <c r="I15" i="22"/>
  <c r="E15" i="22"/>
  <c r="P10" i="24"/>
  <c r="H64" i="24"/>
  <c r="H69" i="24"/>
  <c r="H89" i="24"/>
  <c r="H84" i="24"/>
  <c r="H79" i="24"/>
  <c r="H74" i="24"/>
  <c r="H27" i="24"/>
  <c r="H22" i="24"/>
  <c r="H17" i="24"/>
  <c r="H12" i="24"/>
  <c r="H2" i="24"/>
  <c r="J3" i="22"/>
  <c r="E14" i="22"/>
  <c r="W84" i="22" l="1"/>
  <c r="V84" i="22"/>
  <c r="J84" i="24"/>
  <c r="I84" i="24"/>
  <c r="I74" i="24"/>
  <c r="J74" i="24"/>
  <c r="J79" i="24"/>
  <c r="I79" i="24"/>
  <c r="I69" i="24"/>
  <c r="J69" i="24"/>
  <c r="I89" i="24"/>
  <c r="J89" i="24"/>
  <c r="J64" i="24"/>
  <c r="K84" i="24"/>
  <c r="L84" i="24" s="1"/>
  <c r="K79" i="24"/>
  <c r="L79" i="24" s="1"/>
  <c r="K74" i="24"/>
  <c r="L74" i="24" s="1"/>
  <c r="K69" i="24"/>
  <c r="L69" i="24" s="1"/>
  <c r="K64" i="24"/>
  <c r="L64" i="24" s="1"/>
  <c r="O3" i="24"/>
  <c r="O4" i="24"/>
  <c r="O5" i="24"/>
  <c r="O6" i="24"/>
  <c r="O7" i="24"/>
  <c r="O8" i="24"/>
  <c r="O9" i="24"/>
  <c r="O10" i="24"/>
  <c r="O11" i="24"/>
  <c r="D67" i="24"/>
  <c r="P3" i="24"/>
  <c r="Q3" i="24" s="1"/>
  <c r="P4" i="24"/>
  <c r="Q4" i="24" s="1"/>
  <c r="P5" i="24"/>
  <c r="Q5" i="24" s="1"/>
  <c r="P6" i="24"/>
  <c r="Q6" i="24" s="1"/>
  <c r="P7" i="24"/>
  <c r="P8" i="24"/>
  <c r="Q8" i="24" s="1"/>
  <c r="P9" i="24"/>
  <c r="Q9" i="24" s="1"/>
  <c r="Q10" i="24"/>
  <c r="P11" i="24"/>
  <c r="Q11" i="24" s="1"/>
  <c r="Q2" i="24"/>
  <c r="D66" i="24"/>
  <c r="E81" i="24"/>
  <c r="E80" i="24"/>
  <c r="E79" i="24"/>
  <c r="E76" i="24"/>
  <c r="E75" i="24"/>
  <c r="E74" i="24"/>
  <c r="E71" i="24"/>
  <c r="E70" i="24"/>
  <c r="E69" i="24"/>
  <c r="E66" i="24"/>
  <c r="E65" i="24"/>
  <c r="E64" i="24"/>
  <c r="D5" i="24"/>
  <c r="E19" i="24"/>
  <c r="E18" i="24"/>
  <c r="E17" i="24"/>
  <c r="B11" i="24"/>
  <c r="E14" i="24"/>
  <c r="E13" i="24"/>
  <c r="E12" i="24"/>
  <c r="Q7" i="24"/>
  <c r="E9" i="24"/>
  <c r="E8" i="24"/>
  <c r="E7" i="24"/>
  <c r="E4" i="24"/>
  <c r="E3" i="24"/>
  <c r="E2" i="24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K89" i="24" l="1"/>
  <c r="L89" i="24" s="1"/>
  <c r="K28" i="22"/>
  <c r="M28" i="22" s="1"/>
  <c r="K26" i="22"/>
  <c r="M26" i="22" s="1"/>
  <c r="K32" i="22"/>
  <c r="L32" i="22" s="1"/>
  <c r="K27" i="22"/>
  <c r="M27" i="22" s="1"/>
  <c r="K30" i="22"/>
  <c r="L30" i="22" s="1"/>
  <c r="K29" i="22"/>
  <c r="M29" i="22" s="1"/>
  <c r="K31" i="22"/>
  <c r="M31" i="22" s="1"/>
  <c r="L17" i="24"/>
  <c r="L27" i="24"/>
  <c r="L22" i="24"/>
  <c r="L12" i="24"/>
  <c r="R5" i="24"/>
  <c r="R3" i="24"/>
  <c r="R6" i="24"/>
  <c r="R2" i="24"/>
  <c r="R11" i="24"/>
  <c r="R10" i="24"/>
  <c r="R9" i="24"/>
  <c r="R8" i="24"/>
  <c r="R7" i="24"/>
  <c r="J2" i="22"/>
  <c r="L29" i="22" l="1"/>
  <c r="M30" i="22"/>
  <c r="L28" i="22"/>
  <c r="L31" i="22"/>
  <c r="L27" i="22"/>
  <c r="L26" i="22"/>
  <c r="M32" i="22"/>
  <c r="U5" i="22"/>
  <c r="V5" i="22"/>
  <c r="V23" i="22"/>
  <c r="V3" i="22"/>
  <c r="V4" i="22"/>
  <c r="V6" i="22"/>
  <c r="V7" i="22"/>
  <c r="V8" i="22"/>
  <c r="V9" i="22"/>
  <c r="V10" i="22"/>
  <c r="V11" i="22"/>
  <c r="V12" i="22"/>
  <c r="V13" i="22"/>
  <c r="V14" i="22"/>
  <c r="V15" i="22"/>
  <c r="V16" i="22"/>
  <c r="V17" i="22"/>
  <c r="V18" i="22"/>
  <c r="V19" i="22"/>
  <c r="V20" i="22"/>
  <c r="V21" i="22"/>
  <c r="V22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2" i="22"/>
  <c r="K20" i="22" l="1"/>
  <c r="M20" i="22" s="1"/>
  <c r="K15" i="22"/>
  <c r="M15" i="22" s="1"/>
  <c r="K17" i="22"/>
  <c r="L17" i="22" s="1"/>
  <c r="M17" i="22"/>
  <c r="K21" i="22"/>
  <c r="M21" i="22" s="1"/>
  <c r="K18" i="22"/>
  <c r="L18" i="22" s="1"/>
  <c r="K19" i="22"/>
  <c r="L19" i="22" s="1"/>
  <c r="M19" i="22"/>
  <c r="K16" i="22"/>
  <c r="M16" i="22" s="1"/>
  <c r="K14" i="22"/>
  <c r="M14" i="22" s="1"/>
  <c r="I14" i="22"/>
  <c r="U3" i="22"/>
  <c r="U4" i="22"/>
  <c r="U6" i="22"/>
  <c r="U7" i="22"/>
  <c r="U8" i="22"/>
  <c r="U9" i="22"/>
  <c r="U10" i="22"/>
  <c r="U11" i="22"/>
  <c r="U12" i="22"/>
  <c r="U13" i="22"/>
  <c r="U14" i="22"/>
  <c r="U15" i="22"/>
  <c r="U16" i="22"/>
  <c r="U17" i="22"/>
  <c r="J17" i="22" s="1"/>
  <c r="U18" i="22"/>
  <c r="U19" i="22"/>
  <c r="U20" i="22"/>
  <c r="U21" i="22"/>
  <c r="U22" i="22"/>
  <c r="U23" i="22"/>
  <c r="U24" i="22"/>
  <c r="U25" i="22"/>
  <c r="U26" i="22"/>
  <c r="U27" i="22"/>
  <c r="U28" i="22"/>
  <c r="U29" i="22"/>
  <c r="U30" i="22"/>
  <c r="U31" i="22"/>
  <c r="U32" i="22"/>
  <c r="U33" i="22"/>
  <c r="U34" i="22"/>
  <c r="U35" i="22"/>
  <c r="U36" i="22"/>
  <c r="U37" i="22"/>
  <c r="U38" i="22"/>
  <c r="U39" i="22"/>
  <c r="U40" i="22"/>
  <c r="U41" i="22"/>
  <c r="U2" i="22"/>
  <c r="J4" i="22"/>
  <c r="J5" i="22"/>
  <c r="J6" i="22"/>
  <c r="J7" i="22"/>
  <c r="J8" i="22"/>
  <c r="J9" i="22"/>
  <c r="U46" i="22"/>
  <c r="U47" i="22"/>
  <c r="U48" i="22"/>
  <c r="U49" i="22"/>
  <c r="U50" i="22"/>
  <c r="J27" i="22" s="1"/>
  <c r="U51" i="22"/>
  <c r="U52" i="22"/>
  <c r="U53" i="22"/>
  <c r="U54" i="22"/>
  <c r="U55" i="22"/>
  <c r="U56" i="22"/>
  <c r="U57" i="22"/>
  <c r="U58" i="22"/>
  <c r="U59" i="22"/>
  <c r="U60" i="22"/>
  <c r="U61" i="22"/>
  <c r="U62" i="22"/>
  <c r="U63" i="22"/>
  <c r="U64" i="22"/>
  <c r="U65" i="22"/>
  <c r="U66" i="22"/>
  <c r="U67" i="22"/>
  <c r="U68" i="22"/>
  <c r="U69" i="22"/>
  <c r="U70" i="22"/>
  <c r="U71" i="22"/>
  <c r="U72" i="22"/>
  <c r="U73" i="22"/>
  <c r="U74" i="22"/>
  <c r="U75" i="22"/>
  <c r="U76" i="22"/>
  <c r="U77" i="22"/>
  <c r="U78" i="22"/>
  <c r="U79" i="22"/>
  <c r="U80" i="22"/>
  <c r="U81" i="22"/>
  <c r="U82" i="22"/>
  <c r="U84" i="22"/>
  <c r="U45" i="22"/>
  <c r="J26" i="22" s="1"/>
  <c r="F2" i="22"/>
  <c r="L21" i="22" l="1"/>
  <c r="J29" i="22"/>
  <c r="J21" i="22"/>
  <c r="L16" i="22"/>
  <c r="J16" i="22"/>
  <c r="J31" i="22"/>
  <c r="J18" i="22"/>
  <c r="L15" i="22"/>
  <c r="J30" i="22"/>
  <c r="J19" i="22"/>
  <c r="J28" i="22"/>
  <c r="J20" i="22"/>
  <c r="J15" i="22"/>
  <c r="M18" i="22"/>
  <c r="L20" i="22"/>
  <c r="J32" i="22"/>
  <c r="J14" i="22"/>
  <c r="L14" i="22"/>
  <c r="W31" i="22"/>
  <c r="W35" i="22"/>
  <c r="E7" i="22" l="1"/>
  <c r="E6" i="22"/>
  <c r="E5" i="22"/>
  <c r="E4" i="22"/>
  <c r="F9" i="22" l="1"/>
  <c r="F8" i="22"/>
  <c r="F7" i="22"/>
  <c r="F6" i="22"/>
  <c r="F5" i="22"/>
  <c r="F4" i="22"/>
  <c r="F3" i="22"/>
  <c r="W83" i="22" l="1"/>
  <c r="W68" i="22"/>
  <c r="W52" i="22"/>
  <c r="W55" i="22"/>
  <c r="W64" i="22"/>
  <c r="W59" i="22"/>
  <c r="W50" i="22"/>
  <c r="W69" i="22"/>
  <c r="W53" i="22"/>
  <c r="W45" i="22"/>
  <c r="W57" i="22"/>
  <c r="W75" i="22"/>
  <c r="W76" i="22"/>
  <c r="W61" i="22"/>
  <c r="W54" i="22"/>
  <c r="W49" i="22"/>
  <c r="W74" i="22"/>
  <c r="W66" i="22"/>
  <c r="W82" i="22"/>
  <c r="W77" i="22"/>
  <c r="W62" i="22"/>
  <c r="W46" i="22"/>
  <c r="W48" i="22"/>
  <c r="W70" i="22"/>
  <c r="W67" i="22"/>
  <c r="W78" i="22"/>
  <c r="W63" i="22"/>
  <c r="W47" i="22"/>
  <c r="W80" i="22"/>
  <c r="W79" i="22"/>
  <c r="W60" i="22"/>
  <c r="W71" i="22"/>
  <c r="W56" i="22"/>
  <c r="W58" i="22"/>
  <c r="W65" i="22"/>
  <c r="W72" i="22"/>
  <c r="W81" i="22"/>
  <c r="W73" i="22"/>
  <c r="W51" i="22"/>
  <c r="N14" i="22"/>
  <c r="F30" i="22" l="1"/>
  <c r="H30" i="22" s="1"/>
  <c r="F29" i="22"/>
  <c r="H29" i="22" s="1"/>
  <c r="F26" i="22"/>
  <c r="A35" i="22" s="1"/>
  <c r="F28" i="22"/>
  <c r="G28" i="22" s="1"/>
  <c r="F27" i="22"/>
  <c r="F31" i="22"/>
  <c r="H31" i="22" s="1"/>
  <c r="F32" i="22"/>
  <c r="H32" i="22" s="1"/>
  <c r="W21" i="22"/>
  <c r="W18" i="22"/>
  <c r="W19" i="22"/>
  <c r="W20" i="22"/>
  <c r="W11" i="22"/>
  <c r="W10" i="22"/>
  <c r="W6" i="22"/>
  <c r="W29" i="22"/>
  <c r="W3" i="22"/>
  <c r="W7" i="22"/>
  <c r="W38" i="22"/>
  <c r="W30" i="22"/>
  <c r="W4" i="22"/>
  <c r="W39" i="22"/>
  <c r="W13" i="22"/>
  <c r="W5" i="22"/>
  <c r="W40" i="22"/>
  <c r="W27" i="22"/>
  <c r="W14" i="22"/>
  <c r="W17" i="22"/>
  <c r="W41" i="22"/>
  <c r="W23" i="22"/>
  <c r="W15" i="22"/>
  <c r="W2" i="22"/>
  <c r="W37" i="22"/>
  <c r="W24" i="22"/>
  <c r="W16" i="22"/>
  <c r="W33" i="22"/>
  <c r="W25" i="22"/>
  <c r="W12" i="22"/>
  <c r="W9" i="22"/>
  <c r="W28" i="22"/>
  <c r="W34" i="22"/>
  <c r="W26" i="22"/>
  <c r="W8" i="22"/>
  <c r="W22" i="22"/>
  <c r="W32" i="22"/>
  <c r="W36" i="22"/>
  <c r="G32" i="22" l="1"/>
  <c r="H27" i="22"/>
  <c r="B35" i="22"/>
  <c r="G31" i="22"/>
  <c r="H26" i="22"/>
  <c r="G29" i="22"/>
  <c r="F18" i="22"/>
  <c r="G18" i="22" s="1"/>
  <c r="F15" i="22"/>
  <c r="E8" i="22" s="1"/>
  <c r="F17" i="22"/>
  <c r="G17" i="22" s="1"/>
  <c r="G26" i="22"/>
  <c r="F19" i="22"/>
  <c r="H19" i="22" s="1"/>
  <c r="G27" i="22"/>
  <c r="H28" i="22"/>
  <c r="G30" i="22"/>
  <c r="F16" i="22"/>
  <c r="G16" i="22" s="1"/>
  <c r="H16" i="22"/>
  <c r="F20" i="22"/>
  <c r="H20" i="22" s="1"/>
  <c r="H21" i="22"/>
  <c r="G21" i="22"/>
  <c r="F14" i="22"/>
  <c r="H15" i="22" l="1"/>
  <c r="G20" i="22"/>
  <c r="H17" i="22"/>
  <c r="G14" i="22"/>
  <c r="H18" i="22"/>
  <c r="G19" i="22"/>
  <c r="H58" i="24" l="1"/>
  <c r="I58" i="24" s="1"/>
  <c r="J58" i="24" l="1"/>
  <c r="L58" i="24"/>
</calcChain>
</file>

<file path=xl/sharedStrings.xml><?xml version="1.0" encoding="utf-8"?>
<sst xmlns="http://schemas.openxmlformats.org/spreadsheetml/2006/main" count="118" uniqueCount="72">
  <si>
    <t>L [mm]</t>
  </si>
  <si>
    <t>H [mm]</t>
  </si>
  <si>
    <t>D [mm]</t>
  </si>
  <si>
    <t>Nrings</t>
  </si>
  <si>
    <t>ThreeRingPath1</t>
  </si>
  <si>
    <t>sigfeed [mm]</t>
  </si>
  <si>
    <t>sigbend [o]</t>
  </si>
  <si>
    <t>sigrotate [o]</t>
  </si>
  <si>
    <t>d_curve</t>
  </si>
  <si>
    <t>Bendpath</t>
  </si>
  <si>
    <t>freq [Hz]</t>
  </si>
  <si>
    <t>dcurve [%]</t>
  </si>
  <si>
    <t>ratio</t>
  </si>
  <si>
    <t>H/D</t>
  </si>
  <si>
    <t>sigfeed nonzero but small for solver to recognize adjacent nodes</t>
  </si>
  <si>
    <t>Diameter [mm]</t>
  </si>
  <si>
    <t>Runtime [min]</t>
  </si>
  <si>
    <t>slope of wrms vs sigfeed for Nring=1:</t>
  </si>
  <si>
    <t>slope of wrms vs sigtheta for Nring=1:</t>
  </si>
  <si>
    <t>runtime [min]</t>
  </si>
  <si>
    <t>OneRingPath1</t>
  </si>
  <si>
    <t>Total run time [min]</t>
  </si>
  <si>
    <t>Mark comment:</t>
  </si>
  <si>
    <t>A neat thing to check with your natural frequency plot is to determine what the decrease in axial stiffness is as you add curvature.</t>
  </si>
  <si>
    <t>I bet if you use straight struts and decrease the modulus accordingly you would get very similar results.</t>
  </si>
  <si>
    <t>(so basically adding curvature ratio decreases stiffness, I can calculate the knockdown based on curvature ratio!)</t>
  </si>
  <si>
    <t>Sonny comment:</t>
  </si>
  <si>
    <t>The second key result for natural frequency and strut curvature is awesome. This clearly shows the relationship between the two.</t>
  </si>
  <si>
    <t>Probably the only things I’ll say here is that 10% is a lot and probably not realistic. And, what does the relationship look like with much higher N</t>
  </si>
  <si>
    <t>for Nring=2:</t>
  </si>
  <si>
    <t>P_RMS [N]</t>
  </si>
  <si>
    <t>wRMS_unitless_Hedgepeth</t>
  </si>
  <si>
    <t>Total runtime [hr]:</t>
  </si>
  <si>
    <t>SMISES_RMS [MPa]</t>
  </si>
  <si>
    <t>SMISES_RMS_avg [MPa]</t>
  </si>
  <si>
    <t>PRMS_unitless_avg</t>
  </si>
  <si>
    <t>wRMS_unitless_avg</t>
  </si>
  <si>
    <t>PRMS_avg [N]</t>
  </si>
  <si>
    <t>wrms_avg [mm]</t>
  </si>
  <si>
    <t>sigfeed_unitless</t>
  </si>
  <si>
    <t>sigtheta_unitless</t>
  </si>
  <si>
    <t>HEDGEPETH ANALYSIS</t>
  </si>
  <si>
    <t>wrms_Hedgepeth [mm]</t>
  </si>
  <si>
    <t>PRMS/(EA*sigerror_unitless)</t>
  </si>
  <si>
    <t>wRMS/(D*sigerror_unitless)</t>
  </si>
  <si>
    <t>&lt;- with 25 curvenodes</t>
  </si>
  <si>
    <t>PRMS_Hedgepeth [N]</t>
  </si>
  <si>
    <t>E_knockdown</t>
  </si>
  <si>
    <t>w_rms [mm]</t>
  </si>
  <si>
    <t>For my FEM values in this plot, I used a knocked down E value from the 3% curvature of struts</t>
  </si>
  <si>
    <t>P_MEAN [N]</t>
  </si>
  <si>
    <t>PMEAN/(EA*sigerror_unitless)</t>
  </si>
  <si>
    <t>PMEAN_unitless_avg</t>
  </si>
  <si>
    <t>RANDOM FEED LENGTH ERROR</t>
  </si>
  <si>
    <t>RANDOM ANGULAR ERROR</t>
  </si>
  <si>
    <t>(only random feed length errors)</t>
  </si>
  <si>
    <t>FiveRingPath1</t>
  </si>
  <si>
    <t>TenRingPath1</t>
  </si>
  <si>
    <t>freq_EQ</t>
  </si>
  <si>
    <t>avg_freq_FEM [Hz]</t>
  </si>
  <si>
    <t>kappa</t>
  </si>
  <si>
    <t>wRMS_unitless_avg_POSerror</t>
  </si>
  <si>
    <t>wRMS_unitless_avg_NEGerror</t>
  </si>
  <si>
    <t>PMEAN_unitless_avg_POSerror</t>
  </si>
  <si>
    <t>PMEAN_unitless_avg_NEGerror</t>
  </si>
  <si>
    <t>PRMS_unitless_Hedgepeth</t>
  </si>
  <si>
    <t>perfect freq_continuum[Hz]</t>
  </si>
  <si>
    <t>(TEST FROM PAPER)</t>
  </si>
  <si>
    <t>freq_FEM_POSerror [Hz]</t>
  </si>
  <si>
    <t>freq_FEM_NEGerror [Hz]</t>
  </si>
  <si>
    <t>(included dcurve to solve past buckling)</t>
  </si>
  <si>
    <t>PLOTTED IN FIGURE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</si>
</sst>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/>
    <xf numFmtId="11" fontId="0" fillId="0" borderId="0" xfId="0" applyNumberForma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11" fontId="3" fillId="0" borderId="0" xfId="0" applyNumberFormat="1" applyFont="1" applyAlignment="1">
      <alignment horizontal="center"/>
    </xf>
    <xf numFmtId="11" fontId="0" fillId="0" borderId="0" xfId="0" applyNumberFormat="1"/>
    <xf numFmtId="0" fontId="5" fillId="0" borderId="0" xfId="0" applyFont="1"/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Unitless</a:t>
            </a:r>
            <a:r>
              <a:rPr lang="en-US" b="1" baseline="0"/>
              <a:t> RMS surface error vs Nring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Feed random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WrmsPrms_vs_Nring_FINAL!$C$14:$C$21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(WrmsPrms_vs_Nring_FINAL!$F$14,WrmsPrms_vs_Nring_FINAL!$F$15,WrmsPrms_vs_Nring_FINAL!$F$16,WrmsPrms_vs_Nring_FINAL!$F$17,WrmsPrms_vs_Nring_FINAL!$F$18,WrmsPrms_vs_Nring_FINAL!$F$19,WrmsPrms_vs_Nring_FINAL!$F$20,WrmsPrms_vs_Nring_FINAL!$F$21)</c:f>
              <c:numCache>
                <c:formatCode>General</c:formatCode>
                <c:ptCount val="8"/>
                <c:pt idx="0">
                  <c:v>0.15603246506362761</c:v>
                </c:pt>
                <c:pt idx="1">
                  <c:v>0.1471540215616628</c:v>
                </c:pt>
                <c:pt idx="2">
                  <c:v>0.12542248454307914</c:v>
                </c:pt>
                <c:pt idx="3">
                  <c:v>0.11015367437415621</c:v>
                </c:pt>
                <c:pt idx="4">
                  <c:v>0.13051424877863091</c:v>
                </c:pt>
                <c:pt idx="5">
                  <c:v>0.10851370523696138</c:v>
                </c:pt>
                <c:pt idx="6">
                  <c:v>0.12063861611700233</c:v>
                </c:pt>
                <c:pt idx="7">
                  <c:v>9.6697091650133821E-2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1-4773-A253-7E710F957FBC}"/>
            </c:ext>
          </c:extLst>
        </c:ser>
        <c:ser>
          <c:idx val="1"/>
          <c:order val="1"/>
          <c:tx>
            <c:v>Bend random error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WrmsPrms_vs_Nring_FINAL!$C$26:$C$33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(WrmsPrms_vs_Nring_FINAL!$F$26,WrmsPrms_vs_Nring_FINAL!$F$27,WrmsPrms_vs_Nring_FINAL!$F$28,WrmsPrms_vs_Nring_FINAL!$F$29,WrmsPrms_vs_Nring_FINAL!$F$30,WrmsPrms_vs_Nring_FINAL!$F$31,WrmsPrms_vs_Nring_FINAL!$F$32,WrmsPrms_vs_Nring_FINAL!$F$33)</c:f>
              <c:numCache>
                <c:formatCode>General</c:formatCode>
                <c:ptCount val="8"/>
                <c:pt idx="0">
                  <c:v>5.6437512120299381E-4</c:v>
                </c:pt>
                <c:pt idx="1">
                  <c:v>4.4564844732879427E-4</c:v>
                </c:pt>
                <c:pt idx="2">
                  <c:v>4.0825045240040195E-4</c:v>
                </c:pt>
                <c:pt idx="3">
                  <c:v>3.5278092719795206E-4</c:v>
                </c:pt>
                <c:pt idx="4">
                  <c:v>2.980136237943247E-4</c:v>
                </c:pt>
                <c:pt idx="5">
                  <c:v>2.8052494155735036E-4</c:v>
                </c:pt>
                <c:pt idx="6">
                  <c:v>2.3181795950645529E-4</c:v>
                </c:pt>
                <c:pt idx="7">
                  <c:v>2.7312648646497421E-4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81-4773-A253-7E710F957FBC}"/>
            </c:ext>
          </c:extLst>
        </c:ser>
        <c:ser>
          <c:idx val="2"/>
          <c:order val="2"/>
          <c:tx>
            <c:v>FeedAllVals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WrmsPrms_vs_Nring_FINAL!$P$2:$P$41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</c:numCache>
            </c:numRef>
          </c:xVal>
          <c:yVal>
            <c:numRef>
              <c:f>WrmsPrms_vs_Nring_FINAL!$W$2:$W$41</c:f>
              <c:numCache>
                <c:formatCode>General</c:formatCode>
                <c:ptCount val="40"/>
                <c:pt idx="0">
                  <c:v>0.18525781203370165</c:v>
                </c:pt>
                <c:pt idx="1">
                  <c:v>0.12886775238257447</c:v>
                </c:pt>
                <c:pt idx="2">
                  <c:v>0.23063751117498829</c:v>
                </c:pt>
                <c:pt idx="3">
                  <c:v>0.12779237831131712</c:v>
                </c:pt>
                <c:pt idx="4">
                  <c:v>0.10760687141555648</c:v>
                </c:pt>
                <c:pt idx="5">
                  <c:v>0.18763169983636599</c:v>
                </c:pt>
                <c:pt idx="6">
                  <c:v>0.13220335829339</c:v>
                </c:pt>
                <c:pt idx="7">
                  <c:v>0.121338534403576</c:v>
                </c:pt>
                <c:pt idx="8">
                  <c:v>0.12577096546789701</c:v>
                </c:pt>
                <c:pt idx="9">
                  <c:v>0.168825549807085</c:v>
                </c:pt>
                <c:pt idx="10">
                  <c:v>0.11329596759518212</c:v>
                </c:pt>
                <c:pt idx="11">
                  <c:v>0.11715893098831998</c:v>
                </c:pt>
                <c:pt idx="12">
                  <c:v>0.13946422480612714</c:v>
                </c:pt>
                <c:pt idx="13">
                  <c:v>0.1452614011228564</c:v>
                </c:pt>
                <c:pt idx="14">
                  <c:v>0.11193189820291</c:v>
                </c:pt>
                <c:pt idx="15">
                  <c:v>0.14081275512796224</c:v>
                </c:pt>
                <c:pt idx="16">
                  <c:v>0.13285618049929332</c:v>
                </c:pt>
                <c:pt idx="17">
                  <c:v>9.7244109691298888E-2</c:v>
                </c:pt>
                <c:pt idx="18">
                  <c:v>9.448577462910944E-2</c:v>
                </c:pt>
                <c:pt idx="19">
                  <c:v>8.5369551923117223E-2</c:v>
                </c:pt>
                <c:pt idx="20">
                  <c:v>0.18613187360500316</c:v>
                </c:pt>
                <c:pt idx="21">
                  <c:v>0.12877332924149182</c:v>
                </c:pt>
                <c:pt idx="22">
                  <c:v>0.11136770018648499</c:v>
                </c:pt>
                <c:pt idx="23">
                  <c:v>0.10409679161878908</c:v>
                </c:pt>
                <c:pt idx="24">
                  <c:v>0.12220154924138543</c:v>
                </c:pt>
                <c:pt idx="25">
                  <c:v>9.4661175851867688E-2</c:v>
                </c:pt>
                <c:pt idx="26">
                  <c:v>0.12016905163995922</c:v>
                </c:pt>
                <c:pt idx="27">
                  <c:v>0.11954483006286115</c:v>
                </c:pt>
                <c:pt idx="28">
                  <c:v>7.7439543582882311E-2</c:v>
                </c:pt>
                <c:pt idx="29">
                  <c:v>0.13075392504723654</c:v>
                </c:pt>
                <c:pt idx="30">
                  <c:v>0.12529173234167798</c:v>
                </c:pt>
                <c:pt idx="31">
                  <c:v>0.10099648417264032</c:v>
                </c:pt>
                <c:pt idx="32">
                  <c:v>0.14401742936490064</c:v>
                </c:pt>
                <c:pt idx="33">
                  <c:v>0.10526660758249633</c:v>
                </c:pt>
                <c:pt idx="34">
                  <c:v>0.12762082712329631</c:v>
                </c:pt>
                <c:pt idx="35">
                  <c:v>8.4352301032561181E-2</c:v>
                </c:pt>
                <c:pt idx="36">
                  <c:v>7.0069568757660891E-2</c:v>
                </c:pt>
                <c:pt idx="37">
                  <c:v>0.14210720462545531</c:v>
                </c:pt>
                <c:pt idx="38">
                  <c:v>7.9894413053516758E-2</c:v>
                </c:pt>
                <c:pt idx="39">
                  <c:v>0.107061970781475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081-4773-A253-7E710F957FBC}"/>
            </c:ext>
          </c:extLst>
        </c:ser>
        <c:ser>
          <c:idx val="3"/>
          <c:order val="3"/>
          <c:tx>
            <c:v>BendAllVals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WrmsPrms_vs_Nring_FINAL!$P$45:$P$84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</c:numCache>
            </c:numRef>
          </c:xVal>
          <c:yVal>
            <c:numRef>
              <c:f>WrmsPrms_vs_Nring_FINAL!$W$45:$W$84</c:f>
              <c:numCache>
                <c:formatCode>General</c:formatCode>
                <c:ptCount val="40"/>
                <c:pt idx="0">
                  <c:v>5.3678809185440598E-4</c:v>
                </c:pt>
                <c:pt idx="1">
                  <c:v>6.8780422890701918E-4</c:v>
                </c:pt>
                <c:pt idx="2">
                  <c:v>5.7298916057918242E-4</c:v>
                </c:pt>
                <c:pt idx="3">
                  <c:v>4.2907347971897513E-4</c:v>
                </c:pt>
                <c:pt idx="4">
                  <c:v>5.952206449553859E-4</c:v>
                </c:pt>
                <c:pt idx="5">
                  <c:v>4.9874551716751637E-4</c:v>
                </c:pt>
                <c:pt idx="6">
                  <c:v>4.307191339618532E-4</c:v>
                </c:pt>
                <c:pt idx="7">
                  <c:v>4.6211426835516081E-4</c:v>
                </c:pt>
                <c:pt idx="8">
                  <c:v>4.2058264762692303E-4</c:v>
                </c:pt>
                <c:pt idx="9">
                  <c:v>4.1608066953251801E-4</c:v>
                </c:pt>
                <c:pt idx="10">
                  <c:v>4.0066408944956083E-4</c:v>
                </c:pt>
                <c:pt idx="11">
                  <c:v>4.7626886114440742E-4</c:v>
                </c:pt>
                <c:pt idx="12">
                  <c:v>4.0963207049623905E-4</c:v>
                </c:pt>
                <c:pt idx="13">
                  <c:v>3.3588149050809465E-4</c:v>
                </c:pt>
                <c:pt idx="14">
                  <c:v>4.1880575040370788E-4</c:v>
                </c:pt>
                <c:pt idx="15">
                  <c:v>3.5248078638689648E-4</c:v>
                </c:pt>
                <c:pt idx="16">
                  <c:v>3.4145934136315032E-4</c:v>
                </c:pt>
                <c:pt idx="17">
                  <c:v>3.6832902419098865E-4</c:v>
                </c:pt>
                <c:pt idx="18">
                  <c:v>2.954060039442102E-4</c:v>
                </c:pt>
                <c:pt idx="19">
                  <c:v>4.0622948010451471E-4</c:v>
                </c:pt>
                <c:pt idx="20">
                  <c:v>3.0673128959176948E-4</c:v>
                </c:pt>
                <c:pt idx="21">
                  <c:v>2.9308459807056702E-4</c:v>
                </c:pt>
                <c:pt idx="22">
                  <c:v>2.7973735781325429E-4</c:v>
                </c:pt>
                <c:pt idx="23">
                  <c:v>3.5701353630236151E-4</c:v>
                </c:pt>
                <c:pt idx="24">
                  <c:v>2.5350133719367126E-4</c:v>
                </c:pt>
                <c:pt idx="25">
                  <c:v>2.7331750384938238E-4</c:v>
                </c:pt>
                <c:pt idx="26">
                  <c:v>2.8243223469107093E-4</c:v>
                </c:pt>
                <c:pt idx="27">
                  <c:v>2.2369022973789025E-4</c:v>
                </c:pt>
                <c:pt idx="28">
                  <c:v>2.653917598069022E-4</c:v>
                </c:pt>
                <c:pt idx="29">
                  <c:v>3.5779297970150602E-4</c:v>
                </c:pt>
                <c:pt idx="30">
                  <c:v>1.970227818695479E-4</c:v>
                </c:pt>
                <c:pt idx="31">
                  <c:v>2.1110101231699554E-4</c:v>
                </c:pt>
                <c:pt idx="32">
                  <c:v>2.6787872211867588E-4</c:v>
                </c:pt>
                <c:pt idx="33">
                  <c:v>2.079418163318201E-4</c:v>
                </c:pt>
                <c:pt idx="34">
                  <c:v>2.7514546489523702E-4</c:v>
                </c:pt>
                <c:pt idx="35">
                  <c:v>2.7312648646497421E-4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81-4773-A253-7E710F957FBC}"/>
            </c:ext>
          </c:extLst>
        </c:ser>
        <c:ser>
          <c:idx val="4"/>
          <c:order val="4"/>
          <c:tx>
            <c:v>Nring1Feed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081-4773-A253-7E710F957FBC}"/>
            </c:ext>
          </c:extLst>
        </c:ser>
        <c:ser>
          <c:idx val="5"/>
          <c:order val="5"/>
          <c:tx>
            <c:v>Nring1Theta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081-4773-A253-7E710F957FBC}"/>
            </c:ext>
          </c:extLst>
        </c:ser>
        <c:ser>
          <c:idx val="6"/>
          <c:order val="6"/>
          <c:tx>
            <c:v>HedgepethValue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WrmsPrms_vs_Nring_FINAL!$C$2:$C$9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WrmsPrms_vs_Nring_FINAL!$F$2:$F$9</c:f>
              <c:numCache>
                <c:formatCode>General</c:formatCode>
                <c:ptCount val="8"/>
                <c:pt idx="0">
                  <c:v>0.1457446396955992</c:v>
                </c:pt>
                <c:pt idx="1">
                  <c:v>0.1457446396955992</c:v>
                </c:pt>
                <c:pt idx="2">
                  <c:v>0.1457446396955992</c:v>
                </c:pt>
                <c:pt idx="3">
                  <c:v>0.1457446396955992</c:v>
                </c:pt>
                <c:pt idx="4">
                  <c:v>0.1457446396955992</c:v>
                </c:pt>
                <c:pt idx="5">
                  <c:v>0.1457446396955992</c:v>
                </c:pt>
                <c:pt idx="6">
                  <c:v>0.1457446396955992</c:v>
                </c:pt>
                <c:pt idx="7">
                  <c:v>0.1457446396955992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B081-4773-A253-7E710F957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598031"/>
        <c:axId val="678119311"/>
        <c:extLst/>
      </c:scatterChart>
      <c:valAx>
        <c:axId val="121059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19311"/>
        <c:crosses val="autoZero"/>
        <c:crossBetween val="midCat"/>
      </c:valAx>
      <c:valAx>
        <c:axId val="6781193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Wrms/(D*sigma_i)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59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Unitless</a:t>
            </a:r>
            <a:r>
              <a:rPr lang="en-US" b="1" baseline="0"/>
              <a:t> mean axial member force vs Nring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Feed random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WrmsPrms_vs_Nring_FINAL!$C$14:$C$21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WrmsPrms_vs_Nring_FINAL!$K$14:$K$21</c:f>
              <c:numCache>
                <c:formatCode>General</c:formatCode>
                <c:ptCount val="8"/>
                <c:pt idx="0">
                  <c:v>0.33042218019562253</c:v>
                </c:pt>
                <c:pt idx="1">
                  <c:v>0.45614436465224972</c:v>
                </c:pt>
                <c:pt idx="2">
                  <c:v>0.43871792433573759</c:v>
                </c:pt>
                <c:pt idx="3">
                  <c:v>0.47414565073331422</c:v>
                </c:pt>
                <c:pt idx="4">
                  <c:v>0.47271050240456847</c:v>
                </c:pt>
                <c:pt idx="5">
                  <c:v>0.48740735679097236</c:v>
                </c:pt>
                <c:pt idx="6">
                  <c:v>0.48055335764258411</c:v>
                </c:pt>
                <c:pt idx="7">
                  <c:v>0.50505351142607979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E-45C0-8A6C-0D7192353644}"/>
            </c:ext>
          </c:extLst>
        </c:ser>
        <c:ser>
          <c:idx val="1"/>
          <c:order val="1"/>
          <c:tx>
            <c:v>Bend random error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WrmsPrms_vs_Nring_FINAL!$C$26:$C$33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WrmsPrms_vs_Nring_FINAL!$K$26:$K$33</c:f>
              <c:numCache>
                <c:formatCode>General</c:formatCode>
                <c:ptCount val="8"/>
                <c:pt idx="0">
                  <c:v>6.791502375507215E-4</c:v>
                </c:pt>
                <c:pt idx="1">
                  <c:v>7.2414125421429542E-4</c:v>
                </c:pt>
                <c:pt idx="2">
                  <c:v>7.5933462438239352E-4</c:v>
                </c:pt>
                <c:pt idx="3">
                  <c:v>7.6685008850165947E-4</c:v>
                </c:pt>
                <c:pt idx="4">
                  <c:v>8.0898306264806359E-4</c:v>
                </c:pt>
                <c:pt idx="5">
                  <c:v>8.3123382139863326E-4</c:v>
                </c:pt>
                <c:pt idx="6">
                  <c:v>8.2877163509807435E-4</c:v>
                </c:pt>
                <c:pt idx="7">
                  <c:v>8.9531997143854993E-4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CE-45C0-8A6C-0D7192353644}"/>
            </c:ext>
          </c:extLst>
        </c:ser>
        <c:ser>
          <c:idx val="2"/>
          <c:order val="2"/>
          <c:tx>
            <c:v>FeedAllVals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WrmsPrms_vs_Nring_FINAL!$P$2:$P$41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</c:numCache>
            </c:numRef>
          </c:xVal>
          <c:yVal>
            <c:numRef>
              <c:f>WrmsPrms_vs_Nring_FINAL!$V$2:$V$41</c:f>
              <c:numCache>
                <c:formatCode>General</c:formatCode>
                <c:ptCount val="40"/>
                <c:pt idx="0">
                  <c:v>0.37676576670455159</c:v>
                </c:pt>
                <c:pt idx="1">
                  <c:v>0.32329130332627926</c:v>
                </c:pt>
                <c:pt idx="2">
                  <c:v>0.34377599609587067</c:v>
                </c:pt>
                <c:pt idx="3">
                  <c:v>0.25247993828445825</c:v>
                </c:pt>
                <c:pt idx="4">
                  <c:v>0.35579789656695293</c:v>
                </c:pt>
                <c:pt idx="5">
                  <c:v>0.47296613078362237</c:v>
                </c:pt>
                <c:pt idx="6">
                  <c:v>0.36316756483858775</c:v>
                </c:pt>
                <c:pt idx="7">
                  <c:v>0.52259397533354657</c:v>
                </c:pt>
                <c:pt idx="8">
                  <c:v>0.47797049012121706</c:v>
                </c:pt>
                <c:pt idx="9">
                  <c:v>0.44402366218427491</c:v>
                </c:pt>
                <c:pt idx="10">
                  <c:v>0.45886812638884661</c:v>
                </c:pt>
                <c:pt idx="11">
                  <c:v>0.45257281092529561</c:v>
                </c:pt>
                <c:pt idx="12">
                  <c:v>0.4194916379183688</c:v>
                </c:pt>
                <c:pt idx="13">
                  <c:v>0.44935363961607877</c:v>
                </c:pt>
                <c:pt idx="14">
                  <c:v>0.41330340683009803</c:v>
                </c:pt>
                <c:pt idx="15">
                  <c:v>0.4533016240262655</c:v>
                </c:pt>
                <c:pt idx="16">
                  <c:v>0.41052880608704906</c:v>
                </c:pt>
                <c:pt idx="17">
                  <c:v>0.50011130631146727</c:v>
                </c:pt>
                <c:pt idx="18">
                  <c:v>0.51041079087341046</c:v>
                </c:pt>
                <c:pt idx="19">
                  <c:v>0.49637572636837868</c:v>
                </c:pt>
                <c:pt idx="20">
                  <c:v>0.47263580855193266</c:v>
                </c:pt>
                <c:pt idx="21">
                  <c:v>0.48418544855496859</c:v>
                </c:pt>
                <c:pt idx="22">
                  <c:v>0.48234587049041572</c:v>
                </c:pt>
                <c:pt idx="23">
                  <c:v>0.47788408341681954</c:v>
                </c:pt>
                <c:pt idx="24">
                  <c:v>0.44650130100870533</c:v>
                </c:pt>
                <c:pt idx="25">
                  <c:v>0.50729947395423813</c:v>
                </c:pt>
                <c:pt idx="26">
                  <c:v>0.50030843282108395</c:v>
                </c:pt>
                <c:pt idx="27">
                  <c:v>0.48191365069160746</c:v>
                </c:pt>
                <c:pt idx="28">
                  <c:v>0.50440232778160032</c:v>
                </c:pt>
                <c:pt idx="29">
                  <c:v>0.44311289870633208</c:v>
                </c:pt>
                <c:pt idx="30">
                  <c:v>0.46597242363204183</c:v>
                </c:pt>
                <c:pt idx="31">
                  <c:v>0.49401617936081382</c:v>
                </c:pt>
                <c:pt idx="32">
                  <c:v>0.49086937490427884</c:v>
                </c:pt>
                <c:pt idx="33">
                  <c:v>0.46629806085723563</c:v>
                </c:pt>
                <c:pt idx="34">
                  <c:v>0.48561074945855059</c:v>
                </c:pt>
                <c:pt idx="35">
                  <c:v>0.50456022248368582</c:v>
                </c:pt>
                <c:pt idx="36">
                  <c:v>0.50489022061201816</c:v>
                </c:pt>
                <c:pt idx="37">
                  <c:v>0.49555951542958149</c:v>
                </c:pt>
                <c:pt idx="38">
                  <c:v>0.48583589133032573</c:v>
                </c:pt>
                <c:pt idx="39">
                  <c:v>0.5344217072747881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8CE-45C0-8A6C-0D7192353644}"/>
            </c:ext>
          </c:extLst>
        </c:ser>
        <c:ser>
          <c:idx val="3"/>
          <c:order val="3"/>
          <c:tx>
            <c:v>BendAllVals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WrmsPrms_vs_Nring_FINAL!$P$45:$P$84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</c:numCache>
            </c:numRef>
          </c:xVal>
          <c:yVal>
            <c:numRef>
              <c:f>WrmsPrms_vs_Nring_FINAL!$V$45:$V$84</c:f>
              <c:numCache>
                <c:formatCode>General</c:formatCode>
                <c:ptCount val="40"/>
                <c:pt idx="0">
                  <c:v>7.0593355911866657E-4</c:v>
                </c:pt>
                <c:pt idx="1">
                  <c:v>6.6237531569052698E-4</c:v>
                </c:pt>
                <c:pt idx="2">
                  <c:v>6.6931900281848116E-4</c:v>
                </c:pt>
                <c:pt idx="3">
                  <c:v>5.859824782712275E-4</c:v>
                </c:pt>
                <c:pt idx="4">
                  <c:v>7.7214083185470561E-4</c:v>
                </c:pt>
                <c:pt idx="5">
                  <c:v>6.7374153719024091E-4</c:v>
                </c:pt>
                <c:pt idx="6">
                  <c:v>7.8074971787365621E-4</c:v>
                </c:pt>
                <c:pt idx="7">
                  <c:v>8.0949519342718012E-4</c:v>
                </c:pt>
                <c:pt idx="8">
                  <c:v>6.0715864623510905E-4</c:v>
                </c:pt>
                <c:pt idx="9">
                  <c:v>7.4956117634529095E-4</c:v>
                </c:pt>
                <c:pt idx="10">
                  <c:v>7.632836590468656E-4</c:v>
                </c:pt>
                <c:pt idx="11">
                  <c:v>7.0581846310723906E-4</c:v>
                </c:pt>
                <c:pt idx="12">
                  <c:v>7.431229467456473E-4</c:v>
                </c:pt>
                <c:pt idx="13">
                  <c:v>7.5794016957943667E-4</c:v>
                </c:pt>
                <c:pt idx="14">
                  <c:v>8.2650788343277841E-4</c:v>
                </c:pt>
                <c:pt idx="15">
                  <c:v>8.0369376637009105E-4</c:v>
                </c:pt>
                <c:pt idx="16">
                  <c:v>7.5747653508933773E-4</c:v>
                </c:pt>
                <c:pt idx="17">
                  <c:v>8.0500229160180572E-4</c:v>
                </c:pt>
                <c:pt idx="18">
                  <c:v>7.5161374235482479E-4</c:v>
                </c:pt>
                <c:pt idx="19">
                  <c:v>7.1646410709223817E-4</c:v>
                </c:pt>
                <c:pt idx="20">
                  <c:v>8.1596260832124715E-4</c:v>
                </c:pt>
                <c:pt idx="21">
                  <c:v>7.7770260372963141E-4</c:v>
                </c:pt>
                <c:pt idx="22">
                  <c:v>7.731914083905178E-4</c:v>
                </c:pt>
                <c:pt idx="23">
                  <c:v>8.0907658488369079E-4</c:v>
                </c:pt>
                <c:pt idx="24">
                  <c:v>8.6898210791523059E-4</c:v>
                </c:pt>
                <c:pt idx="25">
                  <c:v>8.7382356849250819E-4</c:v>
                </c:pt>
                <c:pt idx="26">
                  <c:v>8.314543457363661E-4</c:v>
                </c:pt>
                <c:pt idx="27">
                  <c:v>8.5154329434106331E-4</c:v>
                </c:pt>
                <c:pt idx="28">
                  <c:v>7.8316121540341374E-4</c:v>
                </c:pt>
                <c:pt idx="29">
                  <c:v>8.1618668301981486E-4</c:v>
                </c:pt>
                <c:pt idx="30">
                  <c:v>8.6327185733030656E-4</c:v>
                </c:pt>
                <c:pt idx="31">
                  <c:v>8.5199596904555477E-4</c:v>
                </c:pt>
                <c:pt idx="32">
                  <c:v>8.0736675575772377E-4</c:v>
                </c:pt>
                <c:pt idx="33">
                  <c:v>7.897301134339185E-4</c:v>
                </c:pt>
                <c:pt idx="34">
                  <c:v>8.3149347992286815E-4</c:v>
                </c:pt>
                <c:pt idx="35">
                  <c:v>8.9531997143854993E-4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CE-45C0-8A6C-0D7192353644}"/>
            </c:ext>
          </c:extLst>
        </c:ser>
        <c:ser>
          <c:idx val="4"/>
          <c:order val="4"/>
          <c:tx>
            <c:v>Nring1Feed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8CE-45C0-8A6C-0D7192353644}"/>
            </c:ext>
          </c:extLst>
        </c:ser>
        <c:ser>
          <c:idx val="6"/>
          <c:order val="5"/>
          <c:tx>
            <c:v>HedgepethValue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WrmsPrms_vs_Nring_FINAL!$C$2:$C$9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WrmsPrms_vs_Nring_FINAL!$J$2:$J$9</c:f>
              <c:numCache>
                <c:formatCode>General</c:formatCode>
                <c:ptCount val="8"/>
                <c:pt idx="0">
                  <c:v>0.57735026918962584</c:v>
                </c:pt>
                <c:pt idx="1">
                  <c:v>0.57735026918962584</c:v>
                </c:pt>
                <c:pt idx="2">
                  <c:v>0.57735026918962584</c:v>
                </c:pt>
                <c:pt idx="3">
                  <c:v>0.57735026918962584</c:v>
                </c:pt>
                <c:pt idx="4">
                  <c:v>0.57735026918962584</c:v>
                </c:pt>
                <c:pt idx="5">
                  <c:v>0.57735026918962584</c:v>
                </c:pt>
                <c:pt idx="6">
                  <c:v>0.57735026918962584</c:v>
                </c:pt>
                <c:pt idx="7">
                  <c:v>0.57735026918962584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48CE-45C0-8A6C-0D7192353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598031"/>
        <c:axId val="678119311"/>
        <c:extLst/>
      </c:scatterChart>
      <c:valAx>
        <c:axId val="121059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19311"/>
        <c:crosses val="autoZero"/>
        <c:crossBetween val="midCat"/>
      </c:valAx>
      <c:valAx>
        <c:axId val="6781193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Prms/(EA*sigma_i)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59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Residual</a:t>
            </a:r>
            <a:r>
              <a:rPr lang="en-US" b="1" baseline="0"/>
              <a:t> stress vs Nring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Feed random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WrmsPrms_vs_Nring_FINAL!$C$14:$C$21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(WrmsPrms_vs_Nring_FINAL!$N$14,WrmsPrms_vs_Nring_FINAL!$N$15,WrmsPrms_vs_Nring_FINAL!$N$16,WrmsPrms_vs_Nring_FINAL!$N$17,WrmsPrms_vs_Nring_FINAL!$N$18,WrmsPrms_vs_Nring_FINAL!$N$19,WrmsPrms_vs_Nring_FINAL!$N$20,WrmsPrms_vs_Nring_FINAL!$N$21)</c:f>
              <c:numCache>
                <c:formatCode>General</c:formatCode>
                <c:ptCount val="8"/>
                <c:pt idx="0">
                  <c:v>152.57925111710301</c:v>
                </c:pt>
                <c:pt idx="1">
                  <c:v>163.01989353870923</c:v>
                </c:pt>
                <c:pt idx="2">
                  <c:v>162.8524719323772</c:v>
                </c:pt>
                <c:pt idx="3">
                  <c:v>165.894815776874</c:v>
                </c:pt>
                <c:pt idx="4">
                  <c:v>166.75808928455098</c:v>
                </c:pt>
                <c:pt idx="5">
                  <c:v>167.0401753469848</c:v>
                </c:pt>
                <c:pt idx="6">
                  <c:v>165.24648329025339</c:v>
                </c:pt>
                <c:pt idx="7">
                  <c:v>168.29682409528979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E-43D9-BF12-6076FE10AF01}"/>
            </c:ext>
          </c:extLst>
        </c:ser>
        <c:ser>
          <c:idx val="1"/>
          <c:order val="1"/>
          <c:tx>
            <c:v>Bend random error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WrmsPrms_vs_Nring_FINAL!$C$26:$C$33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WrmsPrms_vs_Nring_FINAL!$N$26:$N$33</c:f>
              <c:numCache>
                <c:formatCode>General</c:formatCode>
                <c:ptCount val="8"/>
                <c:pt idx="0">
                  <c:v>4.9684634309224025</c:v>
                </c:pt>
                <c:pt idx="1">
                  <c:v>4.8562749900005056</c:v>
                </c:pt>
                <c:pt idx="2">
                  <c:v>4.8268297237625006</c:v>
                </c:pt>
                <c:pt idx="3">
                  <c:v>4.9207621500691783</c:v>
                </c:pt>
                <c:pt idx="4">
                  <c:v>4.8806983758203142</c:v>
                </c:pt>
                <c:pt idx="5">
                  <c:v>4.9244253262054043</c:v>
                </c:pt>
                <c:pt idx="6">
                  <c:v>4.9644040076357054</c:v>
                </c:pt>
                <c:pt idx="7">
                  <c:v>5.0321504388738898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9E-43D9-BF12-6076FE10AF01}"/>
            </c:ext>
          </c:extLst>
        </c:ser>
        <c:ser>
          <c:idx val="2"/>
          <c:order val="2"/>
          <c:tx>
            <c:v>FeedAllVals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WrmsPrms_vs_Nring_FINAL!$P$2:$P$41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</c:numCache>
            </c:numRef>
          </c:xVal>
          <c:yVal>
            <c:numRef>
              <c:f>WrmsPrms_vs_Nring_FINAL!$T$2:$T$41</c:f>
              <c:numCache>
                <c:formatCode>General</c:formatCode>
                <c:ptCount val="40"/>
                <c:pt idx="0">
                  <c:v>167.26334532393699</c:v>
                </c:pt>
                <c:pt idx="1">
                  <c:v>141.57505427991001</c:v>
                </c:pt>
                <c:pt idx="2">
                  <c:v>157.081862527325</c:v>
                </c:pt>
                <c:pt idx="3">
                  <c:v>141.110904600932</c:v>
                </c:pt>
                <c:pt idx="4">
                  <c:v>155.86508885341101</c:v>
                </c:pt>
                <c:pt idx="5">
                  <c:v>172.688486488058</c:v>
                </c:pt>
                <c:pt idx="6">
                  <c:v>148.655134380531</c:v>
                </c:pt>
                <c:pt idx="7">
                  <c:v>170.00924764889601</c:v>
                </c:pt>
                <c:pt idx="8">
                  <c:v>162.425546963442</c:v>
                </c:pt>
                <c:pt idx="9">
                  <c:v>161.32105221261901</c:v>
                </c:pt>
                <c:pt idx="10" formatCode="0.00E+00">
                  <c:v>165.166423876675</c:v>
                </c:pt>
                <c:pt idx="11">
                  <c:v>166.09661695345</c:v>
                </c:pt>
                <c:pt idx="12">
                  <c:v>160.99479249557601</c:v>
                </c:pt>
                <c:pt idx="13">
                  <c:v>167.339462833841</c:v>
                </c:pt>
                <c:pt idx="14">
                  <c:v>154.665063502344</c:v>
                </c:pt>
                <c:pt idx="15" formatCode="0.00E+00">
                  <c:v>163.052229842934</c:v>
                </c:pt>
                <c:pt idx="16">
                  <c:v>153.566031719553</c:v>
                </c:pt>
                <c:pt idx="17">
                  <c:v>172.13616989336001</c:v>
                </c:pt>
                <c:pt idx="18">
                  <c:v>169.981418688731</c:v>
                </c:pt>
                <c:pt idx="19">
                  <c:v>170.73822873979199</c:v>
                </c:pt>
                <c:pt idx="20" formatCode="0.00E+00">
                  <c:v>162.67634126093299</c:v>
                </c:pt>
                <c:pt idx="21">
                  <c:v>171.50603243649701</c:v>
                </c:pt>
                <c:pt idx="22">
                  <c:v>166.29784670004699</c:v>
                </c:pt>
                <c:pt idx="23">
                  <c:v>169.06191487513999</c:v>
                </c:pt>
                <c:pt idx="24">
                  <c:v>164.24831115013799</c:v>
                </c:pt>
                <c:pt idx="25" formatCode="0.00E+00">
                  <c:v>170.77913840879401</c:v>
                </c:pt>
                <c:pt idx="26">
                  <c:v>166.95547089422399</c:v>
                </c:pt>
                <c:pt idx="27">
                  <c:v>167.08767162857899</c:v>
                </c:pt>
                <c:pt idx="28">
                  <c:v>170.79689475168499</c:v>
                </c:pt>
                <c:pt idx="29">
                  <c:v>159.581701051642</c:v>
                </c:pt>
                <c:pt idx="30" formatCode="0.00E+00">
                  <c:v>164.236652596098</c:v>
                </c:pt>
                <c:pt idx="31">
                  <c:v>168.55614810059899</c:v>
                </c:pt>
                <c:pt idx="32">
                  <c:v>167.74922557483401</c:v>
                </c:pt>
                <c:pt idx="33">
                  <c:v>161.276586955928</c:v>
                </c:pt>
                <c:pt idx="34">
                  <c:v>164.413803223808</c:v>
                </c:pt>
                <c:pt idx="35">
                  <c:v>170.29640489329299</c:v>
                </c:pt>
                <c:pt idx="36">
                  <c:v>166.75131797033899</c:v>
                </c:pt>
                <c:pt idx="37">
                  <c:v>165.06624077213499</c:v>
                </c:pt>
                <c:pt idx="38">
                  <c:v>166.311612313034</c:v>
                </c:pt>
                <c:pt idx="39">
                  <c:v>173.058544527648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39E-43D9-BF12-6076FE10AF01}"/>
            </c:ext>
          </c:extLst>
        </c:ser>
        <c:ser>
          <c:idx val="3"/>
          <c:order val="3"/>
          <c:tx>
            <c:v>BendAllVals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WrmsPrms_vs_Nring_FINAL!$P$45:$P$84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</c:numCache>
            </c:numRef>
          </c:xVal>
          <c:yVal>
            <c:numRef>
              <c:f>WrmsPrms_vs_Nring_FINAL!$T$45:$T$84</c:f>
              <c:numCache>
                <c:formatCode>General</c:formatCode>
                <c:ptCount val="40"/>
                <c:pt idx="0">
                  <c:v>5.26726094883578</c:v>
                </c:pt>
                <c:pt idx="1">
                  <c:v>4.6650651289864502</c:v>
                </c:pt>
                <c:pt idx="2">
                  <c:v>5.1614818337215</c:v>
                </c:pt>
                <c:pt idx="3">
                  <c:v>4.7260337883416002</c:v>
                </c:pt>
                <c:pt idx="4">
                  <c:v>5.0224754547266803</c:v>
                </c:pt>
                <c:pt idx="5">
                  <c:v>4.7274957835875897</c:v>
                </c:pt>
                <c:pt idx="6">
                  <c:v>4.9318178515565103</c:v>
                </c:pt>
                <c:pt idx="7">
                  <c:v>4.9963535039768896</c:v>
                </c:pt>
                <c:pt idx="8">
                  <c:v>4.8589826239369804</c:v>
                </c:pt>
                <c:pt idx="9">
                  <c:v>4.7667251869445604</c:v>
                </c:pt>
                <c:pt idx="10">
                  <c:v>4.6382490608025799</c:v>
                </c:pt>
                <c:pt idx="11">
                  <c:v>4.8579751391587198</c:v>
                </c:pt>
                <c:pt idx="12">
                  <c:v>4.9225166203107404</c:v>
                </c:pt>
                <c:pt idx="13">
                  <c:v>4.8672598860863303</c:v>
                </c:pt>
                <c:pt idx="14">
                  <c:v>4.84814791245413</c:v>
                </c:pt>
                <c:pt idx="15">
                  <c:v>4.7914321563139799</c:v>
                </c:pt>
                <c:pt idx="16">
                  <c:v>4.9113480156059204</c:v>
                </c:pt>
                <c:pt idx="17">
                  <c:v>4.8747933570692599</c:v>
                </c:pt>
                <c:pt idx="18">
                  <c:v>5.0657320677624602</c:v>
                </c:pt>
                <c:pt idx="19">
                  <c:v>4.9605051535942701</c:v>
                </c:pt>
                <c:pt idx="20">
                  <c:v>4.7392273414317803</c:v>
                </c:pt>
                <c:pt idx="21">
                  <c:v>4.8485023161336001</c:v>
                </c:pt>
                <c:pt idx="22">
                  <c:v>4.9110829351425602</c:v>
                </c:pt>
                <c:pt idx="23">
                  <c:v>5.01325201007473</c:v>
                </c:pt>
                <c:pt idx="24">
                  <c:v>4.8914272763189004</c:v>
                </c:pt>
                <c:pt idx="25">
                  <c:v>4.9335228235820701</c:v>
                </c:pt>
                <c:pt idx="26">
                  <c:v>4.9417101977145803</c:v>
                </c:pt>
                <c:pt idx="27">
                  <c:v>4.9548773636175003</c:v>
                </c:pt>
                <c:pt idx="28">
                  <c:v>4.8812322416030201</c:v>
                </c:pt>
                <c:pt idx="29">
                  <c:v>4.9107840045098499</c:v>
                </c:pt>
                <c:pt idx="30">
                  <c:v>4.8948320062136004</c:v>
                </c:pt>
                <c:pt idx="31">
                  <c:v>4.9217277867859996</c:v>
                </c:pt>
                <c:pt idx="32">
                  <c:v>4.9098142883422096</c:v>
                </c:pt>
                <c:pt idx="33">
                  <c:v>5.1026654366712201</c:v>
                </c:pt>
                <c:pt idx="34">
                  <c:v>4.9929805201655002</c:v>
                </c:pt>
                <c:pt idx="35">
                  <c:v>5.0321504388738898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9E-43D9-BF12-6076FE10AF01}"/>
            </c:ext>
          </c:extLst>
        </c:ser>
        <c:ser>
          <c:idx val="4"/>
          <c:order val="4"/>
          <c:tx>
            <c:v>Nring1Feed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239E-43D9-BF12-6076FE10AF01}"/>
            </c:ext>
          </c:extLst>
        </c:ser>
        <c:ser>
          <c:idx val="5"/>
          <c:order val="5"/>
          <c:tx>
            <c:v>Nring1Theta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39E-43D9-BF12-6076FE10A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598031"/>
        <c:axId val="678119311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HedgepethValue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WrmsPrms_vs_Nring_FINAL!$A$62:$A$69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WrmsPrms_vs_Nring_FINAL!$B$62:$B$69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39E-43D9-BF12-6076FE10AF01}"/>
                  </c:ext>
                </c:extLst>
              </c15:ser>
            </c15:filteredScatterSeries>
          </c:ext>
        </c:extLst>
      </c:scatterChart>
      <c:valAx>
        <c:axId val="121059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19311"/>
        <c:crosses val="autoZero"/>
        <c:crossBetween val="midCat"/>
      </c:valAx>
      <c:valAx>
        <c:axId val="6781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sigma_Mises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59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Unitless</a:t>
            </a:r>
            <a:r>
              <a:rPr lang="en-US" b="1" baseline="0"/>
              <a:t> RMS axial member force vs Nring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Feed random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WrmsPrms_vs_Nring_FINAL!$C$14:$C$21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(WrmsPrms_vs_Nring_FINAL!$J$14,WrmsPrms_vs_Nring_FINAL!$J$15,WrmsPrms_vs_Nring_FINAL!$J$16,WrmsPrms_vs_Nring_FINAL!$J$17,WrmsPrms_vs_Nring_FINAL!$J$18,WrmsPrms_vs_Nring_FINAL!$J$19,WrmsPrms_vs_Nring_FINAL!$J$20,WrmsPrms_vs_Nring_FINAL!$J$21)</c:f>
              <c:numCache>
                <c:formatCode>General</c:formatCode>
                <c:ptCount val="8"/>
                <c:pt idx="0">
                  <c:v>0.76908771912770146</c:v>
                </c:pt>
                <c:pt idx="1">
                  <c:v>1.1854991629939557</c:v>
                </c:pt>
                <c:pt idx="2">
                  <c:v>1.1849058480462444</c:v>
                </c:pt>
                <c:pt idx="3">
                  <c:v>1.2627529925824192</c:v>
                </c:pt>
                <c:pt idx="4">
                  <c:v>1.2909985567382454</c:v>
                </c:pt>
                <c:pt idx="5">
                  <c:v>1.3238825517388366</c:v>
                </c:pt>
                <c:pt idx="6">
                  <c:v>1.299454436973164</c:v>
                </c:pt>
                <c:pt idx="7">
                  <c:v>1.373137608375617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D-48B7-9045-5A0B5B32A570}"/>
            </c:ext>
          </c:extLst>
        </c:ser>
        <c:ser>
          <c:idx val="1"/>
          <c:order val="1"/>
          <c:tx>
            <c:v>Bend random error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WrmsPrms_vs_Nring_FINAL!$C$26:$C$33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(WrmsPrms_vs_Nring_FINAL!$F$26,WrmsPrms_vs_Nring_FINAL!$F$27,WrmsPrms_vs_Nring_FINAL!$F$28,WrmsPrms_vs_Nring_FINAL!$F$29,WrmsPrms_vs_Nring_FINAL!$F$30,WrmsPrms_vs_Nring_FINAL!$F$31,WrmsPrms_vs_Nring_FINAL!$F$32,WrmsPrms_vs_Nring_FINAL!$F$33)</c:f>
              <c:numCache>
                <c:formatCode>General</c:formatCode>
                <c:ptCount val="8"/>
                <c:pt idx="0">
                  <c:v>5.6437512120299381E-4</c:v>
                </c:pt>
                <c:pt idx="1">
                  <c:v>4.4564844732879427E-4</c:v>
                </c:pt>
                <c:pt idx="2">
                  <c:v>4.0825045240040195E-4</c:v>
                </c:pt>
                <c:pt idx="3">
                  <c:v>3.5278092719795206E-4</c:v>
                </c:pt>
                <c:pt idx="4">
                  <c:v>2.980136237943247E-4</c:v>
                </c:pt>
                <c:pt idx="5">
                  <c:v>2.8052494155735036E-4</c:v>
                </c:pt>
                <c:pt idx="6">
                  <c:v>2.3181795950645529E-4</c:v>
                </c:pt>
                <c:pt idx="7">
                  <c:v>2.7312648646497421E-4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ED-48B7-9045-5A0B5B32A570}"/>
            </c:ext>
          </c:extLst>
        </c:ser>
        <c:ser>
          <c:idx val="2"/>
          <c:order val="2"/>
          <c:tx>
            <c:v>FeedAllVals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WrmsPrms_vs_Nring_FINAL!$P$2:$P$41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</c:numCache>
            </c:numRef>
          </c:xVal>
          <c:yVal>
            <c:numRef>
              <c:f>WrmsPrms_vs_Nring_FINAL!$U$2:$U$41</c:f>
              <c:numCache>
                <c:formatCode>General</c:formatCode>
                <c:ptCount val="40"/>
                <c:pt idx="0">
                  <c:v>0.48541230406225822</c:v>
                </c:pt>
                <c:pt idx="1">
                  <c:v>0.8469460493747516</c:v>
                </c:pt>
                <c:pt idx="2">
                  <c:v>0.8909471723778668</c:v>
                </c:pt>
                <c:pt idx="3">
                  <c:v>0.69303750095966377</c:v>
                </c:pt>
                <c:pt idx="4">
                  <c:v>0.9290955688639666</c:v>
                </c:pt>
                <c:pt idx="5">
                  <c:v>1.2543532629134975</c:v>
                </c:pt>
                <c:pt idx="6">
                  <c:v>0.99558871533495652</c:v>
                </c:pt>
                <c:pt idx="7">
                  <c:v>1.3275548100064294</c:v>
                </c:pt>
                <c:pt idx="8">
                  <c:v>1.2036273491164635</c:v>
                </c:pt>
                <c:pt idx="9">
                  <c:v>1.1463716775984323</c:v>
                </c:pt>
                <c:pt idx="10">
                  <c:v>1.2373972801066384</c:v>
                </c:pt>
                <c:pt idx="11">
                  <c:v>1.2211066787927118</c:v>
                </c:pt>
                <c:pt idx="12">
                  <c:v>1.1068551888361302</c:v>
                </c:pt>
                <c:pt idx="13">
                  <c:v>1.2561097559373684</c:v>
                </c:pt>
                <c:pt idx="14">
                  <c:v>1.1030603365583731</c:v>
                </c:pt>
                <c:pt idx="15">
                  <c:v>1.1823450175815129</c:v>
                </c:pt>
                <c:pt idx="16">
                  <c:v>1.0988759545782643</c:v>
                </c:pt>
                <c:pt idx="17">
                  <c:v>1.3068727701242622</c:v>
                </c:pt>
                <c:pt idx="18">
                  <c:v>1.362830636073211</c:v>
                </c:pt>
                <c:pt idx="19">
                  <c:v>1.3628405845548464</c:v>
                </c:pt>
                <c:pt idx="20">
                  <c:v>1.3260202967843202</c:v>
                </c:pt>
                <c:pt idx="21">
                  <c:v>1.32886073723791</c:v>
                </c:pt>
                <c:pt idx="22">
                  <c:v>1.2672786946229131</c:v>
                </c:pt>
                <c:pt idx="23">
                  <c:v>1.2976910917765205</c:v>
                </c:pt>
                <c:pt idx="24">
                  <c:v>1.2351419632695635</c:v>
                </c:pt>
                <c:pt idx="25">
                  <c:v>1.3431988194457529</c:v>
                </c:pt>
                <c:pt idx="26">
                  <c:v>1.3581411584091834</c:v>
                </c:pt>
                <c:pt idx="27">
                  <c:v>1.3504380291905125</c:v>
                </c:pt>
                <c:pt idx="28">
                  <c:v>1.3477526419888934</c:v>
                </c:pt>
                <c:pt idx="29">
                  <c:v>1.21988210965984</c:v>
                </c:pt>
                <c:pt idx="30">
                  <c:v>1.235098479607228</c:v>
                </c:pt>
                <c:pt idx="31">
                  <c:v>1.3841969196534576</c:v>
                </c:pt>
                <c:pt idx="32">
                  <c:v>1.3002991378378264</c:v>
                </c:pt>
                <c:pt idx="33">
                  <c:v>1.2557308399330769</c:v>
                </c:pt>
                <c:pt idx="34">
                  <c:v>1.3219468078342309</c:v>
                </c:pt>
                <c:pt idx="35">
                  <c:v>1.3591690536910745</c:v>
                </c:pt>
                <c:pt idx="36">
                  <c:v>1.3666386816811666</c:v>
                </c:pt>
                <c:pt idx="37">
                  <c:v>1.3426809297202458</c:v>
                </c:pt>
                <c:pt idx="38">
                  <c:v>1.322880435862908</c:v>
                </c:pt>
                <c:pt idx="39">
                  <c:v>1.4743189409226909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9ED-48B7-9045-5A0B5B32A570}"/>
            </c:ext>
          </c:extLst>
        </c:ser>
        <c:ser>
          <c:idx val="3"/>
          <c:order val="3"/>
          <c:tx>
            <c:v>BendAllVals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WrmsPrms_vs_Nring_FINAL!$P$45:$P$84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</c:numCache>
            </c:numRef>
          </c:xVal>
          <c:yVal>
            <c:numRef>
              <c:f>WrmsPrms_vs_Nring_FINAL!$W$45:$W$84</c:f>
              <c:numCache>
                <c:formatCode>General</c:formatCode>
                <c:ptCount val="40"/>
                <c:pt idx="0">
                  <c:v>5.3678809185440598E-4</c:v>
                </c:pt>
                <c:pt idx="1">
                  <c:v>6.8780422890701918E-4</c:v>
                </c:pt>
                <c:pt idx="2">
                  <c:v>5.7298916057918242E-4</c:v>
                </c:pt>
                <c:pt idx="3">
                  <c:v>4.2907347971897513E-4</c:v>
                </c:pt>
                <c:pt idx="4">
                  <c:v>5.952206449553859E-4</c:v>
                </c:pt>
                <c:pt idx="5">
                  <c:v>4.9874551716751637E-4</c:v>
                </c:pt>
                <c:pt idx="6">
                  <c:v>4.307191339618532E-4</c:v>
                </c:pt>
                <c:pt idx="7">
                  <c:v>4.6211426835516081E-4</c:v>
                </c:pt>
                <c:pt idx="8">
                  <c:v>4.2058264762692303E-4</c:v>
                </c:pt>
                <c:pt idx="9">
                  <c:v>4.1608066953251801E-4</c:v>
                </c:pt>
                <c:pt idx="10">
                  <c:v>4.0066408944956083E-4</c:v>
                </c:pt>
                <c:pt idx="11">
                  <c:v>4.7626886114440742E-4</c:v>
                </c:pt>
                <c:pt idx="12">
                  <c:v>4.0963207049623905E-4</c:v>
                </c:pt>
                <c:pt idx="13">
                  <c:v>3.3588149050809465E-4</c:v>
                </c:pt>
                <c:pt idx="14">
                  <c:v>4.1880575040370788E-4</c:v>
                </c:pt>
                <c:pt idx="15">
                  <c:v>3.5248078638689648E-4</c:v>
                </c:pt>
                <c:pt idx="16">
                  <c:v>3.4145934136315032E-4</c:v>
                </c:pt>
                <c:pt idx="17">
                  <c:v>3.6832902419098865E-4</c:v>
                </c:pt>
                <c:pt idx="18">
                  <c:v>2.954060039442102E-4</c:v>
                </c:pt>
                <c:pt idx="19">
                  <c:v>4.0622948010451471E-4</c:v>
                </c:pt>
                <c:pt idx="20">
                  <c:v>3.0673128959176948E-4</c:v>
                </c:pt>
                <c:pt idx="21">
                  <c:v>2.9308459807056702E-4</c:v>
                </c:pt>
                <c:pt idx="22">
                  <c:v>2.7973735781325429E-4</c:v>
                </c:pt>
                <c:pt idx="23">
                  <c:v>3.5701353630236151E-4</c:v>
                </c:pt>
                <c:pt idx="24">
                  <c:v>2.5350133719367126E-4</c:v>
                </c:pt>
                <c:pt idx="25">
                  <c:v>2.7331750384938238E-4</c:v>
                </c:pt>
                <c:pt idx="26">
                  <c:v>2.8243223469107093E-4</c:v>
                </c:pt>
                <c:pt idx="27">
                  <c:v>2.2369022973789025E-4</c:v>
                </c:pt>
                <c:pt idx="28">
                  <c:v>2.653917598069022E-4</c:v>
                </c:pt>
                <c:pt idx="29">
                  <c:v>3.5779297970150602E-4</c:v>
                </c:pt>
                <c:pt idx="30">
                  <c:v>1.970227818695479E-4</c:v>
                </c:pt>
                <c:pt idx="31">
                  <c:v>2.1110101231699554E-4</c:v>
                </c:pt>
                <c:pt idx="32">
                  <c:v>2.6787872211867588E-4</c:v>
                </c:pt>
                <c:pt idx="33">
                  <c:v>2.079418163318201E-4</c:v>
                </c:pt>
                <c:pt idx="34">
                  <c:v>2.7514546489523702E-4</c:v>
                </c:pt>
                <c:pt idx="35">
                  <c:v>2.7312648646497421E-4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ED-48B7-9045-5A0B5B32A570}"/>
            </c:ext>
          </c:extLst>
        </c:ser>
        <c:ser>
          <c:idx val="4"/>
          <c:order val="4"/>
          <c:tx>
            <c:v>Nring1Feed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9ED-48B7-9045-5A0B5B32A570}"/>
            </c:ext>
          </c:extLst>
        </c:ser>
        <c:ser>
          <c:idx val="5"/>
          <c:order val="5"/>
          <c:tx>
            <c:v>Nring1Theta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49ED-48B7-9045-5A0B5B32A570}"/>
            </c:ext>
          </c:extLst>
        </c:ser>
        <c:ser>
          <c:idx val="6"/>
          <c:order val="6"/>
          <c:tx>
            <c:v>HedgepethValue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WrmsPrms_vs_Nring_FINAL!$C$2:$C$9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WrmsPrms_vs_Nring_FINAL!$J$2:$J$9</c:f>
              <c:numCache>
                <c:formatCode>General</c:formatCode>
                <c:ptCount val="8"/>
                <c:pt idx="0">
                  <c:v>0.57735026918962584</c:v>
                </c:pt>
                <c:pt idx="1">
                  <c:v>0.57735026918962584</c:v>
                </c:pt>
                <c:pt idx="2">
                  <c:v>0.57735026918962584</c:v>
                </c:pt>
                <c:pt idx="3">
                  <c:v>0.57735026918962584</c:v>
                </c:pt>
                <c:pt idx="4">
                  <c:v>0.57735026918962584</c:v>
                </c:pt>
                <c:pt idx="5">
                  <c:v>0.57735026918962584</c:v>
                </c:pt>
                <c:pt idx="6">
                  <c:v>0.57735026918962584</c:v>
                </c:pt>
                <c:pt idx="7">
                  <c:v>0.57735026918962584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49ED-48B7-9045-5A0B5B32A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598031"/>
        <c:axId val="678119311"/>
        <c:extLst/>
      </c:scatterChart>
      <c:valAx>
        <c:axId val="121059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19311"/>
        <c:crosses val="autoZero"/>
        <c:crossBetween val="midCat"/>
      </c:valAx>
      <c:valAx>
        <c:axId val="6781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Prms/(EA*sigma_i)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59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Tetrahedral truss natural frequency</a:t>
            </a:r>
            <a:r>
              <a:rPr lang="en-US" b="1" baseline="0"/>
              <a:t> </a:t>
            </a:r>
            <a:r>
              <a:rPr lang="en-US" b="1"/>
              <a:t>vs. dcurve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Nring5EQ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Frequency_vs_Dcurve_FINAL!$B$11:$B$16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(Frequency_vs_Dcurve_FINAL!$K$64,Frequency_vs_Dcurve_FINAL!$K$69,Frequency_vs_Dcurve_FINAL!$K$74,Frequency_vs_Dcurve_FINAL!$K$79,Frequency_vs_Dcurve_FINAL!$K$84,Frequency_vs_Dcurve_FINAL!$K$89)</c:f>
              <c:numCache>
                <c:formatCode>General</c:formatCode>
                <c:ptCount val="6"/>
                <c:pt idx="0">
                  <c:v>496.51720652140455</c:v>
                </c:pt>
                <c:pt idx="1">
                  <c:v>228.93612357483755</c:v>
                </c:pt>
                <c:pt idx="2">
                  <c:v>124.85393885228449</c:v>
                </c:pt>
                <c:pt idx="3">
                  <c:v>84.737631002507101</c:v>
                </c:pt>
                <c:pt idx="4">
                  <c:v>63.962055064223712</c:v>
                </c:pt>
                <c:pt idx="5">
                  <c:v>51.323180813511797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7F-4D38-A46D-119CDBC09F91}"/>
            </c:ext>
          </c:extLst>
        </c:ser>
        <c:ser>
          <c:idx val="3"/>
          <c:order val="3"/>
          <c:tx>
            <c:v>Nring10EQ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Frequency_vs_Dcurve_FINAL!$B$11:$B$16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(Frequency_vs_Dcurve_FINAL!$K$95,Frequency_vs_Dcurve_FINAL!$K$100,Frequency_vs_Dcurve_FINAL!$K$105,Frequency_vs_Dcurve_FINAL!$K$110,Frequency_vs_Dcurve_FINAL!$K$115,Frequency_vs_Dcurve_FINAL!$K$120)</c:f>
              <c:numCache>
                <c:formatCode>General</c:formatCode>
                <c:ptCount val="6"/>
                <c:pt idx="0">
                  <c:v>147.1953321418259</c:v>
                </c:pt>
                <c:pt idx="1">
                  <c:v>67.869407759200385</c:v>
                </c:pt>
                <c:pt idx="2">
                  <c:v>37.013655835480044</c:v>
                </c:pt>
                <c:pt idx="3">
                  <c:v>25.12094963981437</c:v>
                </c:pt>
                <c:pt idx="4">
                  <c:v>18.961912731308932</c:v>
                </c:pt>
                <c:pt idx="5">
                  <c:v>15.215047025956761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7F-4D38-A46D-119CDBC09F91}"/>
            </c:ext>
          </c:extLst>
        </c:ser>
        <c:ser>
          <c:idx val="4"/>
          <c:order val="4"/>
          <c:tx>
            <c:v>Nring5FEM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Frequency_vs_Dcurve_FINAL!$B$11:$B$16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(Frequency_vs_Dcurve_FINAL!$H$64,Frequency_vs_Dcurve_FINAL!$H$69,Frequency_vs_Dcurve_FINAL!$H$74,Frequency_vs_Dcurve_FINAL!$H$79,Frequency_vs_Dcurve_FINAL!$H$84,Frequency_vs_Dcurve_FINAL!$H$89)</c:f>
              <c:numCache>
                <c:formatCode>General</c:formatCode>
                <c:ptCount val="6"/>
                <c:pt idx="0" formatCode="0.00E+00">
                  <c:v>427.14308929443348</c:v>
                </c:pt>
                <c:pt idx="1">
                  <c:v>308.77671813964827</c:v>
                </c:pt>
                <c:pt idx="2">
                  <c:v>206.52882003784202</c:v>
                </c:pt>
                <c:pt idx="3">
                  <c:v>147.88595072428399</c:v>
                </c:pt>
                <c:pt idx="4">
                  <c:v>114.107955932617</c:v>
                </c:pt>
                <c:pt idx="5" formatCode="0.00E+00">
                  <c:v>93.147918701171861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F-4C10-93EC-946D5014AD32}"/>
            </c:ext>
          </c:extLst>
        </c:ser>
        <c:ser>
          <c:idx val="5"/>
          <c:order val="5"/>
          <c:tx>
            <c:v>Nring10FEM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Frequency_vs_Dcurve_FINAL!$B$11:$B$16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(Frequency_vs_Dcurve_FINAL!$H$95,Frequency_vs_Dcurve_FINAL!$H$100,Frequency_vs_Dcurve_FINAL!$H$105,Frequency_vs_Dcurve_FINAL!$H$110,Frequency_vs_Dcurve_FINAL!$H$115,Frequency_vs_Dcurve_FINAL!$H$120)</c:f>
              <c:numCache>
                <c:formatCode>General</c:formatCode>
                <c:ptCount val="6"/>
                <c:pt idx="0" formatCode="0.00E+00">
                  <c:v>137.34794921874999</c:v>
                </c:pt>
                <c:pt idx="1">
                  <c:v>99.475704956054713</c:v>
                </c:pt>
                <c:pt idx="2">
                  <c:v>64.609182739257818</c:v>
                </c:pt>
                <c:pt idx="3">
                  <c:v>46.001617431640632</c:v>
                </c:pt>
                <c:pt idx="4">
                  <c:v>35.528291066487604</c:v>
                </c:pt>
                <c:pt idx="5" formatCode="0.00E+00">
                  <c:v>28.696551005045563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AF-4C10-93EC-946D5014AD32}"/>
            </c:ext>
          </c:extLst>
        </c:ser>
        <c:ser>
          <c:idx val="7"/>
          <c:order val="6"/>
          <c:tx>
            <c:v>Nring3FEM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Frequency_vs_Dcurve_FINAL!$B$11:$B$16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(Frequency_vs_Dcurve_FINAL!$H$33,Frequency_vs_Dcurve_FINAL!$H$38,Frequency_vs_Dcurve_FINAL!$H$43,Frequency_vs_Dcurve_FINAL!$H$48,Frequency_vs_Dcurve_FINAL!$H$53,Frequency_vs_Dcurve_FINAL!$H$58)</c:f>
              <c:numCache>
                <c:formatCode>General</c:formatCode>
                <c:ptCount val="6"/>
                <c:pt idx="0" formatCode="0.00E+00">
                  <c:v>588.89724731445347</c:v>
                </c:pt>
                <c:pt idx="1">
                  <c:v>524.40743001302098</c:v>
                </c:pt>
                <c:pt idx="2">
                  <c:v>393.16416422526032</c:v>
                </c:pt>
                <c:pt idx="3">
                  <c:v>297.01949462890644</c:v>
                </c:pt>
                <c:pt idx="4">
                  <c:v>235.02326965332023</c:v>
                </c:pt>
                <c:pt idx="5" formatCode="0.00E+00">
                  <c:v>193.13330383300803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84-4024-9B33-E66E07BF9791}"/>
            </c:ext>
          </c:extLst>
        </c:ser>
        <c:ser>
          <c:idx val="6"/>
          <c:order val="7"/>
          <c:tx>
            <c:v>Nring3EQ</c:v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Frequency_vs_Dcurve_FINAL!$B$11:$B$16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(Frequency_vs_Dcurve_FINAL!$K$33,Frequency_vs_Dcurve_FINAL!$K$38,Frequency_vs_Dcurve_FINAL!$K$43,Frequency_vs_Dcurve_FINAL!$K$48,Frequency_vs_Dcurve_FINAL!$K$53,Frequency_vs_Dcurve_FINAL!$K$58)</c:f>
              <c:numCache>
                <c:formatCode>General</c:formatCode>
                <c:ptCount val="6"/>
                <c:pt idx="0">
                  <c:v>1085.1674563988329</c:v>
                </c:pt>
                <c:pt idx="1">
                  <c:v>500.3533163292409</c:v>
                </c:pt>
                <c:pt idx="2">
                  <c:v>272.87560122021307</c:v>
                </c:pt>
                <c:pt idx="3">
                  <c:v>185.19905914336005</c:v>
                </c:pt>
                <c:pt idx="4">
                  <c:v>139.79282024558304</c:v>
                </c:pt>
                <c:pt idx="5">
                  <c:v>112.1698197891054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84-4024-9B33-E66E07BF9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82064"/>
        <c:axId val="63391280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Nring1FEM</c:v>
                </c:tx>
                <c:spPr>
                  <a:ln w="254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Frequency_vs_Dcurve_FINAL!$B$11:$B$16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(Frequency_vs_Dcurve_FINAL!$H$2,Frequency_vs_Dcurve_FINAL!$H$7,Frequency_vs_Dcurve_FINAL!$H$12,Frequency_vs_Dcurve_FINAL!$H$17,Frequency_vs_Dcurve_FINAL!$H$22,Frequency_vs_Dcurve_FINAL!$H$27)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E+00">
                        <c:v>582.1426025390623</c:v>
                      </c:pt>
                      <c:pt idx="1">
                        <c:v>594.28740234375005</c:v>
                      </c:pt>
                      <c:pt idx="2">
                        <c:v>578.20849609375023</c:v>
                      </c:pt>
                      <c:pt idx="3">
                        <c:v>560.48793945312514</c:v>
                      </c:pt>
                      <c:pt idx="4">
                        <c:v>518.82186279296877</c:v>
                      </c:pt>
                      <c:pt idx="5" formatCode="0.00E+00">
                        <c:v>476.94979248046877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97F-4D38-A46D-119CDBC09F91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Nring1EQ</c:v>
                </c:tx>
                <c:spPr>
                  <a:ln w="19050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Frequency_vs_Dcurve_FINAL!$B$11:$B$16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(Frequency_vs_Dcurve_FINAL!$K$2,Frequency_vs_Dcurve_FINAL!$K$7,Frequency_vs_Dcurve_FINAL!$K$12,Frequency_vs_Dcurve_FINAL!$K$17,Frequency_vs_Dcurve_FINAL!$K$22,Frequency_vs_Dcurve_FINAL!$K$27)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2461.0123935788183</c:v>
                      </c:pt>
                      <c:pt idx="1">
                        <c:v>1134.7333587950463</c:v>
                      </c:pt>
                      <c:pt idx="2">
                        <c:v>618.84479906610841</c:v>
                      </c:pt>
                      <c:pt idx="3">
                        <c:v>420.00631067896057</c:v>
                      </c:pt>
                      <c:pt idx="4">
                        <c:v>317.03112835635329</c:v>
                      </c:pt>
                      <c:pt idx="5">
                        <c:v>254.38591533382063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97F-4D38-A46D-119CDBC09F91}"/>
                  </c:ext>
                </c:extLst>
              </c15:ser>
            </c15:filteredScatterSeries>
          </c:ext>
        </c:extLst>
      </c:scatterChart>
      <c:valAx>
        <c:axId val="538482064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dcurve = </a:t>
                </a: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∆</a:t>
                </a:r>
                <a:r>
                  <a:rPr lang="en-US"/>
                  <a:t>/L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12800"/>
        <c:crosses val="autoZero"/>
        <c:crossBetween val="midCat"/>
      </c:valAx>
      <c:valAx>
        <c:axId val="633912800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Natural frequency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8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530679</xdr:colOff>
      <xdr:row>36</xdr:row>
      <xdr:rowOff>170905</xdr:rowOff>
    </xdr:from>
    <xdr:to>
      <xdr:col>4</xdr:col>
      <xdr:colOff>1162050</xdr:colOff>
      <xdr:row>57</xdr:row>
      <xdr:rowOff>131173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A08C81-7F69-44E9-A500-C44306D9F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1206954</xdr:colOff>
      <xdr:row>37</xdr:row>
      <xdr:rowOff>23132</xdr:rowOff>
    </xdr:from>
    <xdr:to>
      <xdr:col>6</xdr:col>
      <xdr:colOff>2190750</xdr:colOff>
      <xdr:row>56</xdr:row>
      <xdr:rowOff>160021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6E55C4-AB6B-457B-A679-B8DF0FF4B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1524001</xdr:colOff>
      <xdr:row>59</xdr:row>
      <xdr:rowOff>87629</xdr:rowOff>
    </xdr:from>
    <xdr:to>
      <xdr:col>6</xdr:col>
      <xdr:colOff>2386966</xdr:colOff>
      <xdr:row>80</xdr:row>
      <xdr:rowOff>112121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69FB1B-B291-4BDA-B425-055832387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544285</xdr:colOff>
      <xdr:row>58</xdr:row>
      <xdr:rowOff>125457</xdr:rowOff>
    </xdr:from>
    <xdr:to>
      <xdr:col>4</xdr:col>
      <xdr:colOff>1160144</xdr:colOff>
      <xdr:row>80</xdr:row>
      <xdr:rowOff>11157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C66EF8-FA26-44B9-9906-D5DE28635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169321</xdr:colOff>
      <xdr:row>16</xdr:row>
      <xdr:rowOff>60510</xdr:rowOff>
    </xdr:from>
    <xdr:to>
      <xdr:col>18</xdr:col>
      <xdr:colOff>27215</xdr:colOff>
      <xdr:row>40</xdr:row>
      <xdr:rowOff>60510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302A39-B068-448B-847C-FC286600C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13E5E-2C6E-4A0D-8735-4B4CDB9F0551}">
  <dimension ref="A1:Z104"/>
  <sheetViews>
    <sheetView tabSelected="1" topLeftCell="A11" zoomScale="70" zoomScaleNormal="70" workbookViewId="0">
      <selection activeCell="H45" sqref="H45"/>
    </sheetView>
  </sheetViews>
  <sheetFormatPr defaultRowHeight="14.4" x14ac:dyDescent="0.3"/>
  <cols>
    <col min="1" max="1" width="39.44140625" style="10" customWidth="1"/>
    <col min="2" max="2" width="12.33203125" style="11" customWidth="1"/>
    <col min="3" max="3" width="10.21875" style="10" customWidth="1"/>
    <col min="4" max="4" width="18.109375" style="10" customWidth="1"/>
    <col min="5" max="5" width="28.44140625" style="11" customWidth="1"/>
    <col min="6" max="8" width="35" style="10" customWidth="1"/>
    <col min="9" max="9" width="27" style="6" customWidth="1"/>
    <col min="10" max="10" width="37.6640625" style="11" customWidth="1"/>
    <col min="11" max="11" width="26.109375" style="11" customWidth="1"/>
    <col min="12" max="12" width="36.44140625" style="11" customWidth="1"/>
    <col min="13" max="13" width="35.88671875" style="11" customWidth="1"/>
    <col min="14" max="14" width="29.109375" style="6" customWidth="1"/>
    <col min="15" max="15" width="11.6640625" style="6" customWidth="1"/>
    <col min="16" max="16" width="10.21875" style="6" customWidth="1"/>
    <col min="17" max="17" width="13.44140625" style="10" customWidth="1"/>
    <col min="18" max="18" width="15.109375" style="10" customWidth="1"/>
    <col min="19" max="19" width="15" style="10" customWidth="1"/>
    <col min="20" max="20" width="23" style="6" customWidth="1"/>
    <col min="21" max="21" width="31.21875" style="10" customWidth="1"/>
    <col min="22" max="22" width="33.88671875" style="10" customWidth="1"/>
    <col min="23" max="23" width="30.33203125" style="10" customWidth="1"/>
    <col min="24" max="24" width="17" style="10" customWidth="1"/>
    <col min="25" max="16384" width="8.88671875" style="11"/>
  </cols>
  <sheetData>
    <row r="1" spans="1:26" x14ac:dyDescent="0.3">
      <c r="A1" s="21" t="s">
        <v>41</v>
      </c>
      <c r="C1" s="13" t="s">
        <v>3</v>
      </c>
      <c r="D1" s="12" t="s">
        <v>15</v>
      </c>
      <c r="E1" s="12" t="s">
        <v>42</v>
      </c>
      <c r="F1" s="12" t="s">
        <v>31</v>
      </c>
      <c r="G1" s="12"/>
      <c r="H1" s="12"/>
      <c r="I1" s="12" t="s">
        <v>46</v>
      </c>
      <c r="J1" s="12" t="s">
        <v>65</v>
      </c>
      <c r="K1" s="12"/>
      <c r="L1" s="12"/>
      <c r="M1" s="12"/>
      <c r="P1" s="13" t="s">
        <v>3</v>
      </c>
      <c r="Q1" s="12" t="s">
        <v>48</v>
      </c>
      <c r="R1" s="12" t="s">
        <v>30</v>
      </c>
      <c r="S1" s="12" t="s">
        <v>50</v>
      </c>
      <c r="T1" s="12" t="s">
        <v>33</v>
      </c>
      <c r="U1" s="12" t="s">
        <v>43</v>
      </c>
      <c r="V1" s="12" t="s">
        <v>51</v>
      </c>
      <c r="W1" s="12" t="s">
        <v>44</v>
      </c>
      <c r="X1" s="13" t="s">
        <v>16</v>
      </c>
    </row>
    <row r="2" spans="1:26" x14ac:dyDescent="0.3">
      <c r="A2" s="10" t="s">
        <v>55</v>
      </c>
      <c r="C2" s="10">
        <v>1</v>
      </c>
      <c r="D2" s="6">
        <f>2*C2*$B$18+$B$18</f>
        <v>183.71173070873849</v>
      </c>
      <c r="E2" s="6">
        <f t="shared" ref="E2:E9" si="0">D2*0.119*$B$15/$B$18</f>
        <v>7.1399999999999991E-2</v>
      </c>
      <c r="F2" s="6">
        <f t="shared" ref="F2:F9" si="1">0.119*$B$18/$B$19</f>
        <v>0.1457446396955992</v>
      </c>
      <c r="G2" s="6"/>
      <c r="H2" s="6"/>
      <c r="I2" s="6">
        <v>6.9878364990485498</v>
      </c>
      <c r="J2" s="10">
        <f>1/SQRT(3)</f>
        <v>0.57735026918962584</v>
      </c>
      <c r="K2" s="10"/>
      <c r="L2" s="10"/>
      <c r="M2" s="10"/>
      <c r="P2" s="6">
        <v>1</v>
      </c>
      <c r="Q2" s="10">
        <v>0.111154687220221</v>
      </c>
      <c r="R2" s="10">
        <v>11.750169000393401</v>
      </c>
      <c r="S2" s="10">
        <v>9.1202085223069798</v>
      </c>
      <c r="T2" s="6">
        <v>167.26334532393699</v>
      </c>
      <c r="U2" s="6">
        <f>R2/(5825243377.8*PI()*0.00045^2*$B$15/$B$18)/2</f>
        <v>0.48541230406225822</v>
      </c>
      <c r="V2" s="6">
        <f>S2/(5825243377.8*PI()*0.00045^2*$B$15/$B$18)/2</f>
        <v>0.37676576670455159</v>
      </c>
      <c r="W2" s="6">
        <f>Q2/($B$20*$D$14)</f>
        <v>0.18525781203370165</v>
      </c>
      <c r="X2" s="10">
        <v>0.98899246333333302</v>
      </c>
      <c r="Z2" s="14"/>
    </row>
    <row r="3" spans="1:26" x14ac:dyDescent="0.3">
      <c r="C3" s="10">
        <v>2</v>
      </c>
      <c r="D3" s="6">
        <f t="shared" ref="D3:D11" si="2">2*C3*$B$18+$B$18</f>
        <v>306.18621784789747</v>
      </c>
      <c r="E3" s="6">
        <f t="shared" si="0"/>
        <v>0.11899999999999998</v>
      </c>
      <c r="F3" s="6">
        <f t="shared" si="1"/>
        <v>0.1457446396955992</v>
      </c>
      <c r="G3" s="6"/>
      <c r="H3" s="6"/>
      <c r="I3" s="6">
        <v>6.9878364990485498</v>
      </c>
      <c r="J3" s="10">
        <f>1/SQRT(3)</f>
        <v>0.57735026918962584</v>
      </c>
      <c r="K3" s="10"/>
      <c r="L3" s="10"/>
      <c r="M3" s="10"/>
      <c r="P3" s="6">
        <v>1</v>
      </c>
      <c r="Q3" s="10">
        <v>7.7320651429544696E-2</v>
      </c>
      <c r="R3" s="10">
        <v>10.250831232630301</v>
      </c>
      <c r="S3" s="10">
        <v>7.8257749518314803</v>
      </c>
      <c r="T3" s="6">
        <v>141.57505427991001</v>
      </c>
      <c r="U3" s="6">
        <f t="shared" ref="U3:U41" si="3">R3/(5825243377.8*PI()*0.00045^2*$B$15/$B$18)</f>
        <v>0.8469460493747516</v>
      </c>
      <c r="V3" s="6">
        <f t="shared" ref="V3:V41" si="4">S3/(5825243377.8*PI()*0.00045^2*$B$15/$B$18)/2</f>
        <v>0.32329130332627926</v>
      </c>
      <c r="W3" s="6">
        <f>Q3/($B$20*$D$14)</f>
        <v>0.12886775238257447</v>
      </c>
      <c r="X3" s="10">
        <v>0.98750733000000002</v>
      </c>
      <c r="Z3" s="14"/>
    </row>
    <row r="4" spans="1:26" x14ac:dyDescent="0.3">
      <c r="C4" s="10">
        <v>3</v>
      </c>
      <c r="D4" s="6">
        <f t="shared" si="2"/>
        <v>428.66070498705648</v>
      </c>
      <c r="E4" s="6">
        <f t="shared" si="0"/>
        <v>0.1666</v>
      </c>
      <c r="F4" s="6">
        <f t="shared" si="1"/>
        <v>0.1457446396955992</v>
      </c>
      <c r="G4" s="6"/>
      <c r="H4" s="6"/>
      <c r="I4" s="6">
        <v>6.9878364990485498</v>
      </c>
      <c r="J4" s="10">
        <f t="shared" ref="J4:J11" si="5">1/SQRT(3)</f>
        <v>0.57735026918962584</v>
      </c>
      <c r="K4" s="14"/>
      <c r="L4" s="14"/>
      <c r="M4" s="14"/>
      <c r="P4" s="6">
        <v>1</v>
      </c>
      <c r="Q4" s="10">
        <v>0.138382506704993</v>
      </c>
      <c r="R4" s="10">
        <v>10.7833894590771</v>
      </c>
      <c r="S4" s="10">
        <v>8.3216391892014592</v>
      </c>
      <c r="T4" s="6">
        <v>157.081862527325</v>
      </c>
      <c r="U4" s="6">
        <f t="shared" si="3"/>
        <v>0.8909471723778668</v>
      </c>
      <c r="V4" s="6">
        <f t="shared" si="4"/>
        <v>0.34377599609587067</v>
      </c>
      <c r="W4" s="6">
        <f>Q4/($B$20*$D$14)</f>
        <v>0.23063751117498829</v>
      </c>
      <c r="X4" s="10">
        <v>0.93403920166666698</v>
      </c>
    </row>
    <row r="5" spans="1:26" x14ac:dyDescent="0.3">
      <c r="C5" s="10">
        <v>4</v>
      </c>
      <c r="D5" s="6">
        <f t="shared" si="2"/>
        <v>551.13519212621543</v>
      </c>
      <c r="E5" s="6">
        <f t="shared" si="0"/>
        <v>0.21419999999999997</v>
      </c>
      <c r="F5" s="6">
        <f t="shared" si="1"/>
        <v>0.1457446396955992</v>
      </c>
      <c r="G5" s="6"/>
      <c r="H5" s="6"/>
      <c r="I5" s="6">
        <v>6.9878364990485498</v>
      </c>
      <c r="J5" s="10">
        <f t="shared" si="5"/>
        <v>0.57735026918962584</v>
      </c>
      <c r="K5" s="10"/>
      <c r="L5" s="10"/>
      <c r="M5" s="10"/>
      <c r="P5" s="6">
        <v>1</v>
      </c>
      <c r="Q5" s="10">
        <v>7.6675426986790293E-2</v>
      </c>
      <c r="R5" s="10">
        <v>8.3880318769607296</v>
      </c>
      <c r="S5" s="10">
        <v>6.11167438324921</v>
      </c>
      <c r="T5" s="6">
        <v>141.110904600932</v>
      </c>
      <c r="U5" s="6">
        <f t="shared" si="3"/>
        <v>0.69303750095966377</v>
      </c>
      <c r="V5" s="6">
        <f t="shared" si="4"/>
        <v>0.25247993828445825</v>
      </c>
      <c r="W5" s="6">
        <f>Q5/($B$20*$D$14)</f>
        <v>0.12779237831131712</v>
      </c>
      <c r="X5" s="10">
        <v>0.96942803666666699</v>
      </c>
    </row>
    <row r="6" spans="1:26" x14ac:dyDescent="0.3">
      <c r="C6" s="10">
        <v>5</v>
      </c>
      <c r="D6" s="6">
        <f t="shared" si="2"/>
        <v>673.60967926537444</v>
      </c>
      <c r="E6" s="6">
        <f t="shared" si="0"/>
        <v>0.26179999999999998</v>
      </c>
      <c r="F6" s="6">
        <f t="shared" si="1"/>
        <v>0.1457446396955992</v>
      </c>
      <c r="G6" s="6"/>
      <c r="H6" s="6"/>
      <c r="I6" s="6">
        <v>6.9878364990485498</v>
      </c>
      <c r="J6" s="10">
        <f t="shared" si="5"/>
        <v>0.57735026918962584</v>
      </c>
      <c r="K6" s="10"/>
      <c r="L6" s="10"/>
      <c r="M6" s="10"/>
      <c r="P6" s="6">
        <v>1</v>
      </c>
      <c r="Q6" s="10">
        <v>6.4564122849333896E-2</v>
      </c>
      <c r="R6" s="10">
        <v>11.245110455902299</v>
      </c>
      <c r="S6" s="10">
        <v>8.6126482160822597</v>
      </c>
      <c r="T6" s="6">
        <v>155.86508885341101</v>
      </c>
      <c r="U6" s="6">
        <f t="shared" si="3"/>
        <v>0.9290955688639666</v>
      </c>
      <c r="V6" s="6">
        <f t="shared" si="4"/>
        <v>0.35579789656695293</v>
      </c>
      <c r="W6" s="6">
        <f>Q6/($B$20*$D$14)</f>
        <v>0.10760687141555648</v>
      </c>
      <c r="X6" s="10">
        <v>0.90282880499999996</v>
      </c>
    </row>
    <row r="7" spans="1:26" x14ac:dyDescent="0.3">
      <c r="C7" s="10">
        <v>6</v>
      </c>
      <c r="D7" s="6">
        <f t="shared" si="2"/>
        <v>796.08416640453345</v>
      </c>
      <c r="E7" s="10">
        <f t="shared" si="0"/>
        <v>0.30940000000000001</v>
      </c>
      <c r="F7" s="6">
        <f t="shared" si="1"/>
        <v>0.1457446396955992</v>
      </c>
      <c r="G7" s="6"/>
      <c r="H7" s="6"/>
      <c r="I7" s="6">
        <v>6.9878364990485498</v>
      </c>
      <c r="J7" s="10">
        <f t="shared" si="5"/>
        <v>0.57735026918962584</v>
      </c>
      <c r="K7" s="10"/>
      <c r="L7" s="10"/>
      <c r="M7" s="10"/>
      <c r="P7" s="6">
        <v>2</v>
      </c>
      <c r="Q7" s="10">
        <v>0.18763169983636599</v>
      </c>
      <c r="R7" s="10">
        <v>15.1817977233825</v>
      </c>
      <c r="S7" s="10">
        <v>11.4488897822766</v>
      </c>
      <c r="T7" s="6">
        <v>172.688486488058</v>
      </c>
      <c r="U7" s="6">
        <f t="shared" si="3"/>
        <v>1.2543532629134975</v>
      </c>
      <c r="V7" s="6">
        <f t="shared" si="4"/>
        <v>0.47296613078362237</v>
      </c>
      <c r="W7" s="6">
        <f>Q7/($B$20*$D$15)</f>
        <v>0.18763169983636599</v>
      </c>
      <c r="X7" s="10">
        <v>2.60303188166667</v>
      </c>
    </row>
    <row r="8" spans="1:26" x14ac:dyDescent="0.3">
      <c r="C8" s="10">
        <v>7</v>
      </c>
      <c r="D8" s="6">
        <f t="shared" si="2"/>
        <v>918.55865354369246</v>
      </c>
      <c r="E8" s="6">
        <f t="shared" si="0"/>
        <v>0.35699999999999998</v>
      </c>
      <c r="F8" s="6">
        <f t="shared" si="1"/>
        <v>0.1457446396955992</v>
      </c>
      <c r="G8" s="6"/>
      <c r="H8" s="6"/>
      <c r="I8" s="6">
        <v>6.9878364990485498</v>
      </c>
      <c r="J8" s="10">
        <f t="shared" si="5"/>
        <v>0.57735026918962584</v>
      </c>
      <c r="K8" s="10"/>
      <c r="L8" s="10"/>
      <c r="M8" s="10"/>
      <c r="P8" s="6">
        <v>2</v>
      </c>
      <c r="Q8" s="10">
        <v>0.13220335829339</v>
      </c>
      <c r="R8" s="10">
        <v>12.0498961008721</v>
      </c>
      <c r="S8" s="10">
        <v>8.7910426386048499</v>
      </c>
      <c r="T8" s="6">
        <v>148.655134380531</v>
      </c>
      <c r="U8" s="6">
        <f t="shared" si="3"/>
        <v>0.99558871533495652</v>
      </c>
      <c r="V8" s="6">
        <f t="shared" si="4"/>
        <v>0.36316756483858775</v>
      </c>
      <c r="W8" s="6">
        <f>Q8/($B$20*$D$15)</f>
        <v>0.13220335829339</v>
      </c>
      <c r="X8" s="10">
        <v>3.0262450950000002</v>
      </c>
    </row>
    <row r="9" spans="1:26" x14ac:dyDescent="0.3">
      <c r="C9" s="10">
        <v>8</v>
      </c>
      <c r="D9" s="6">
        <f t="shared" si="2"/>
        <v>1041.0331406828514</v>
      </c>
      <c r="E9" s="6">
        <f t="shared" si="0"/>
        <v>0.40460000000000002</v>
      </c>
      <c r="F9" s="6">
        <f t="shared" si="1"/>
        <v>0.1457446396955992</v>
      </c>
      <c r="G9" s="6"/>
      <c r="H9" s="6"/>
      <c r="I9" s="6">
        <v>6.9878364990485498</v>
      </c>
      <c r="J9" s="10">
        <f t="shared" si="5"/>
        <v>0.57735026918962584</v>
      </c>
      <c r="K9" s="10"/>
      <c r="L9" s="10"/>
      <c r="M9" s="10"/>
      <c r="P9" s="6">
        <v>2</v>
      </c>
      <c r="Q9" s="10">
        <v>0.121338534403576</v>
      </c>
      <c r="R9" s="10">
        <v>16.0677770673691</v>
      </c>
      <c r="S9" s="10">
        <v>12.650209888311799</v>
      </c>
      <c r="T9" s="6">
        <v>170.00924764889601</v>
      </c>
      <c r="U9" s="6">
        <f t="shared" si="3"/>
        <v>1.3275548100064294</v>
      </c>
      <c r="V9" s="6">
        <f t="shared" si="4"/>
        <v>0.52259397533354657</v>
      </c>
      <c r="W9" s="6">
        <f>Q9/($B$20*$D$15)</f>
        <v>0.121338534403576</v>
      </c>
      <c r="X9" s="10">
        <v>2.8490160983333301</v>
      </c>
    </row>
    <row r="10" spans="1:26" x14ac:dyDescent="0.3">
      <c r="C10" s="10">
        <v>9</v>
      </c>
      <c r="D10" s="6">
        <f t="shared" si="2"/>
        <v>1163.5076278220104</v>
      </c>
      <c r="E10" s="6">
        <f t="shared" ref="E10:E11" si="6">D10*0.119*$B$15/$B$18</f>
        <v>0.45219999999999999</v>
      </c>
      <c r="F10" s="6">
        <f t="shared" ref="F10:F11" si="7">0.119*$B$18/$B$19</f>
        <v>0.1457446396955992</v>
      </c>
      <c r="I10" s="6">
        <v>6.9878364990485498</v>
      </c>
      <c r="J10" s="10">
        <f t="shared" si="5"/>
        <v>0.57735026918962584</v>
      </c>
      <c r="P10" s="6">
        <v>2</v>
      </c>
      <c r="Q10" s="10">
        <v>0.12577096546789701</v>
      </c>
      <c r="R10" s="10">
        <v>14.567847422961099</v>
      </c>
      <c r="S10" s="10">
        <v>11.570028178364501</v>
      </c>
      <c r="T10" s="6">
        <v>162.425546963442</v>
      </c>
      <c r="U10" s="6">
        <f t="shared" si="3"/>
        <v>1.2036273491164635</v>
      </c>
      <c r="V10" s="6">
        <f t="shared" si="4"/>
        <v>0.47797049012121706</v>
      </c>
      <c r="W10" s="6">
        <f>Q10/($B$20*$D$15)</f>
        <v>0.12577096546789701</v>
      </c>
      <c r="X10" s="10">
        <v>0.83995538000000003</v>
      </c>
      <c r="Y10" s="11" t="s">
        <v>45</v>
      </c>
    </row>
    <row r="11" spans="1:26" x14ac:dyDescent="0.3">
      <c r="C11" s="10">
        <v>10</v>
      </c>
      <c r="D11" s="6">
        <f t="shared" si="2"/>
        <v>1285.9821149611694</v>
      </c>
      <c r="E11" s="6">
        <f t="shared" si="6"/>
        <v>0.49979999999999997</v>
      </c>
      <c r="F11" s="6">
        <f t="shared" si="7"/>
        <v>0.1457446396955992</v>
      </c>
      <c r="I11" s="6">
        <v>6.9878364990485498</v>
      </c>
      <c r="J11" s="10">
        <f t="shared" si="5"/>
        <v>0.57735026918962584</v>
      </c>
      <c r="P11" s="6">
        <v>2</v>
      </c>
      <c r="Q11" s="10">
        <v>0.168825549807085</v>
      </c>
      <c r="R11" s="10">
        <v>13.8748655898496</v>
      </c>
      <c r="S11" s="10">
        <v>10.748291765941</v>
      </c>
      <c r="T11" s="6">
        <v>161.32105221261901</v>
      </c>
      <c r="U11" s="6">
        <f t="shared" si="3"/>
        <v>1.1463716775984323</v>
      </c>
      <c r="V11" s="6">
        <f t="shared" si="4"/>
        <v>0.44402366218427491</v>
      </c>
      <c r="W11" s="6">
        <f>Q11/($B$20*$D$15)</f>
        <v>0.168825549807085</v>
      </c>
      <c r="X11" s="10">
        <v>2.57115085</v>
      </c>
    </row>
    <row r="12" spans="1:26" x14ac:dyDescent="0.3">
      <c r="P12" s="6">
        <v>3</v>
      </c>
      <c r="Q12" s="10">
        <v>0.15861435463325499</v>
      </c>
      <c r="R12" s="10">
        <v>14.9765745946309</v>
      </c>
      <c r="S12" s="10">
        <v>11.1076253915296</v>
      </c>
      <c r="T12" s="18">
        <v>165.166423876675</v>
      </c>
      <c r="U12" s="6">
        <f t="shared" si="3"/>
        <v>1.2373972801066384</v>
      </c>
      <c r="V12" s="6">
        <f t="shared" si="4"/>
        <v>0.45886812638884661</v>
      </c>
      <c r="W12" s="6">
        <f>Q12/($B$20*$D$16)</f>
        <v>0.11329596759518212</v>
      </c>
      <c r="X12" s="10">
        <v>1.2148117083333301</v>
      </c>
    </row>
    <row r="13" spans="1:26" x14ac:dyDescent="0.3">
      <c r="A13" s="19" t="s">
        <v>53</v>
      </c>
      <c r="B13" s="12"/>
      <c r="C13" s="13" t="s">
        <v>3</v>
      </c>
      <c r="D13" s="12" t="s">
        <v>15</v>
      </c>
      <c r="E13" s="12" t="s">
        <v>38</v>
      </c>
      <c r="F13" s="12" t="s">
        <v>36</v>
      </c>
      <c r="G13" s="12" t="s">
        <v>61</v>
      </c>
      <c r="H13" s="12" t="s">
        <v>62</v>
      </c>
      <c r="I13" s="12" t="s">
        <v>37</v>
      </c>
      <c r="J13" s="12" t="s">
        <v>35</v>
      </c>
      <c r="K13" s="12" t="s">
        <v>52</v>
      </c>
      <c r="L13" s="12" t="s">
        <v>63</v>
      </c>
      <c r="M13" s="12" t="s">
        <v>64</v>
      </c>
      <c r="N13" s="12" t="s">
        <v>34</v>
      </c>
      <c r="P13" s="6">
        <v>3</v>
      </c>
      <c r="Q13" s="10">
        <v>0.16402250338364799</v>
      </c>
      <c r="R13" s="10">
        <v>14.779404769149799</v>
      </c>
      <c r="S13" s="10">
        <v>10.9552373700714</v>
      </c>
      <c r="T13" s="6">
        <v>166.09661695345</v>
      </c>
      <c r="U13" s="6">
        <f t="shared" si="3"/>
        <v>1.2211066787927118</v>
      </c>
      <c r="V13" s="6">
        <f t="shared" si="4"/>
        <v>0.45257281092529561</v>
      </c>
      <c r="W13" s="6">
        <f>Q13/($B$20*$D$16)</f>
        <v>0.11715893098831998</v>
      </c>
      <c r="X13" s="10">
        <v>1.2750349533333301</v>
      </c>
    </row>
    <row r="14" spans="1:26" x14ac:dyDescent="0.3">
      <c r="A14" s="12" t="s">
        <v>8</v>
      </c>
      <c r="B14" s="6">
        <v>0.03</v>
      </c>
      <c r="C14" s="10">
        <v>1</v>
      </c>
      <c r="D14" s="6">
        <f>2*C14*$B$18+$B$18</f>
        <v>183.71173070873849</v>
      </c>
      <c r="E14" s="6">
        <f>AVERAGE(Q2:Q6)</f>
        <v>9.3619479038176578E-2</v>
      </c>
      <c r="F14" s="6">
        <f>AVERAGE(W2:W6)</f>
        <v>0.15603246506362761</v>
      </c>
      <c r="G14" s="6">
        <f>MAX($W$2:$W$6)-$F14</f>
        <v>7.4605046111360679E-2</v>
      </c>
      <c r="H14" s="6">
        <f>ABS(MIN($W$2:$W$6)-$F14)</f>
        <v>4.8425593648071127E-2</v>
      </c>
      <c r="I14" s="6">
        <f>AVERAGE(R2:R6)</f>
        <v>10.483506404992767</v>
      </c>
      <c r="J14" s="6">
        <f>AVERAGE(U2:U6)</f>
        <v>0.76908771912770146</v>
      </c>
      <c r="K14" s="6">
        <f>AVERAGE(V2:V6)</f>
        <v>0.33042218019562253</v>
      </c>
      <c r="L14" s="6">
        <f>MAX($V$2:$V$6)-$K14</f>
        <v>4.6343586508929058E-2</v>
      </c>
      <c r="M14" s="6">
        <f>ABS(MIN($V$2:$V$6)-$K14)</f>
        <v>7.7942241911164278E-2</v>
      </c>
      <c r="N14" s="6">
        <f>AVERAGE(T2:T6)</f>
        <v>152.57925111710301</v>
      </c>
      <c r="P14" s="6">
        <v>3</v>
      </c>
      <c r="Q14" s="10">
        <v>0.195249914728578</v>
      </c>
      <c r="R14" s="10">
        <v>13.396586179363499</v>
      </c>
      <c r="S14" s="10">
        <v>10.154455498022299</v>
      </c>
      <c r="T14" s="6">
        <v>160.99479249557601</v>
      </c>
      <c r="U14" s="6">
        <f t="shared" si="3"/>
        <v>1.1068551888361302</v>
      </c>
      <c r="V14" s="6">
        <f t="shared" si="4"/>
        <v>0.4194916379183688</v>
      </c>
      <c r="W14" s="6">
        <f>Q14/($B$20*$D$16)</f>
        <v>0.13946422480612714</v>
      </c>
      <c r="X14" s="10">
        <v>1.099470765</v>
      </c>
    </row>
    <row r="15" spans="1:26" x14ac:dyDescent="0.3">
      <c r="A15" s="12" t="s">
        <v>5</v>
      </c>
      <c r="B15" s="6">
        <v>0.2</v>
      </c>
      <c r="C15" s="10">
        <v>2</v>
      </c>
      <c r="D15" s="6">
        <f t="shared" ref="D15:D21" si="8">2*C15*$B$18+$B$18</f>
        <v>306.18621784789747</v>
      </c>
      <c r="E15" s="6">
        <f>AVERAGE(Q7:Q11)</f>
        <v>0.1471540215616628</v>
      </c>
      <c r="F15" s="6">
        <f>AVERAGE(W7:W11)</f>
        <v>0.1471540215616628</v>
      </c>
      <c r="G15" s="6">
        <f>MAX($W$7:$W$11)-$F15</f>
        <v>4.0477678274703194E-2</v>
      </c>
      <c r="H15" s="6">
        <f>ABS(MIN($W$7:$W$11)-$F15)</f>
        <v>2.5815487158086792E-2</v>
      </c>
      <c r="I15" s="6">
        <f>AVERAGE(R7:R11)</f>
        <v>14.34843678088688</v>
      </c>
      <c r="J15" s="6">
        <f>AVERAGE(U7:U11)</f>
        <v>1.1854991629939557</v>
      </c>
      <c r="K15" s="6">
        <f>AVERAGE(V7:V11)</f>
        <v>0.45614436465224972</v>
      </c>
      <c r="L15" s="6">
        <f>MAX($V$7:$V$11)-$K15</f>
        <v>6.6449610681296845E-2</v>
      </c>
      <c r="M15" s="6">
        <f>ABS(MIN($V$7:$V$11)-$K15)</f>
        <v>9.297679981366197E-2</v>
      </c>
      <c r="N15" s="6">
        <f>AVERAGE(T7:T11)</f>
        <v>163.01989353870923</v>
      </c>
      <c r="P15" s="6">
        <v>3</v>
      </c>
      <c r="Q15" s="10">
        <v>0.20336596157199899</v>
      </c>
      <c r="R15" s="10">
        <v>15.2030570628201</v>
      </c>
      <c r="S15" s="10">
        <v>10.877312260617099</v>
      </c>
      <c r="T15" s="6">
        <v>167.339462833841</v>
      </c>
      <c r="U15" s="6">
        <f t="shared" si="3"/>
        <v>1.2561097559373684</v>
      </c>
      <c r="V15" s="6">
        <f t="shared" si="4"/>
        <v>0.44935363961607877</v>
      </c>
      <c r="W15" s="6">
        <f>Q15/($B$20*$D$16)</f>
        <v>0.1452614011228564</v>
      </c>
      <c r="X15" s="10">
        <v>1.3598337300000001</v>
      </c>
    </row>
    <row r="16" spans="1:26" x14ac:dyDescent="0.3">
      <c r="A16" s="12" t="s">
        <v>6</v>
      </c>
      <c r="B16" s="6">
        <v>0</v>
      </c>
      <c r="C16" s="10">
        <v>3</v>
      </c>
      <c r="D16" s="6">
        <f t="shared" si="8"/>
        <v>428.66070498705648</v>
      </c>
      <c r="E16" s="6">
        <f>AVERAGE(Q12:Q16)</f>
        <v>0.1755914783603108</v>
      </c>
      <c r="F16" s="6">
        <f>AVERAGE(W12:W16)</f>
        <v>0.12542248454307914</v>
      </c>
      <c r="G16" s="6">
        <f>MAX($W$12:$W$16)-$F16</f>
        <v>1.9838916579777266E-2</v>
      </c>
      <c r="H16" s="6">
        <f>ABS(MIN($W$12:$W$16)-$F16)</f>
        <v>1.3490586340169142E-2</v>
      </c>
      <c r="I16" s="6">
        <f>AVERAGE(R12:R16)</f>
        <v>14.341255719706799</v>
      </c>
      <c r="J16" s="6">
        <f>AVERAGE(U12:U16)</f>
        <v>1.1849058480462444</v>
      </c>
      <c r="K16" s="6">
        <f>AVERAGE(V12:V16)</f>
        <v>0.43871792433573759</v>
      </c>
      <c r="L16" s="6">
        <f>MAX($V$12:$V$16)-$K16</f>
        <v>2.0150202053109023E-2</v>
      </c>
      <c r="M16" s="6">
        <f>ABS(MIN($V$12:$V$16)-$K16)</f>
        <v>2.5414517505639556E-2</v>
      </c>
      <c r="N16" s="6">
        <f>AVERAGE(T12:T16)</f>
        <v>162.8524719323772</v>
      </c>
      <c r="P16" s="6">
        <v>3</v>
      </c>
      <c r="Q16" s="10">
        <v>0.156704657484074</v>
      </c>
      <c r="R16" s="10">
        <v>13.350655992569701</v>
      </c>
      <c r="S16" s="10">
        <v>10.0046596224498</v>
      </c>
      <c r="T16" s="6">
        <v>154.665063502344</v>
      </c>
      <c r="U16" s="6">
        <f t="shared" si="3"/>
        <v>1.1030603365583731</v>
      </c>
      <c r="V16" s="6">
        <f t="shared" si="4"/>
        <v>0.41330340683009803</v>
      </c>
      <c r="W16" s="6">
        <f>Q16/($B$20*$D$16)</f>
        <v>0.11193189820291</v>
      </c>
      <c r="X16" s="10">
        <v>1.2435310366666701</v>
      </c>
    </row>
    <row r="17" spans="1:25" x14ac:dyDescent="0.3">
      <c r="A17" s="12" t="s">
        <v>7</v>
      </c>
      <c r="B17" s="6">
        <v>0</v>
      </c>
      <c r="C17" s="10">
        <v>4</v>
      </c>
      <c r="D17" s="6">
        <f t="shared" si="8"/>
        <v>551.13519212621543</v>
      </c>
      <c r="E17" s="6">
        <f>AVERAGE(Q17:Q21)</f>
        <v>0.19827661387348122</v>
      </c>
      <c r="F17" s="6">
        <f>AVERAGE(W17:W21)</f>
        <v>0.11015367437415621</v>
      </c>
      <c r="G17" s="6">
        <f>MAX($W$17:$W$21)-$F17</f>
        <v>3.0659080753806023E-2</v>
      </c>
      <c r="H17" s="6">
        <f>ABS(MIN($W$17:$W$21)-$F17)</f>
        <v>2.478412245103899E-2</v>
      </c>
      <c r="I17" s="6">
        <f>AVERAGE(R17:R21)</f>
        <v>15.283462063513019</v>
      </c>
      <c r="J17" s="6">
        <f>AVERAGE(U17:U21)</f>
        <v>1.2627529925824192</v>
      </c>
      <c r="K17" s="6">
        <f>AVERAGE(V17:V21)</f>
        <v>0.47414565073331422</v>
      </c>
      <c r="L17" s="6">
        <f>MAX($V$17:$V$21)-$K17</f>
        <v>3.6265140140096241E-2</v>
      </c>
      <c r="M17" s="6">
        <f>ABS(MIN($V$17:$V$21)-$K17)</f>
        <v>6.3616844646265158E-2</v>
      </c>
      <c r="N17" s="6">
        <f>AVERAGE(T17:T21)</f>
        <v>165.894815776874</v>
      </c>
      <c r="P17" s="6">
        <v>4</v>
      </c>
      <c r="Q17" s="10">
        <v>0.25346295923033202</v>
      </c>
      <c r="R17" s="10">
        <v>14.3102612532603</v>
      </c>
      <c r="S17" s="10">
        <v>10.972879438544799</v>
      </c>
      <c r="T17" s="18">
        <v>163.052229842934</v>
      </c>
      <c r="U17" s="6">
        <f t="shared" si="3"/>
        <v>1.1823450175815129</v>
      </c>
      <c r="V17" s="6">
        <f t="shared" si="4"/>
        <v>0.4533016240262655</v>
      </c>
      <c r="W17" s="6">
        <f>Q17/($B$20*$D$17)</f>
        <v>0.14081275512796224</v>
      </c>
      <c r="X17" s="10">
        <v>2.3797211699999998</v>
      </c>
    </row>
    <row r="18" spans="1:25" x14ac:dyDescent="0.3">
      <c r="A18" s="12" t="s">
        <v>0</v>
      </c>
      <c r="B18" s="6">
        <v>61.237243569579498</v>
      </c>
      <c r="C18" s="10">
        <v>5</v>
      </c>
      <c r="D18" s="6">
        <f t="shared" si="8"/>
        <v>673.60967926537444</v>
      </c>
      <c r="E18" s="6">
        <f>AVERAGE(Q22:Q26)</f>
        <v>0.28713134731298801</v>
      </c>
      <c r="F18" s="6">
        <f>AVERAGE(W22:W26)</f>
        <v>0.13051424877863091</v>
      </c>
      <c r="G18" s="6">
        <f>MAX($W$22:$W$26)-$F18</f>
        <v>5.5617624826372253E-2</v>
      </c>
      <c r="H18" s="6">
        <f>ABS(MIN($W$22:$W$26)-$F18)</f>
        <v>2.6417457159841826E-2</v>
      </c>
      <c r="I18" s="6">
        <f>AVERAGE(R22:R26)</f>
        <v>15.625326237087659</v>
      </c>
      <c r="J18" s="6">
        <f>AVERAGE(U22:U26)</f>
        <v>1.2909985567382454</v>
      </c>
      <c r="K18" s="6">
        <f>AVERAGE(V22:V26)</f>
        <v>0.47271050240456847</v>
      </c>
      <c r="L18" s="6">
        <f>MAX($V$22:$V$26)-$K18</f>
        <v>1.1474946150400123E-2</v>
      </c>
      <c r="M18" s="6">
        <f>ABS(MIN($V$22:$V$26)-$K18)</f>
        <v>2.6209201395863135E-2</v>
      </c>
      <c r="N18" s="6">
        <f>AVERAGE(T22:T26)</f>
        <v>166.75808928455098</v>
      </c>
      <c r="P18" s="6">
        <v>4</v>
      </c>
      <c r="Q18" s="10">
        <v>0.23914112489872799</v>
      </c>
      <c r="R18" s="10">
        <v>13.3000112159365</v>
      </c>
      <c r="S18" s="10">
        <v>9.9374960434333506</v>
      </c>
      <c r="T18" s="6">
        <v>153.566031719553</v>
      </c>
      <c r="U18" s="6">
        <f t="shared" si="3"/>
        <v>1.0988759545782643</v>
      </c>
      <c r="V18" s="6">
        <f t="shared" si="4"/>
        <v>0.41052880608704906</v>
      </c>
      <c r="W18" s="6">
        <f>Q18/($B$20*$D$17)</f>
        <v>0.13285618049929332</v>
      </c>
      <c r="X18" s="10">
        <v>1.8526136849999999</v>
      </c>
    </row>
    <row r="19" spans="1:25" x14ac:dyDescent="0.3">
      <c r="A19" s="12" t="s">
        <v>1</v>
      </c>
      <c r="B19" s="6">
        <v>50</v>
      </c>
      <c r="C19" s="10">
        <v>6</v>
      </c>
      <c r="D19" s="6">
        <f t="shared" si="8"/>
        <v>796.08416640453345</v>
      </c>
      <c r="E19" s="6">
        <f>AVERAGE(Q27:Q31)</f>
        <v>0.28213563361609961</v>
      </c>
      <c r="F19" s="6">
        <f>AVERAGE(W27:W31)</f>
        <v>0.10851370523696138</v>
      </c>
      <c r="G19" s="6">
        <f>MAX($W$27:$W$31)-$F19</f>
        <v>2.2240219810275158E-2</v>
      </c>
      <c r="H19" s="6">
        <f>ABS(MIN($W$27:$W$31)-$F19)</f>
        <v>3.1074161654079072E-2</v>
      </c>
      <c r="I19" s="6">
        <f>AVERAGE(R27:R31)</f>
        <v>16.023330671082679</v>
      </c>
      <c r="J19" s="6">
        <f>AVERAGE(U27:U31)</f>
        <v>1.3238825517388366</v>
      </c>
      <c r="K19" s="6">
        <f>AVERAGE(V27:V31)</f>
        <v>0.48740735679097236</v>
      </c>
      <c r="L19" s="6">
        <f>MAX($V$27:$V$31)-$K19</f>
        <v>1.9892117163265777E-2</v>
      </c>
      <c r="M19" s="6">
        <f>ABS(MIN($V$27:$V$31)-$K19)</f>
        <v>4.4294458084640276E-2</v>
      </c>
      <c r="N19" s="6">
        <f>AVERAGE(T27:T31)</f>
        <v>167.0401753469848</v>
      </c>
      <c r="P19" s="6">
        <v>4</v>
      </c>
      <c r="Q19" s="10">
        <v>0.175039397444338</v>
      </c>
      <c r="R19" s="10">
        <v>15.817456399913199</v>
      </c>
      <c r="S19" s="10">
        <v>12.105981490352899</v>
      </c>
      <c r="T19" s="6">
        <v>172.13616989336001</v>
      </c>
      <c r="U19" s="6">
        <f t="shared" si="3"/>
        <v>1.3068727701242622</v>
      </c>
      <c r="V19" s="6">
        <f t="shared" si="4"/>
        <v>0.50011130631146727</v>
      </c>
      <c r="W19" s="6">
        <f>Q19/($B$20*$D$17)</f>
        <v>9.7244109691298888E-2</v>
      </c>
      <c r="X19" s="10">
        <v>2.1772336633333298</v>
      </c>
    </row>
    <row r="20" spans="1:25" x14ac:dyDescent="0.3">
      <c r="A20" s="12" t="s">
        <v>39</v>
      </c>
      <c r="B20" s="6">
        <f>B15/B18</f>
        <v>3.2659863237109021E-3</v>
      </c>
      <c r="C20" s="10">
        <v>7</v>
      </c>
      <c r="D20" s="6">
        <f t="shared" si="8"/>
        <v>918.55865354369246</v>
      </c>
      <c r="E20" s="6">
        <f>AVERAGE(Q32:Q36)</f>
        <v>0.36191584835100699</v>
      </c>
      <c r="F20" s="6">
        <f>AVERAGE(W32:W36)</f>
        <v>0.12063861611700233</v>
      </c>
      <c r="G20" s="6">
        <f>MAX($W$32:$W$36)-$F20</f>
        <v>2.3378813247898311E-2</v>
      </c>
      <c r="H20" s="6">
        <f>ABS(MIN($W$32:$W$36)-$F20)</f>
        <v>1.9642131944362012E-2</v>
      </c>
      <c r="I20" s="6">
        <f>AVERAGE(R32:R36)</f>
        <v>15.727670183641839</v>
      </c>
      <c r="J20" s="6">
        <f>AVERAGE(U32:U36)</f>
        <v>1.299454436973164</v>
      </c>
      <c r="K20" s="6">
        <f>AVERAGE(V32:V36)</f>
        <v>0.48055335764258411</v>
      </c>
      <c r="L20" s="6">
        <f>MAX($V$32:$V$36)-$K20</f>
        <v>1.3462821718229712E-2</v>
      </c>
      <c r="M20" s="6">
        <f>ABS(MIN($V$32:$V$36)-$K20)</f>
        <v>1.4580934010542279E-2</v>
      </c>
      <c r="N20" s="6">
        <f>AVERAGE(T32:T36)</f>
        <v>165.24648329025339</v>
      </c>
      <c r="P20" s="6">
        <v>4</v>
      </c>
      <c r="Q20" s="10">
        <v>0.17007439433239699</v>
      </c>
      <c r="R20" s="10">
        <v>16.494730519562602</v>
      </c>
      <c r="S20" s="10">
        <v>12.3552967285679</v>
      </c>
      <c r="T20" s="6">
        <v>169.981418688731</v>
      </c>
      <c r="U20" s="6">
        <f t="shared" si="3"/>
        <v>1.362830636073211</v>
      </c>
      <c r="V20" s="6">
        <f t="shared" si="4"/>
        <v>0.51041079087341046</v>
      </c>
      <c r="W20" s="6">
        <f>Q20/($B$20*$D$17)</f>
        <v>9.448577462910944E-2</v>
      </c>
      <c r="X20" s="10">
        <v>2.1989330699999998</v>
      </c>
    </row>
    <row r="21" spans="1:25" x14ac:dyDescent="0.3">
      <c r="A21" s="21" t="s">
        <v>70</v>
      </c>
      <c r="C21" s="10">
        <v>8</v>
      </c>
      <c r="D21" s="6">
        <f t="shared" si="8"/>
        <v>1041.0331406828514</v>
      </c>
      <c r="E21" s="6">
        <f>AVERAGE(Q37:Q41)</f>
        <v>0.328770111610455</v>
      </c>
      <c r="F21" s="6">
        <f>AVERAGE(W37:W41)</f>
        <v>9.6697091650133821E-2</v>
      </c>
      <c r="G21" s="6">
        <f>MAX($W$37:$W$41)-$F21</f>
        <v>4.5410112975321493E-2</v>
      </c>
      <c r="H21" s="6">
        <f>ABS(MIN($W$37:$W$41)-$F21)</f>
        <v>2.662752289247293E-2</v>
      </c>
      <c r="I21" s="6">
        <f>AVERAGE(R37:R41)</f>
        <v>16.619478764943</v>
      </c>
      <c r="J21" s="6">
        <f>AVERAGE(U37:U41)</f>
        <v>1.373137608375617</v>
      </c>
      <c r="K21" s="6">
        <f>AVERAGE(V37:V41)</f>
        <v>0.50505351142607979</v>
      </c>
      <c r="L21" s="6">
        <f>MAX($V$37:$V$41)-$K21</f>
        <v>2.9368195848708312E-2</v>
      </c>
      <c r="M21" s="6">
        <f>ABS(MIN($V$37:$V$41)-$K21)</f>
        <v>1.9217620095754062E-2</v>
      </c>
      <c r="N21" s="6">
        <f>AVERAGE(T37:T41)</f>
        <v>168.29682409528979</v>
      </c>
      <c r="P21" s="6">
        <v>4</v>
      </c>
      <c r="Q21" s="10">
        <v>0.153665193461611</v>
      </c>
      <c r="R21" s="10">
        <v>16.4948509288925</v>
      </c>
      <c r="S21" s="10">
        <v>12.015555896937901</v>
      </c>
      <c r="T21" s="6">
        <v>170.73822873979199</v>
      </c>
      <c r="U21" s="6">
        <f t="shared" si="3"/>
        <v>1.3628405845548464</v>
      </c>
      <c r="V21" s="6">
        <f t="shared" si="4"/>
        <v>0.49637572636837868</v>
      </c>
      <c r="W21" s="6">
        <f>Q21/($B$20*$D$17)</f>
        <v>8.5369551923117223E-2</v>
      </c>
      <c r="X21" s="10">
        <v>2.1340395683333302</v>
      </c>
    </row>
    <row r="22" spans="1:25" x14ac:dyDescent="0.3">
      <c r="A22" s="10" t="s">
        <v>17</v>
      </c>
      <c r="B22" s="6" t="s">
        <v>29</v>
      </c>
      <c r="C22" s="6"/>
      <c r="D22" s="6"/>
      <c r="F22" s="12"/>
      <c r="G22" s="12"/>
      <c r="H22" s="12"/>
      <c r="L22" s="12"/>
      <c r="M22" s="6"/>
      <c r="P22" s="6">
        <v>5</v>
      </c>
      <c r="Q22" s="10">
        <v>0.40949012193100698</v>
      </c>
      <c r="R22" s="10">
        <v>16.049204413212799</v>
      </c>
      <c r="S22" s="10">
        <v>11.440893812635</v>
      </c>
      <c r="T22" s="18">
        <v>162.67634126093299</v>
      </c>
      <c r="U22" s="6">
        <f t="shared" si="3"/>
        <v>1.3260202967843202</v>
      </c>
      <c r="V22" s="6">
        <f t="shared" si="4"/>
        <v>0.47263580855193266</v>
      </c>
      <c r="W22" s="6">
        <f>Q22/($B$20*$D$18)</f>
        <v>0.18613187360500316</v>
      </c>
      <c r="X22" s="10">
        <v>3.5323745099999999</v>
      </c>
    </row>
    <row r="23" spans="1:25" x14ac:dyDescent="0.3">
      <c r="A23" s="6">
        <f>F14*$D$2</f>
        <v>28.664994203589803</v>
      </c>
      <c r="B23" s="6">
        <f>F15*$D$3</f>
        <v>45.056533303073486</v>
      </c>
      <c r="D23" s="6"/>
      <c r="L23" s="10"/>
      <c r="M23" s="10"/>
      <c r="P23" s="6">
        <v>5</v>
      </c>
      <c r="Q23" s="28">
        <v>0.28330132433128202</v>
      </c>
      <c r="R23" s="28">
        <v>16.083583079643301</v>
      </c>
      <c r="S23" s="28">
        <v>11.720471031411</v>
      </c>
      <c r="T23" s="29">
        <v>171.50603243649701</v>
      </c>
      <c r="U23" s="6">
        <f t="shared" si="3"/>
        <v>1.32886073723791</v>
      </c>
      <c r="V23" s="6">
        <f t="shared" si="4"/>
        <v>0.48418544855496859</v>
      </c>
      <c r="W23" s="6">
        <f>Q23/($B$20*$D$18)</f>
        <v>0.12877332924149182</v>
      </c>
      <c r="X23" s="10">
        <v>3.4746143983333302</v>
      </c>
      <c r="Y23" s="27" t="s">
        <v>71</v>
      </c>
    </row>
    <row r="24" spans="1:25" x14ac:dyDescent="0.3">
      <c r="P24" s="6">
        <v>5</v>
      </c>
      <c r="Q24" s="10">
        <v>0.245008940410267</v>
      </c>
      <c r="R24" s="10">
        <v>15.338237934845701</v>
      </c>
      <c r="S24" s="10">
        <v>11.675941148326</v>
      </c>
      <c r="T24" s="6">
        <v>166.29784670004699</v>
      </c>
      <c r="U24" s="6">
        <f t="shared" si="3"/>
        <v>1.2672786946229131</v>
      </c>
      <c r="V24" s="6">
        <f t="shared" si="4"/>
        <v>0.48234587049041572</v>
      </c>
      <c r="W24" s="6">
        <f>Q24/($B$20*$D$18)</f>
        <v>0.11136770018648499</v>
      </c>
      <c r="X24" s="10">
        <v>3.2106740249999999</v>
      </c>
    </row>
    <row r="25" spans="1:25" x14ac:dyDescent="0.3">
      <c r="A25" s="21" t="s">
        <v>54</v>
      </c>
      <c r="C25" s="13" t="s">
        <v>3</v>
      </c>
      <c r="D25" s="12" t="s">
        <v>15</v>
      </c>
      <c r="E25" s="12" t="s">
        <v>38</v>
      </c>
      <c r="F25" s="12" t="s">
        <v>36</v>
      </c>
      <c r="G25" s="12" t="s">
        <v>61</v>
      </c>
      <c r="H25" s="12" t="s">
        <v>62</v>
      </c>
      <c r="I25" s="12" t="s">
        <v>37</v>
      </c>
      <c r="J25" s="12" t="s">
        <v>35</v>
      </c>
      <c r="K25" s="12" t="s">
        <v>52</v>
      </c>
      <c r="L25" s="12" t="s">
        <v>63</v>
      </c>
      <c r="M25" s="12" t="s">
        <v>64</v>
      </c>
      <c r="N25" s="12" t="s">
        <v>34</v>
      </c>
      <c r="P25" s="6">
        <v>5</v>
      </c>
      <c r="Q25" s="10">
        <v>0.229012941561336</v>
      </c>
      <c r="R25" s="10">
        <v>15.7063279103896</v>
      </c>
      <c r="S25" s="10">
        <v>11.567936568055201</v>
      </c>
      <c r="T25" s="6">
        <v>169.06191487513999</v>
      </c>
      <c r="U25" s="6">
        <f t="shared" si="3"/>
        <v>1.2976910917765205</v>
      </c>
      <c r="V25" s="6">
        <f t="shared" si="4"/>
        <v>0.47788408341681954</v>
      </c>
      <c r="W25" s="6">
        <f>Q25/($B$20*$D$18)</f>
        <v>0.10409679161878908</v>
      </c>
      <c r="X25" s="10">
        <v>3.4384470783333301</v>
      </c>
    </row>
    <row r="26" spans="1:25" x14ac:dyDescent="0.3">
      <c r="A26" s="12" t="s">
        <v>8</v>
      </c>
      <c r="B26" s="6">
        <v>0</v>
      </c>
      <c r="C26" s="10">
        <v>1</v>
      </c>
      <c r="D26" s="6">
        <f>2*C26*$B$18+$B$18</f>
        <v>183.71173070873849</v>
      </c>
      <c r="E26" s="6">
        <f>AVERAGE(Q45:Q49)</f>
        <v>3.6191960792324082E-4</v>
      </c>
      <c r="F26" s="6">
        <f>AVERAGE(W45:W49)</f>
        <v>5.6437512120299381E-4</v>
      </c>
      <c r="G26" s="6">
        <f>MAX($W$45:$W$49)-$F26</f>
        <v>1.2342910770402537E-4</v>
      </c>
      <c r="H26" s="6">
        <f>ABS(MIN($W$45:$W$49)-$F26)</f>
        <v>1.3530164148401868E-4</v>
      </c>
      <c r="I26" s="6">
        <f>AVERAGE(R45:R49)</f>
        <v>0.38568991404391922</v>
      </c>
      <c r="J26" s="6">
        <f>AVERAGE(U45:U49)</f>
        <v>3.1866542485195742E-2</v>
      </c>
      <c r="K26" s="6">
        <f>AVERAGE(V45:V49)</f>
        <v>6.791502375507215E-4</v>
      </c>
      <c r="L26" s="6">
        <f>MAX($V$45:$V$49)-$K26</f>
        <v>9.2990594303984106E-5</v>
      </c>
      <c r="M26" s="6">
        <f>ABS(MIN($V$45:$V$49)-$K26)</f>
        <v>9.3167759279493998E-5</v>
      </c>
      <c r="N26" s="6">
        <f>AVERAGE(T45:T49)</f>
        <v>4.9684634309224025</v>
      </c>
      <c r="P26" s="6">
        <v>5</v>
      </c>
      <c r="Q26" s="10">
        <v>0.26884340833104797</v>
      </c>
      <c r="R26" s="10">
        <v>14.949277847346901</v>
      </c>
      <c r="S26" s="10">
        <v>10.8082669142126</v>
      </c>
      <c r="T26" s="6">
        <v>164.24831115013799</v>
      </c>
      <c r="U26" s="6">
        <f t="shared" si="3"/>
        <v>1.2351419632695635</v>
      </c>
      <c r="V26" s="6">
        <f t="shared" si="4"/>
        <v>0.44650130100870533</v>
      </c>
      <c r="W26" s="6">
        <f>Q26/($B$20*$D$18)</f>
        <v>0.12220154924138543</v>
      </c>
      <c r="X26" s="10">
        <v>3.53487513166667</v>
      </c>
    </row>
    <row r="27" spans="1:25" x14ac:dyDescent="0.3">
      <c r="A27" s="12" t="s">
        <v>5</v>
      </c>
      <c r="B27" s="6">
        <v>0</v>
      </c>
      <c r="C27" s="10">
        <v>2</v>
      </c>
      <c r="D27" s="6">
        <f t="shared" ref="D27:D33" si="9">2*C27*$B$18+$B$18</f>
        <v>306.18621784789747</v>
      </c>
      <c r="E27" s="6">
        <f>AVERAGE(Q50:Q54)</f>
        <v>4.7630528369453656E-4</v>
      </c>
      <c r="F27" s="6">
        <f>AVERAGE(W50:W54)</f>
        <v>4.4564844732879427E-4</v>
      </c>
      <c r="G27" s="6">
        <f>MAX($W$50:$W$54)-$F27</f>
        <v>5.3097069838722096E-5</v>
      </c>
      <c r="H27" s="6">
        <f>ABS(MIN($W$50:$W$54)-$F27)</f>
        <v>2.9567777796276262E-5</v>
      </c>
      <c r="I27" s="6">
        <f>AVERAGE(R50:R54)</f>
        <v>0.41742777152131322</v>
      </c>
      <c r="J27" s="6">
        <f>AVERAGE(U50:U54)</f>
        <v>3.4488793539386636E-2</v>
      </c>
      <c r="K27" s="6">
        <f>AVERAGE(V50:V54)</f>
        <v>7.2414125421429542E-4</v>
      </c>
      <c r="L27" s="6">
        <f>MAX($V$50:$V$54)-$K27</f>
        <v>8.5353939212884692E-5</v>
      </c>
      <c r="M27" s="6">
        <f>ABS(MIN($V$50:$V$54)-$K27)</f>
        <v>1.1698260797918638E-4</v>
      </c>
      <c r="N27" s="6">
        <f>AVERAGE(T50:T54)</f>
        <v>4.8562749900005056</v>
      </c>
      <c r="P27" s="6">
        <v>6</v>
      </c>
      <c r="Q27" s="10">
        <v>0.246119057214856</v>
      </c>
      <c r="R27" s="10">
        <v>16.257121005725701</v>
      </c>
      <c r="S27" s="10">
        <v>12.279982404418901</v>
      </c>
      <c r="T27" s="18">
        <v>170.77913840879401</v>
      </c>
      <c r="U27" s="6">
        <f t="shared" si="3"/>
        <v>1.3431988194457529</v>
      </c>
      <c r="V27" s="6">
        <f t="shared" si="4"/>
        <v>0.50729947395423813</v>
      </c>
      <c r="W27" s="6">
        <f>Q27/($B$20*$D$19)</f>
        <v>9.4661175851867688E-2</v>
      </c>
      <c r="X27" s="10">
        <v>5.6253700333333301</v>
      </c>
    </row>
    <row r="28" spans="1:25" x14ac:dyDescent="0.3">
      <c r="A28" s="12" t="s">
        <v>6</v>
      </c>
      <c r="B28" s="6">
        <v>0.2</v>
      </c>
      <c r="C28" s="10">
        <v>3</v>
      </c>
      <c r="D28" s="6">
        <f t="shared" si="9"/>
        <v>428.66070498705648</v>
      </c>
      <c r="E28" s="6">
        <f>AVERAGE(Q55:Q59)</f>
        <v>6.108684731212468E-4</v>
      </c>
      <c r="F28" s="6">
        <f>AVERAGE(W55:W59)</f>
        <v>4.0825045240040195E-4</v>
      </c>
      <c r="G28" s="6">
        <f>MAX($W$55:$W$59)-$F28</f>
        <v>6.8018408744005478E-5</v>
      </c>
      <c r="H28" s="6">
        <f>ABS(MIN($W$55:$W$59)-$F28)</f>
        <v>7.2368961892307297E-5</v>
      </c>
      <c r="I28" s="6">
        <f>AVERAGE(R55:R59)</f>
        <v>0.43539480711543882</v>
      </c>
      <c r="J28" s="6">
        <f>AVERAGE(U55:U59)</f>
        <v>3.5973269234097265E-2</v>
      </c>
      <c r="K28" s="6">
        <f>AVERAGE(V55:V59)</f>
        <v>7.5933462438239352E-4</v>
      </c>
      <c r="L28" s="6">
        <f>MAX($V$55:$V$59)-$K28</f>
        <v>6.7173259050384891E-5</v>
      </c>
      <c r="M28" s="6">
        <f>ABS(MIN($V$55:$V$59)-$K28)</f>
        <v>5.3516161275154453E-5</v>
      </c>
      <c r="N28" s="6">
        <f>AVERAGE(T55:T59)</f>
        <v>4.8268297237625006</v>
      </c>
      <c r="P28" s="6">
        <v>6</v>
      </c>
      <c r="Q28" s="10">
        <v>0.31243953426389398</v>
      </c>
      <c r="R28" s="10">
        <v>16.4379724248308</v>
      </c>
      <c r="S28" s="10">
        <v>12.1107532478528</v>
      </c>
      <c r="T28" s="6">
        <v>166.95547089422399</v>
      </c>
      <c r="U28" s="6">
        <f t="shared" si="3"/>
        <v>1.3581411584091834</v>
      </c>
      <c r="V28" s="6">
        <f t="shared" si="4"/>
        <v>0.50030843282108395</v>
      </c>
      <c r="W28" s="6">
        <f>Q28/($B$20*$D$19)</f>
        <v>0.12016905163995922</v>
      </c>
      <c r="X28" s="10">
        <v>5.2343320066666701</v>
      </c>
    </row>
    <row r="29" spans="1:25" x14ac:dyDescent="0.3">
      <c r="A29" s="12" t="s">
        <v>7</v>
      </c>
      <c r="B29" s="6">
        <v>0.2</v>
      </c>
      <c r="C29" s="10">
        <v>4</v>
      </c>
      <c r="D29" s="6">
        <f t="shared" si="9"/>
        <v>551.13519212621543</v>
      </c>
      <c r="E29" s="6">
        <f>AVERAGE(Q60:Q64)</f>
        <v>6.7868867739311804E-4</v>
      </c>
      <c r="F29" s="6">
        <f>AVERAGE(W60:W64)</f>
        <v>3.5278092719795206E-4</v>
      </c>
      <c r="G29" s="6">
        <f>MAX($W$60:$W$64)-$F29</f>
        <v>5.344855290656265E-5</v>
      </c>
      <c r="H29" s="6">
        <f>ABS(MIN($W$60:$W$64)-$F29)</f>
        <v>5.737492325374186E-5</v>
      </c>
      <c r="I29" s="6">
        <f>AVERAGE(R60:R64)</f>
        <v>0.44064899122795376</v>
      </c>
      <c r="J29" s="6">
        <f>AVERAGE(U60:U64)</f>
        <v>3.6407381392984141E-2</v>
      </c>
      <c r="K29" s="6">
        <f>AVERAGE(V60:V64)</f>
        <v>7.6685008850165947E-4</v>
      </c>
      <c r="L29" s="6">
        <f>MAX($V$60:$V$64)-$K29</f>
        <v>3.8152203100146249E-5</v>
      </c>
      <c r="M29" s="6">
        <f>ABS(MIN($V$60:$V$64)-$K29)</f>
        <v>5.03859814094213E-5</v>
      </c>
      <c r="N29" s="6">
        <f>AVERAGE(T60:T64)</f>
        <v>4.9207621500691783</v>
      </c>
      <c r="P29" s="6">
        <v>6</v>
      </c>
      <c r="Q29" s="10">
        <v>0.31081655816343901</v>
      </c>
      <c r="R29" s="10">
        <v>16.344739239975599</v>
      </c>
      <c r="S29" s="10">
        <v>11.6654785876558</v>
      </c>
      <c r="T29" s="6">
        <v>167.08767162857899</v>
      </c>
      <c r="U29" s="6">
        <f t="shared" si="3"/>
        <v>1.3504380291905125</v>
      </c>
      <c r="V29" s="6">
        <f t="shared" si="4"/>
        <v>0.48191365069160746</v>
      </c>
      <c r="W29" s="6">
        <f>Q29/($B$20*$D$19)</f>
        <v>0.11954483006286115</v>
      </c>
      <c r="X29" s="10">
        <v>5.74613183833333</v>
      </c>
    </row>
    <row r="30" spans="1:25" x14ac:dyDescent="0.3">
      <c r="A30" s="12" t="s">
        <v>0</v>
      </c>
      <c r="B30" s="6">
        <v>61.237243569579498</v>
      </c>
      <c r="C30" s="10">
        <v>5</v>
      </c>
      <c r="D30" s="6">
        <f t="shared" si="9"/>
        <v>673.60967926537444</v>
      </c>
      <c r="E30" s="6">
        <f>AVERAGE(Q65:Q69)</f>
        <v>7.0073175806944403E-4</v>
      </c>
      <c r="F30" s="6">
        <f>AVERAGE(W65:W69)</f>
        <v>2.980136237943247E-4</v>
      </c>
      <c r="G30" s="6">
        <f>MAX($W$65:$W$69)-$F30</f>
        <v>5.8999912508036806E-5</v>
      </c>
      <c r="H30" s="6">
        <f>ABS(MIN($W$65:$W$69)-$F30)</f>
        <v>4.4512286600653444E-5</v>
      </c>
      <c r="I30" s="6">
        <f>AVERAGE(R65:R69)</f>
        <v>0.45656601342107078</v>
      </c>
      <c r="J30" s="6">
        <f>AVERAGE(U65:U69)</f>
        <v>3.7722480506250058E-2</v>
      </c>
      <c r="K30" s="6">
        <f>AVERAGE(V65:V69)</f>
        <v>8.0898306264806359E-4</v>
      </c>
      <c r="L30" s="6">
        <f>MAX($V$65:$V$69)-$K30</f>
        <v>5.9999045267167001E-5</v>
      </c>
      <c r="M30" s="6">
        <f>ABS(MIN($V$65:$V$69)-$K30)</f>
        <v>3.5791654257545788E-5</v>
      </c>
      <c r="N30" s="6">
        <f>AVERAGE(T65:T69)</f>
        <v>4.8806983758203142</v>
      </c>
      <c r="P30" s="6">
        <v>6</v>
      </c>
      <c r="Q30" s="10">
        <v>0.201342813315494</v>
      </c>
      <c r="R30" s="10">
        <v>16.312237227576599</v>
      </c>
      <c r="S30" s="10">
        <v>12.209852420357</v>
      </c>
      <c r="T30" s="6">
        <v>170.79689475168499</v>
      </c>
      <c r="U30" s="6">
        <f t="shared" si="3"/>
        <v>1.3477526419888934</v>
      </c>
      <c r="V30" s="6">
        <f t="shared" si="4"/>
        <v>0.50440232778160032</v>
      </c>
      <c r="W30" s="6">
        <f>Q30/($B$20*$D$19)</f>
        <v>7.7439543582882311E-2</v>
      </c>
      <c r="X30" s="10">
        <v>5.2562839849999996</v>
      </c>
    </row>
    <row r="31" spans="1:25" x14ac:dyDescent="0.3">
      <c r="A31" s="12" t="s">
        <v>1</v>
      </c>
      <c r="B31" s="6">
        <v>50</v>
      </c>
      <c r="C31" s="10">
        <v>6</v>
      </c>
      <c r="D31" s="6">
        <f t="shared" si="9"/>
        <v>796.08416640453345</v>
      </c>
      <c r="E31" s="6">
        <f>AVERAGE(Q70:Q74)</f>
        <v>7.7953896832618484E-4</v>
      </c>
      <c r="F31" s="6">
        <f>AVERAGE(W70:W74)</f>
        <v>2.8052494155735036E-4</v>
      </c>
      <c r="G31" s="6">
        <f>MAX($W$70:$W$74)-$F31</f>
        <v>7.726803814415566E-5</v>
      </c>
      <c r="H31" s="6">
        <f>ABS(MIN($W$70:$W$74)-$F31)</f>
        <v>5.683471181946011E-5</v>
      </c>
      <c r="I31" s="6">
        <f>AVERAGE(R70:R74)</f>
        <v>0.47266888741883822</v>
      </c>
      <c r="J31" s="6">
        <f>AVERAGE(U70:U74)</f>
        <v>3.9052935101246744E-2</v>
      </c>
      <c r="K31" s="6">
        <f>AVERAGE(V70:V74)</f>
        <v>8.3123382139863326E-4</v>
      </c>
      <c r="L31" s="6">
        <f>MAX($V$70:$V$74)-$K31</f>
        <v>4.2589747093874932E-5</v>
      </c>
      <c r="M31" s="6">
        <f>ABS(MIN($V$70:$V$74)-$K31)</f>
        <v>4.8072605995219523E-5</v>
      </c>
      <c r="N31" s="6">
        <f>AVERAGE(T70:T74)</f>
        <v>4.9244253262054043</v>
      </c>
      <c r="P31" s="6">
        <v>6</v>
      </c>
      <c r="Q31" s="10">
        <v>0.339960205122815</v>
      </c>
      <c r="R31" s="10">
        <v>14.764583457304701</v>
      </c>
      <c r="S31" s="10">
        <v>10.72624530215</v>
      </c>
      <c r="T31" s="6">
        <v>159.581701051642</v>
      </c>
      <c r="U31" s="6">
        <f t="shared" si="3"/>
        <v>1.21988210965984</v>
      </c>
      <c r="V31" s="6">
        <f t="shared" si="4"/>
        <v>0.44311289870633208</v>
      </c>
      <c r="W31" s="6">
        <f>Q31/($B$20*$D$19)</f>
        <v>0.13075392504723654</v>
      </c>
      <c r="X31" s="10">
        <v>6.2382403049999997</v>
      </c>
    </row>
    <row r="32" spans="1:25" x14ac:dyDescent="0.3">
      <c r="A32" s="12" t="s">
        <v>40</v>
      </c>
      <c r="B32" s="6">
        <f>B29*PI()/180</f>
        <v>3.4906585039886592E-3</v>
      </c>
      <c r="C32" s="10">
        <v>7</v>
      </c>
      <c r="D32" s="6">
        <f t="shared" si="9"/>
        <v>918.55865354369246</v>
      </c>
      <c r="E32" s="6">
        <f>AVERAGE(Q75:Q79)</f>
        <v>7.4329521148368586E-4</v>
      </c>
      <c r="F32" s="6">
        <f>AVERAGE(W75:W79)</f>
        <v>2.3181795950645529E-4</v>
      </c>
      <c r="G32" s="6">
        <f>MAX($W$75:$W$79)-$F32</f>
        <v>4.3327505388781728E-5</v>
      </c>
      <c r="H32" s="6">
        <f>ABS(MIN($W$75:$W$79)-$F32)</f>
        <v>3.4795177636907389E-5</v>
      </c>
      <c r="I32" s="6">
        <f>AVERAGE(R75:R79)</f>
        <v>0.47057834178842767</v>
      </c>
      <c r="J32" s="6">
        <f>AVERAGE(U75:U79)</f>
        <v>3.8880209658545301E-2</v>
      </c>
      <c r="K32" s="6">
        <f>AVERAGE(V75:V79)</f>
        <v>8.2877163509807435E-4</v>
      </c>
      <c r="L32" s="6">
        <f>MAX($V$75:$V$79)-$K32</f>
        <v>3.4500222232232208E-5</v>
      </c>
      <c r="M32" s="6">
        <f>ABS(MIN($V$75:$V$79)-$K32)</f>
        <v>3.904152166415585E-5</v>
      </c>
      <c r="N32" s="6">
        <f>AVERAGE(T75:T79)</f>
        <v>4.9644040076357054</v>
      </c>
      <c r="P32" s="6">
        <v>7</v>
      </c>
      <c r="Q32" s="10">
        <v>0.37587519702503402</v>
      </c>
      <c r="R32" s="10">
        <v>14.9487515520955</v>
      </c>
      <c r="S32" s="10">
        <v>11.2795960905374</v>
      </c>
      <c r="T32" s="18">
        <v>164.236652596098</v>
      </c>
      <c r="U32" s="6">
        <f t="shared" si="3"/>
        <v>1.235098479607228</v>
      </c>
      <c r="V32" s="6">
        <f t="shared" si="4"/>
        <v>0.46597242363204183</v>
      </c>
      <c r="W32" s="6">
        <f>Q32/($B$20*$D$20)</f>
        <v>0.12529173234167798</v>
      </c>
      <c r="X32" s="10">
        <v>9.8829877449999994</v>
      </c>
    </row>
    <row r="33" spans="1:24" x14ac:dyDescent="0.3">
      <c r="C33" s="10">
        <v>8</v>
      </c>
      <c r="D33" s="6">
        <f t="shared" si="9"/>
        <v>1041.0331406828514</v>
      </c>
      <c r="E33" s="6">
        <f>AVERAGE(Q80:Q84)</f>
        <v>9.9251193168035197E-4</v>
      </c>
      <c r="F33" s="6">
        <f>AVERAGE(W80)</f>
        <v>2.7312648646497421E-4</v>
      </c>
      <c r="G33" s="6">
        <f>MAX($W$80)-$F33</f>
        <v>0</v>
      </c>
      <c r="H33" s="6">
        <f>ABS(MIN($W$80)-$F33)</f>
        <v>0</v>
      </c>
      <c r="I33" s="6">
        <f>AVERAGE(R80)</f>
        <v>0.50473098388973103</v>
      </c>
      <c r="J33" s="6">
        <f>AVERAGE(U80)</f>
        <v>4.1701975488747794E-2</v>
      </c>
      <c r="K33" s="6">
        <f>AVERAGE(V80)</f>
        <v>8.9531997143854993E-4</v>
      </c>
      <c r="L33" s="6">
        <f>MAX($V$80)-$K33</f>
        <v>0</v>
      </c>
      <c r="M33" s="6">
        <f>ABS(MIN($V$80)-$K33)</f>
        <v>0</v>
      </c>
      <c r="N33" s="6">
        <f>AVERAGE(T80:T84)</f>
        <v>5.0321504388738898</v>
      </c>
      <c r="P33" s="6">
        <v>7</v>
      </c>
      <c r="Q33" s="10">
        <v>0.30298945251792098</v>
      </c>
      <c r="R33" s="10">
        <v>16.753332784974099</v>
      </c>
      <c r="S33" s="10">
        <v>11.9584393470045</v>
      </c>
      <c r="T33" s="6">
        <v>168.55614810059899</v>
      </c>
      <c r="U33" s="6">
        <f t="shared" si="3"/>
        <v>1.3841969196534576</v>
      </c>
      <c r="V33" s="6">
        <f t="shared" si="4"/>
        <v>0.49401617936081382</v>
      </c>
      <c r="W33" s="6">
        <f>Q33/($B$20*$D$20)</f>
        <v>0.10099648417264032</v>
      </c>
      <c r="X33" s="10">
        <v>10.68711776</v>
      </c>
    </row>
    <row r="34" spans="1:24" x14ac:dyDescent="0.3">
      <c r="A34" s="10" t="s">
        <v>18</v>
      </c>
      <c r="B34" s="6" t="s">
        <v>29</v>
      </c>
      <c r="D34" s="6"/>
      <c r="P34" s="6">
        <v>7</v>
      </c>
      <c r="Q34" s="10">
        <v>0.43205228809470198</v>
      </c>
      <c r="R34" s="10">
        <v>15.737893840759201</v>
      </c>
      <c r="S34" s="10">
        <v>11.8822659911459</v>
      </c>
      <c r="T34" s="6">
        <v>167.74922557483401</v>
      </c>
      <c r="U34" s="6">
        <f t="shared" si="3"/>
        <v>1.3002991378378264</v>
      </c>
      <c r="V34" s="6">
        <f t="shared" si="4"/>
        <v>0.49086937490427884</v>
      </c>
      <c r="W34" s="6">
        <f>Q34/($B$20*$D$20)</f>
        <v>0.14401742936490064</v>
      </c>
      <c r="X34" s="10">
        <v>9.1658999750000003</v>
      </c>
    </row>
    <row r="35" spans="1:24" x14ac:dyDescent="0.3">
      <c r="A35" s="10">
        <f>F26*$D$2</f>
        <v>0.10368233028515604</v>
      </c>
      <c r="B35" s="11">
        <f>F27*$D$3</f>
        <v>0.13645141257739146</v>
      </c>
      <c r="D35" s="6"/>
      <c r="P35" s="6">
        <v>7</v>
      </c>
      <c r="Q35" s="10">
        <v>0.31579982274748902</v>
      </c>
      <c r="R35" s="10">
        <v>15.198470933616001</v>
      </c>
      <c r="S35" s="10">
        <v>11.2874786522212</v>
      </c>
      <c r="T35" s="6">
        <v>161.276586955928</v>
      </c>
      <c r="U35" s="6">
        <f t="shared" si="3"/>
        <v>1.2557308399330769</v>
      </c>
      <c r="V35" s="6">
        <f t="shared" si="4"/>
        <v>0.46629806085723563</v>
      </c>
      <c r="W35" s="6">
        <f>Q35/($B$20*$D$20)</f>
        <v>0.10526660758249633</v>
      </c>
      <c r="X35" s="10">
        <v>8.5706327316666702</v>
      </c>
    </row>
    <row r="36" spans="1:24" x14ac:dyDescent="0.3">
      <c r="P36" s="6">
        <v>7</v>
      </c>
      <c r="Q36" s="10">
        <v>0.38286248136988899</v>
      </c>
      <c r="R36" s="10">
        <v>15.999901806764401</v>
      </c>
      <c r="S36" s="10">
        <v>11.754972683621601</v>
      </c>
      <c r="T36" s="6">
        <v>164.413803223808</v>
      </c>
      <c r="U36" s="6">
        <f t="shared" si="3"/>
        <v>1.3219468078342309</v>
      </c>
      <c r="V36" s="6">
        <f t="shared" si="4"/>
        <v>0.48561074945855059</v>
      </c>
      <c r="W36" s="6">
        <f>Q36/($B$20*$D$20)</f>
        <v>0.12762082712329631</v>
      </c>
      <c r="X36" s="10">
        <v>8.8186874266666706</v>
      </c>
    </row>
    <row r="37" spans="1:24" x14ac:dyDescent="0.3">
      <c r="P37" s="6">
        <v>8</v>
      </c>
      <c r="Q37" s="10">
        <v>0.28679782351070798</v>
      </c>
      <c r="R37" s="10">
        <v>16.450413336583399</v>
      </c>
      <c r="S37" s="10">
        <v>12.2136745101933</v>
      </c>
      <c r="T37" s="6">
        <v>170.29640489329299</v>
      </c>
      <c r="U37" s="6">
        <f t="shared" si="3"/>
        <v>1.3591690536910745</v>
      </c>
      <c r="V37" s="6">
        <f t="shared" si="4"/>
        <v>0.50456022248368582</v>
      </c>
      <c r="W37" s="6">
        <f>Q37/($B$20*$D$21)</f>
        <v>8.4352301032561181E-2</v>
      </c>
      <c r="X37" s="10">
        <v>12.7492565283333</v>
      </c>
    </row>
    <row r="38" spans="1:24" x14ac:dyDescent="0.3">
      <c r="P38" s="6">
        <v>8</v>
      </c>
      <c r="Q38" s="10">
        <v>0.238236533776047</v>
      </c>
      <c r="R38" s="10">
        <v>16.540820389020201</v>
      </c>
      <c r="S38" s="10">
        <v>12.2216626344029</v>
      </c>
      <c r="T38" s="6">
        <v>166.75131797033899</v>
      </c>
      <c r="U38" s="6">
        <f t="shared" si="3"/>
        <v>1.3666386816811666</v>
      </c>
      <c r="V38" s="6">
        <f t="shared" si="4"/>
        <v>0.50489022061201816</v>
      </c>
      <c r="W38" s="6">
        <f>Q38/($B$20*$D$21)</f>
        <v>7.0069568757660891E-2</v>
      </c>
      <c r="X38" s="10">
        <v>13.2211636883333</v>
      </c>
    </row>
    <row r="39" spans="1:24" x14ac:dyDescent="0.3">
      <c r="P39" s="6">
        <v>8</v>
      </c>
      <c r="Q39" s="10">
        <v>0.48316449572654802</v>
      </c>
      <c r="R39" s="10">
        <v>16.250852837667999</v>
      </c>
      <c r="S39" s="10">
        <v>11.9957982262102</v>
      </c>
      <c r="T39" s="6">
        <v>165.06624077213499</v>
      </c>
      <c r="U39" s="6">
        <f t="shared" si="3"/>
        <v>1.3426809297202458</v>
      </c>
      <c r="V39" s="6">
        <f t="shared" si="4"/>
        <v>0.49555951542958149</v>
      </c>
      <c r="W39" s="6">
        <f>Q39/($B$20*$D$21)</f>
        <v>0.14210720462545531</v>
      </c>
      <c r="X39" s="10">
        <v>13.1933738933333</v>
      </c>
    </row>
    <row r="40" spans="1:24" x14ac:dyDescent="0.3">
      <c r="I40" s="19"/>
      <c r="P40" s="6">
        <v>8</v>
      </c>
      <c r="Q40" s="10">
        <v>0.27164100438195699</v>
      </c>
      <c r="R40" s="10">
        <v>16.011201774882899</v>
      </c>
      <c r="S40" s="10">
        <v>11.760422597066899</v>
      </c>
      <c r="T40" s="6">
        <v>166.311612313034</v>
      </c>
      <c r="U40" s="6">
        <f t="shared" si="3"/>
        <v>1.322880435862908</v>
      </c>
      <c r="V40" s="6">
        <f t="shared" si="4"/>
        <v>0.48583589133032573</v>
      </c>
      <c r="W40" s="6">
        <f>Q40/($B$20*$D$21)</f>
        <v>7.9894413053516758E-2</v>
      </c>
      <c r="X40" s="10">
        <v>12.387279931666701</v>
      </c>
    </row>
    <row r="41" spans="1:24" x14ac:dyDescent="0.3">
      <c r="H41" s="22" t="s">
        <v>49</v>
      </c>
      <c r="P41" s="6">
        <v>8</v>
      </c>
      <c r="Q41" s="10">
        <v>0.36401070065701502</v>
      </c>
      <c r="R41" s="10">
        <v>17.844105486560501</v>
      </c>
      <c r="S41" s="10">
        <v>12.9365187602499</v>
      </c>
      <c r="T41" s="6">
        <v>173.058544527648</v>
      </c>
      <c r="U41" s="6">
        <f t="shared" si="3"/>
        <v>1.4743189409226909</v>
      </c>
      <c r="V41" s="6">
        <f t="shared" si="4"/>
        <v>0.5344217072747881</v>
      </c>
      <c r="W41" s="6">
        <f>Q41/($B$20*$D$21)</f>
        <v>0.107061970781475</v>
      </c>
      <c r="X41" s="10">
        <v>12.6380124466667</v>
      </c>
    </row>
    <row r="42" spans="1:24" x14ac:dyDescent="0.3">
      <c r="U42" s="6"/>
      <c r="V42" s="6"/>
      <c r="X42" s="15" t="s">
        <v>32</v>
      </c>
    </row>
    <row r="43" spans="1:24" x14ac:dyDescent="0.3">
      <c r="U43" s="6"/>
      <c r="V43" s="6"/>
      <c r="X43" s="10">
        <f>SUM(X2:X41)/60</f>
        <v>3.1702195654999992</v>
      </c>
    </row>
    <row r="44" spans="1:24" x14ac:dyDescent="0.3">
      <c r="U44" s="6"/>
      <c r="V44" s="6"/>
    </row>
    <row r="45" spans="1:24" x14ac:dyDescent="0.3">
      <c r="P45" s="6">
        <v>1</v>
      </c>
      <c r="Q45" s="10">
        <v>3.4422873802039E-4</v>
      </c>
      <c r="R45" s="10">
        <v>0.39295519360333198</v>
      </c>
      <c r="S45" s="10">
        <v>0.31352782328794199</v>
      </c>
      <c r="T45" s="6">
        <v>5.26726094883578</v>
      </c>
      <c r="U45" s="6">
        <f t="shared" ref="U45:U84" si="10">R45/(5825243377.8*PI()*0.00045^2*$B$15/$B$18)</f>
        <v>3.246681573921837E-2</v>
      </c>
      <c r="V45" s="6">
        <f t="shared" ref="V45:V84" si="11">S45/(200000000000*PI()*0.00045^2*$B$32)</f>
        <v>7.0593355911866657E-4</v>
      </c>
      <c r="W45" s="6">
        <f>Q45/($B$32*$D$14)</f>
        <v>5.3678809185440598E-4</v>
      </c>
      <c r="X45" s="10">
        <v>0.363468401666667</v>
      </c>
    </row>
    <row r="46" spans="1:24" x14ac:dyDescent="0.3">
      <c r="P46" s="6">
        <v>1</v>
      </c>
      <c r="Q46" s="10">
        <v>4.4107159848465497E-4</v>
      </c>
      <c r="R46" s="10">
        <v>0.36785553657205899</v>
      </c>
      <c r="S46" s="10">
        <v>0.29418220489104802</v>
      </c>
      <c r="T46" s="6">
        <v>4.6650651289864502</v>
      </c>
      <c r="U46" s="6">
        <f t="shared" si="10"/>
        <v>3.0393027294079451E-2</v>
      </c>
      <c r="V46" s="6">
        <f t="shared" si="11"/>
        <v>6.6237531569052698E-4</v>
      </c>
      <c r="W46" s="6">
        <f>Q46/($B$32*$D$14)</f>
        <v>6.8780422890701918E-4</v>
      </c>
      <c r="X46" s="10">
        <v>0.350921551666667</v>
      </c>
    </row>
    <row r="47" spans="1:24" x14ac:dyDescent="0.3">
      <c r="P47" s="6">
        <v>1</v>
      </c>
      <c r="Q47" s="10">
        <v>3.6744357529271002E-4</v>
      </c>
      <c r="R47" s="10">
        <v>0.381201286070812</v>
      </c>
      <c r="S47" s="10">
        <v>0.29726611991775098</v>
      </c>
      <c r="T47" s="6">
        <v>5.1614818337215</v>
      </c>
      <c r="U47" s="6">
        <f t="shared" si="10"/>
        <v>3.149568224541003E-2</v>
      </c>
      <c r="V47" s="6">
        <f t="shared" si="11"/>
        <v>6.6931900281848116E-4</v>
      </c>
      <c r="W47" s="6">
        <f>Q47/($B$32*$D$14)</f>
        <v>5.7298916057918242E-4</v>
      </c>
      <c r="X47" s="10">
        <v>0.35435919500000002</v>
      </c>
    </row>
    <row r="48" spans="1:24" x14ac:dyDescent="0.3">
      <c r="P48" s="6">
        <v>1</v>
      </c>
      <c r="Q48" s="10">
        <v>2.75154059270266E-4</v>
      </c>
      <c r="R48" s="10">
        <v>0.34504480952532901</v>
      </c>
      <c r="S48" s="10">
        <v>0.26025368609281302</v>
      </c>
      <c r="T48" s="6">
        <v>4.7260337883416002</v>
      </c>
      <c r="U48" s="6">
        <f t="shared" si="10"/>
        <v>2.8508355239963847E-2</v>
      </c>
      <c r="V48" s="6">
        <f t="shared" si="11"/>
        <v>5.859824782712275E-4</v>
      </c>
      <c r="W48" s="6">
        <f>Q48/($B$32*$D$14)</f>
        <v>4.2907347971897513E-4</v>
      </c>
      <c r="X48" s="10">
        <v>0.34058286999999998</v>
      </c>
    </row>
    <row r="49" spans="1:26" x14ac:dyDescent="0.3">
      <c r="P49" s="6">
        <v>1</v>
      </c>
      <c r="Q49" s="10">
        <v>3.8170006854818298E-4</v>
      </c>
      <c r="R49" s="10">
        <v>0.44139274444806398</v>
      </c>
      <c r="S49" s="10">
        <v>0.34293260485503002</v>
      </c>
      <c r="T49" s="6">
        <v>5.0224754547266803</v>
      </c>
      <c r="U49" s="6">
        <f t="shared" si="10"/>
        <v>3.6468831907307007E-2</v>
      </c>
      <c r="V49" s="6">
        <f t="shared" si="11"/>
        <v>7.7214083185470561E-4</v>
      </c>
      <c r="W49" s="6">
        <f>Q49/($B$32*$D$14)</f>
        <v>5.952206449553859E-4</v>
      </c>
      <c r="X49" s="10">
        <v>0.34665713166666701</v>
      </c>
    </row>
    <row r="50" spans="1:26" x14ac:dyDescent="0.3">
      <c r="P50" s="6">
        <v>2</v>
      </c>
      <c r="Q50" s="10">
        <v>5.3305498194765799E-4</v>
      </c>
      <c r="R50" s="10">
        <v>0.381808339509701</v>
      </c>
      <c r="S50" s="10">
        <v>0.29923030982922799</v>
      </c>
      <c r="T50" s="6">
        <v>4.7274957835875897</v>
      </c>
      <c r="U50" s="6">
        <f t="shared" si="10"/>
        <v>3.1545838325454524E-2</v>
      </c>
      <c r="V50" s="6">
        <f t="shared" si="11"/>
        <v>6.7374153719024091E-4</v>
      </c>
      <c r="W50" s="6">
        <f>Q50/($B$32*$D$15)</f>
        <v>4.9874551716751637E-4</v>
      </c>
      <c r="X50" s="10">
        <v>0.59931724500000005</v>
      </c>
    </row>
    <row r="51" spans="1:26" x14ac:dyDescent="0.3">
      <c r="A51" s="6"/>
      <c r="B51" s="6"/>
      <c r="P51" s="6">
        <v>2</v>
      </c>
      <c r="Q51" s="10">
        <v>4.6034896009186697E-4</v>
      </c>
      <c r="R51" s="10">
        <v>0.44972711259245501</v>
      </c>
      <c r="S51" s="10">
        <v>0.34675608832538002</v>
      </c>
      <c r="T51" s="6">
        <v>4.9318178515565103</v>
      </c>
      <c r="U51" s="6">
        <f t="shared" si="10"/>
        <v>3.7157435593558073E-2</v>
      </c>
      <c r="V51" s="6">
        <f t="shared" si="11"/>
        <v>7.8074971787365621E-4</v>
      </c>
      <c r="W51" s="6">
        <f>Q51/($B$32*$D$15)</f>
        <v>4.307191339618532E-4</v>
      </c>
      <c r="X51" s="10">
        <v>0.62557455833333298</v>
      </c>
    </row>
    <row r="52" spans="1:26" x14ac:dyDescent="0.3">
      <c r="A52" s="6"/>
      <c r="P52" s="6">
        <v>2</v>
      </c>
      <c r="Q52" s="10">
        <v>4.9390381366190496E-4</v>
      </c>
      <c r="R52" s="10">
        <v>0.467541485870614</v>
      </c>
      <c r="S52" s="10">
        <v>0.35952287956693102</v>
      </c>
      <c r="T52" s="6">
        <v>4.9963535039768896</v>
      </c>
      <c r="U52" s="6">
        <f t="shared" si="10"/>
        <v>3.8629297994530645E-2</v>
      </c>
      <c r="V52" s="6">
        <f t="shared" si="11"/>
        <v>8.0949519342718012E-4</v>
      </c>
      <c r="W52" s="6">
        <f>Q52/($B$32*$D$15)</f>
        <v>4.6211426835516081E-4</v>
      </c>
      <c r="X52" s="10">
        <v>0.62011817333333297</v>
      </c>
    </row>
    <row r="53" spans="1:26" x14ac:dyDescent="0.3">
      <c r="A53" s="12"/>
      <c r="B53" s="12"/>
      <c r="G53" s="22"/>
      <c r="H53" s="22"/>
      <c r="P53" s="6">
        <v>2</v>
      </c>
      <c r="Q53" s="10">
        <v>4.4951516940244801E-4</v>
      </c>
      <c r="R53" s="10">
        <v>0.35865393438104298</v>
      </c>
      <c r="S53" s="10">
        <v>0.26965870411686699</v>
      </c>
      <c r="T53" s="6">
        <v>4.8589826239369804</v>
      </c>
      <c r="U53" s="6">
        <f t="shared" si="10"/>
        <v>2.9632770838115989E-2</v>
      </c>
      <c r="V53" s="6">
        <f t="shared" si="11"/>
        <v>6.0715864623510905E-4</v>
      </c>
      <c r="W53" s="6">
        <f>Q53/($B$32*$D$15)</f>
        <v>4.2058264762692303E-4</v>
      </c>
      <c r="X53" s="10">
        <v>0.59723077333333296</v>
      </c>
    </row>
    <row r="54" spans="1:26" x14ac:dyDescent="0.3">
      <c r="B54" s="12"/>
      <c r="C54" s="12"/>
      <c r="D54" s="12"/>
      <c r="E54" s="12"/>
      <c r="F54" s="14"/>
      <c r="G54" s="14"/>
      <c r="H54" s="14"/>
      <c r="P54" s="6">
        <v>2</v>
      </c>
      <c r="Q54" s="10">
        <v>4.4470349336880503E-4</v>
      </c>
      <c r="R54" s="10">
        <v>0.42940798525275298</v>
      </c>
      <c r="S54" s="10">
        <v>0.33290425282244401</v>
      </c>
      <c r="T54" s="6">
        <v>4.7667251869445604</v>
      </c>
      <c r="U54" s="6">
        <f t="shared" si="10"/>
        <v>3.5478624945273957E-2</v>
      </c>
      <c r="V54" s="6">
        <f t="shared" si="11"/>
        <v>7.4956117634529095E-4</v>
      </c>
      <c r="W54" s="6">
        <f>Q54/($B$32*$D$15)</f>
        <v>4.1608066953251801E-4</v>
      </c>
      <c r="X54" s="10">
        <v>0.60309427000000004</v>
      </c>
    </row>
    <row r="55" spans="1:26" x14ac:dyDescent="0.3">
      <c r="B55" s="6"/>
      <c r="C55" s="6"/>
      <c r="D55" s="6"/>
      <c r="E55" s="6"/>
      <c r="P55" s="6">
        <v>3</v>
      </c>
      <c r="Q55" s="10">
        <v>5.9951693652140797E-4</v>
      </c>
      <c r="R55" s="10">
        <v>0.43316776835633403</v>
      </c>
      <c r="S55" s="10">
        <v>0.33899884922738399</v>
      </c>
      <c r="T55" s="6">
        <v>4.6382490608025799</v>
      </c>
      <c r="U55" s="6">
        <f t="shared" si="10"/>
        <v>3.5789266431200249E-2</v>
      </c>
      <c r="V55" s="6">
        <f t="shared" si="11"/>
        <v>7.632836590468656E-4</v>
      </c>
      <c r="W55" s="6">
        <f>Q55/($B$32*$D$16)</f>
        <v>4.0066408944956083E-4</v>
      </c>
      <c r="X55" s="10">
        <v>0.73861668666666702</v>
      </c>
    </row>
    <row r="56" spans="1:26" x14ac:dyDescent="0.3">
      <c r="B56" s="6"/>
      <c r="C56" s="6"/>
      <c r="D56" s="6"/>
      <c r="E56" s="6"/>
      <c r="P56" s="6">
        <v>3</v>
      </c>
      <c r="Q56" s="10">
        <v>7.1264497146750205E-4</v>
      </c>
      <c r="R56" s="10">
        <v>0.41058004674138998</v>
      </c>
      <c r="S56" s="10">
        <v>0.31347670544340001</v>
      </c>
      <c r="T56" s="6">
        <v>4.8579751391587198</v>
      </c>
      <c r="U56" s="6">
        <f t="shared" si="10"/>
        <v>3.3923019572578934E-2</v>
      </c>
      <c r="V56" s="6">
        <f t="shared" si="11"/>
        <v>7.0581846310723906E-4</v>
      </c>
      <c r="W56" s="6">
        <f>Q56/($B$32*$D$16)</f>
        <v>4.7626886114440742E-4</v>
      </c>
      <c r="X56" s="10">
        <v>0.72224904166666704</v>
      </c>
      <c r="Z56" s="14"/>
    </row>
    <row r="57" spans="1:26" x14ac:dyDescent="0.3">
      <c r="B57" s="6"/>
      <c r="C57" s="6"/>
      <c r="D57" s="6"/>
      <c r="E57" s="6"/>
      <c r="P57" s="6">
        <v>3</v>
      </c>
      <c r="Q57" s="10">
        <v>6.1293579951777197E-4</v>
      </c>
      <c r="R57" s="10">
        <v>0.43609337019697603</v>
      </c>
      <c r="S57" s="10">
        <v>0.33004482775881</v>
      </c>
      <c r="T57" s="6">
        <v>4.9225166203107404</v>
      </c>
      <c r="U57" s="6">
        <f t="shared" si="10"/>
        <v>3.6030986040541571E-2</v>
      </c>
      <c r="V57" s="6">
        <f t="shared" si="11"/>
        <v>7.431229467456473E-4</v>
      </c>
      <c r="W57" s="6">
        <f>Q57/($B$32*$D$16)</f>
        <v>4.0963207049623905E-4</v>
      </c>
      <c r="X57" s="10">
        <v>0.73820399666666703</v>
      </c>
    </row>
    <row r="58" spans="1:26" x14ac:dyDescent="0.3">
      <c r="B58" s="6"/>
      <c r="C58" s="6"/>
      <c r="D58" s="6"/>
      <c r="E58" s="6"/>
      <c r="P58" s="6">
        <v>3</v>
      </c>
      <c r="Q58" s="10">
        <v>5.0258220670661602E-4</v>
      </c>
      <c r="R58" s="10">
        <v>0.43498235159859999</v>
      </c>
      <c r="S58" s="10">
        <v>0.336625633504963</v>
      </c>
      <c r="T58" s="6">
        <v>4.8672598860863303</v>
      </c>
      <c r="U58" s="6">
        <f t="shared" si="10"/>
        <v>3.5939191259091931E-2</v>
      </c>
      <c r="V58" s="6">
        <f t="shared" si="11"/>
        <v>7.5794016957943667E-4</v>
      </c>
      <c r="W58" s="6">
        <f>Q58/($B$32*$D$16)</f>
        <v>3.3588149050809465E-4</v>
      </c>
      <c r="X58" s="10">
        <v>0.72776744500000001</v>
      </c>
    </row>
    <row r="59" spans="1:26" x14ac:dyDescent="0.3">
      <c r="B59" s="6"/>
      <c r="C59" s="6"/>
      <c r="D59" s="6"/>
      <c r="E59" s="6"/>
      <c r="P59" s="6">
        <v>3</v>
      </c>
      <c r="Q59" s="10">
        <v>6.2666245139293599E-4</v>
      </c>
      <c r="R59" s="10">
        <v>0.46215049868389402</v>
      </c>
      <c r="S59" s="10">
        <v>0.36707876297384401</v>
      </c>
      <c r="T59" s="6">
        <v>4.84814791245413</v>
      </c>
      <c r="U59" s="6">
        <f t="shared" si="10"/>
        <v>3.818388286707363E-2</v>
      </c>
      <c r="V59" s="6">
        <f t="shared" si="11"/>
        <v>8.2650788343277841E-4</v>
      </c>
      <c r="W59" s="6">
        <f>Q59/($B$32*$D$16)</f>
        <v>4.1880575040370788E-4</v>
      </c>
      <c r="X59" s="10">
        <v>0.71981959333333301</v>
      </c>
      <c r="Z59" s="14"/>
    </row>
    <row r="60" spans="1:26" x14ac:dyDescent="0.3">
      <c r="B60" s="10"/>
      <c r="E60" s="6"/>
      <c r="P60" s="6">
        <v>4</v>
      </c>
      <c r="Q60" s="10">
        <v>6.7811125907375205E-4</v>
      </c>
      <c r="R60" s="10">
        <v>0.46834346250765901</v>
      </c>
      <c r="S60" s="10">
        <v>0.35694627901624498</v>
      </c>
      <c r="T60" s="6">
        <v>4.7914321563139799</v>
      </c>
      <c r="U60" s="6">
        <f t="shared" si="10"/>
        <v>3.8695559054636099E-2</v>
      </c>
      <c r="V60" s="6">
        <f t="shared" si="11"/>
        <v>8.0369376637009105E-4</v>
      </c>
      <c r="W60" s="6">
        <f>Q60/($B$32*$D$17)</f>
        <v>3.5248078638689648E-4</v>
      </c>
      <c r="X60" s="20">
        <v>0.90243034499999997</v>
      </c>
      <c r="Z60" s="14"/>
    </row>
    <row r="61" spans="1:26" x14ac:dyDescent="0.3">
      <c r="B61" s="6"/>
      <c r="C61" s="6"/>
      <c r="D61" s="6"/>
      <c r="E61" s="6"/>
      <c r="P61" s="6">
        <v>4</v>
      </c>
      <c r="Q61" s="10">
        <v>6.5690793040873603E-4</v>
      </c>
      <c r="R61" s="10">
        <v>0.43045851637587901</v>
      </c>
      <c r="S61" s="10">
        <v>0.33641971849978403</v>
      </c>
      <c r="T61" s="6">
        <v>4.9113480156059204</v>
      </c>
      <c r="U61" s="6">
        <f t="shared" si="10"/>
        <v>3.5565422119501602E-2</v>
      </c>
      <c r="V61" s="6">
        <f t="shared" si="11"/>
        <v>7.5747653508933773E-4</v>
      </c>
      <c r="W61" s="6">
        <f>Q61/($B$32*$D$17)</f>
        <v>3.4145934136315032E-4</v>
      </c>
      <c r="X61" s="10">
        <v>0.94958968666666699</v>
      </c>
    </row>
    <row r="62" spans="1:26" x14ac:dyDescent="0.3">
      <c r="B62" s="6"/>
      <c r="C62" s="6"/>
      <c r="D62" s="6"/>
      <c r="E62" s="6"/>
      <c r="P62" s="6">
        <v>4</v>
      </c>
      <c r="Q62" s="10">
        <v>7.0860049112975697E-4</v>
      </c>
      <c r="R62" s="10">
        <v>0.46021199954255898</v>
      </c>
      <c r="S62" s="10">
        <v>0.35752743720360902</v>
      </c>
      <c r="T62" s="6">
        <v>4.8747933570692599</v>
      </c>
      <c r="U62" s="6">
        <f t="shared" si="10"/>
        <v>3.8023719837148418E-2</v>
      </c>
      <c r="V62" s="6">
        <f t="shared" si="11"/>
        <v>8.0500229160180572E-4</v>
      </c>
      <c r="W62" s="6">
        <f>Q62/($B$32*$D$17)</f>
        <v>3.6832902419098865E-4</v>
      </c>
      <c r="X62" s="6">
        <v>0.91195186833333297</v>
      </c>
    </row>
    <row r="63" spans="1:26" x14ac:dyDescent="0.3">
      <c r="A63" s="6"/>
      <c r="B63" s="6"/>
      <c r="P63" s="6">
        <v>4</v>
      </c>
      <c r="Q63" s="10">
        <v>5.6830938028116303E-4</v>
      </c>
      <c r="R63" s="10">
        <v>0.42761717151218998</v>
      </c>
      <c r="S63" s="10">
        <v>0.33381586347589898</v>
      </c>
      <c r="T63" s="6">
        <v>5.0657320677624602</v>
      </c>
      <c r="U63" s="6">
        <f t="shared" si="10"/>
        <v>3.5330664005491057E-2</v>
      </c>
      <c r="V63" s="6">
        <f t="shared" si="11"/>
        <v>7.5161374235482479E-4</v>
      </c>
      <c r="W63" s="6">
        <f>Q63/($B$32*$D$17)</f>
        <v>2.954060039442102E-4</v>
      </c>
      <c r="X63" s="6">
        <v>0.92684666333333299</v>
      </c>
    </row>
    <row r="64" spans="1:26" x14ac:dyDescent="0.3">
      <c r="A64" s="12"/>
      <c r="P64" s="6">
        <v>4</v>
      </c>
      <c r="Q64" s="10">
        <v>7.8151432607218203E-4</v>
      </c>
      <c r="R64" s="10">
        <v>0.41661380620148197</v>
      </c>
      <c r="S64" s="10">
        <v>0.31820477870610497</v>
      </c>
      <c r="T64" s="6">
        <v>4.9605051535942701</v>
      </c>
      <c r="U64" s="6">
        <f t="shared" si="10"/>
        <v>3.4421541948143515E-2</v>
      </c>
      <c r="V64" s="6">
        <f t="shared" si="11"/>
        <v>7.1646410709223817E-4</v>
      </c>
      <c r="W64" s="6">
        <f>Q64/($B$32*$D$17)</f>
        <v>4.0622948010451471E-4</v>
      </c>
      <c r="X64" s="6">
        <v>0.91529709666666703</v>
      </c>
    </row>
    <row r="65" spans="1:25" x14ac:dyDescent="0.3">
      <c r="A65" s="6"/>
      <c r="P65" s="6">
        <v>5</v>
      </c>
      <c r="Q65" s="10">
        <v>7.2122996618063202E-4</v>
      </c>
      <c r="R65" s="10">
        <v>0.45854902224239502</v>
      </c>
      <c r="S65" s="10">
        <v>0.36239526675952799</v>
      </c>
      <c r="T65" s="6">
        <v>4.7392273414317803</v>
      </c>
      <c r="U65" s="6">
        <f t="shared" si="10"/>
        <v>3.7886321023080503E-2</v>
      </c>
      <c r="V65" s="6">
        <f t="shared" si="11"/>
        <v>8.1596260832124715E-4</v>
      </c>
      <c r="W65" s="6">
        <f>Q65/($B$32*$D$18)</f>
        <v>3.0673128959176948E-4</v>
      </c>
      <c r="X65" s="6">
        <v>1.1529800883333301</v>
      </c>
    </row>
    <row r="66" spans="1:25" x14ac:dyDescent="0.3">
      <c r="A66" s="6"/>
      <c r="P66" s="6">
        <v>5</v>
      </c>
      <c r="Q66" s="28">
        <v>6.8914193604385104E-4</v>
      </c>
      <c r="R66" s="28">
        <v>0.44615498555296901</v>
      </c>
      <c r="S66" s="28">
        <v>0.34540276682288801</v>
      </c>
      <c r="T66" s="29">
        <v>4.8485023161336001</v>
      </c>
      <c r="U66" s="6">
        <f t="shared" si="10"/>
        <v>3.686229866121575E-2</v>
      </c>
      <c r="V66" s="6">
        <f t="shared" si="11"/>
        <v>7.7770260372963141E-4</v>
      </c>
      <c r="W66" s="6">
        <f>Q66/($B$32*$D$18)</f>
        <v>2.9308459807056702E-4</v>
      </c>
      <c r="X66" s="6">
        <v>1.1834194333333301</v>
      </c>
      <c r="Y66" s="27" t="s">
        <v>71</v>
      </c>
    </row>
    <row r="67" spans="1:25" x14ac:dyDescent="0.3">
      <c r="A67" s="6"/>
      <c r="P67" s="6">
        <v>5</v>
      </c>
      <c r="Q67" s="10">
        <v>6.5775801804774997E-4</v>
      </c>
      <c r="R67" s="10">
        <v>0.43236693194807901</v>
      </c>
      <c r="S67" s="10">
        <v>0.343399199721099</v>
      </c>
      <c r="T67" s="6">
        <v>4.9110829351425602</v>
      </c>
      <c r="U67" s="6">
        <f t="shared" si="10"/>
        <v>3.572309957928603E-2</v>
      </c>
      <c r="V67" s="6">
        <f t="shared" si="11"/>
        <v>7.731914083905178E-4</v>
      </c>
      <c r="W67" s="6">
        <f>Q67/($B$32*$D$18)</f>
        <v>2.7973735781325429E-4</v>
      </c>
      <c r="X67" s="6">
        <v>1.2475974383333299</v>
      </c>
    </row>
    <row r="68" spans="1:25" x14ac:dyDescent="0.3">
      <c r="A68" s="6"/>
      <c r="P68" s="6">
        <v>5</v>
      </c>
      <c r="Q68" s="10">
        <v>8.3946069230848104E-4</v>
      </c>
      <c r="R68" s="10">
        <v>0.45843819680019998</v>
      </c>
      <c r="S68" s="10">
        <v>0.35933696203438897</v>
      </c>
      <c r="T68" s="6">
        <v>5.01325201007473</v>
      </c>
      <c r="U68" s="6">
        <f t="shared" si="10"/>
        <v>3.7877164383164463E-2</v>
      </c>
      <c r="V68" s="6">
        <f t="shared" si="11"/>
        <v>8.0907658488369079E-4</v>
      </c>
      <c r="W68" s="6">
        <f>Q68/($B$32*$D$18)</f>
        <v>3.5701353630236151E-4</v>
      </c>
      <c r="X68" s="6">
        <v>1.2129510666666701</v>
      </c>
    </row>
    <row r="69" spans="1:25" x14ac:dyDescent="0.3">
      <c r="A69" s="6"/>
      <c r="P69" s="6">
        <v>5</v>
      </c>
      <c r="Q69" s="10">
        <v>5.96068177766506E-4</v>
      </c>
      <c r="R69" s="10">
        <v>0.487320930561711</v>
      </c>
      <c r="S69" s="10">
        <v>0.385942933653663</v>
      </c>
      <c r="T69" s="6">
        <v>4.8914272763189004</v>
      </c>
      <c r="U69" s="6">
        <f t="shared" si="10"/>
        <v>4.0263518884503538E-2</v>
      </c>
      <c r="V69" s="6">
        <f t="shared" si="11"/>
        <v>8.6898210791523059E-4</v>
      </c>
      <c r="W69" s="6">
        <f>Q69/($B$32*$D$18)</f>
        <v>2.5350133719367126E-4</v>
      </c>
      <c r="X69" s="6">
        <v>1.14290644</v>
      </c>
    </row>
    <row r="70" spans="1:25" x14ac:dyDescent="0.3">
      <c r="A70" s="6"/>
      <c r="P70" s="6">
        <v>6</v>
      </c>
      <c r="Q70" s="10">
        <v>7.59510522641629E-4</v>
      </c>
      <c r="R70" s="10">
        <v>0.494926287831636</v>
      </c>
      <c r="S70" s="10">
        <v>0.38809318218161698</v>
      </c>
      <c r="T70" s="6">
        <v>4.9335228235820701</v>
      </c>
      <c r="U70" s="6">
        <f t="shared" si="10"/>
        <v>4.0891890101204739E-2</v>
      </c>
      <c r="V70" s="6">
        <f t="shared" si="11"/>
        <v>8.7382356849250819E-4</v>
      </c>
      <c r="W70" s="6">
        <f>Q70/($B$32*$D$19)</f>
        <v>2.7331750384938238E-4</v>
      </c>
      <c r="X70" s="6">
        <v>1.71072192166667</v>
      </c>
    </row>
    <row r="71" spans="1:25" x14ac:dyDescent="0.3">
      <c r="A71" s="6"/>
      <c r="P71" s="6">
        <v>6</v>
      </c>
      <c r="Q71" s="10">
        <v>7.8483906504308296E-4</v>
      </c>
      <c r="R71" s="10">
        <v>0.47510666994440498</v>
      </c>
      <c r="S71" s="10">
        <v>0.36927564614930303</v>
      </c>
      <c r="T71" s="6">
        <v>4.9417101977145803</v>
      </c>
      <c r="U71" s="6">
        <f t="shared" si="10"/>
        <v>3.9254350014087308E-2</v>
      </c>
      <c r="V71" s="6">
        <f t="shared" si="11"/>
        <v>8.314543457363661E-4</v>
      </c>
      <c r="W71" s="6">
        <f>Q71/($B$32*$D$19)</f>
        <v>2.8243223469107093E-4</v>
      </c>
      <c r="X71" s="6">
        <v>1.9067649383333301</v>
      </c>
    </row>
    <row r="72" spans="1:25" x14ac:dyDescent="0.3">
      <c r="A72" s="6"/>
      <c r="P72" s="6">
        <v>6</v>
      </c>
      <c r="Q72" s="10">
        <v>6.2160337667826603E-4</v>
      </c>
      <c r="R72" s="10">
        <v>0.47841110250247998</v>
      </c>
      <c r="S72" s="10">
        <v>0.37819779504960099</v>
      </c>
      <c r="T72" s="6">
        <v>4.9548773636175003</v>
      </c>
      <c r="U72" s="6">
        <f t="shared" si="10"/>
        <v>3.9527369444119304E-2</v>
      </c>
      <c r="V72" s="6">
        <f t="shared" si="11"/>
        <v>8.5154329434106331E-4</v>
      </c>
      <c r="W72" s="6">
        <f>Q72/($B$32*$D$19)</f>
        <v>2.2369022973789025E-4</v>
      </c>
      <c r="X72" s="6">
        <v>1.6030575983333299</v>
      </c>
    </row>
    <row r="73" spans="1:25" x14ac:dyDescent="0.3">
      <c r="A73" s="6"/>
      <c r="B73" s="6"/>
      <c r="P73" s="6">
        <v>6</v>
      </c>
      <c r="Q73" s="10">
        <v>7.3748600567785205E-4</v>
      </c>
      <c r="R73" s="10">
        <v>0.45609982747056599</v>
      </c>
      <c r="S73" s="10">
        <v>0.34782711202386102</v>
      </c>
      <c r="T73" s="6">
        <v>4.8812322416030201</v>
      </c>
      <c r="U73" s="6">
        <f t="shared" si="10"/>
        <v>3.768396320554597E-2</v>
      </c>
      <c r="V73" s="6">
        <f t="shared" si="11"/>
        <v>7.8316121540341374E-4</v>
      </c>
      <c r="W73" s="6">
        <f>Q73/($B$32*$D$19)</f>
        <v>2.653917598069022E-4</v>
      </c>
      <c r="X73" s="6">
        <v>1.6478526600000001</v>
      </c>
    </row>
    <row r="74" spans="1:25" x14ac:dyDescent="0.3">
      <c r="A74" s="6"/>
      <c r="B74" s="6"/>
      <c r="P74" s="6">
        <v>6</v>
      </c>
      <c r="Q74" s="10">
        <v>9.9425587159009403E-4</v>
      </c>
      <c r="R74" s="10">
        <v>0.458800549345104</v>
      </c>
      <c r="S74" s="10">
        <v>0.36249478554793002</v>
      </c>
      <c r="T74" s="6">
        <v>4.9107840045098499</v>
      </c>
      <c r="U74" s="6">
        <f t="shared" si="10"/>
        <v>3.7907102741276386E-2</v>
      </c>
      <c r="V74" s="6">
        <f t="shared" si="11"/>
        <v>8.1618668301981486E-4</v>
      </c>
      <c r="W74" s="6">
        <f>Q74/($B$32*$D$19)</f>
        <v>3.5779297970150602E-4</v>
      </c>
      <c r="X74" s="6">
        <v>1.7837389699999999</v>
      </c>
    </row>
    <row r="75" spans="1:25" x14ac:dyDescent="0.3">
      <c r="A75" s="6"/>
      <c r="B75" s="6"/>
      <c r="P75" s="6">
        <v>7</v>
      </c>
      <c r="Q75" s="23">
        <v>6.3172883856201705E-4</v>
      </c>
      <c r="R75" s="10">
        <v>0.48681985189108001</v>
      </c>
      <c r="S75" s="10">
        <v>0.38340682750997002</v>
      </c>
      <c r="T75" s="6">
        <v>4.8948320062136004</v>
      </c>
      <c r="U75" s="6">
        <f t="shared" si="10"/>
        <v>4.022211867110758E-2</v>
      </c>
      <c r="V75" s="6">
        <f t="shared" si="11"/>
        <v>8.6327185733030656E-4</v>
      </c>
      <c r="W75" s="6">
        <f>Q75/($B$32*$D$20)</f>
        <v>1.970227818695479E-4</v>
      </c>
      <c r="X75" s="6">
        <v>2.3510293233333299</v>
      </c>
    </row>
    <row r="76" spans="1:25" x14ac:dyDescent="0.3">
      <c r="P76" s="6">
        <v>7</v>
      </c>
      <c r="Q76" s="10">
        <v>6.7686891873540097E-4</v>
      </c>
      <c r="R76" s="10">
        <v>0.487331246823617</v>
      </c>
      <c r="S76" s="10">
        <v>0.378398842461108</v>
      </c>
      <c r="T76" s="6">
        <v>4.9217277867859996</v>
      </c>
      <c r="U76" s="6">
        <f t="shared" si="10"/>
        <v>4.0264371236577952E-2</v>
      </c>
      <c r="V76" s="6">
        <f t="shared" si="11"/>
        <v>8.5199596904555477E-4</v>
      </c>
      <c r="W76" s="6">
        <f>Q76/($B$32*$D$20)</f>
        <v>2.1110101231699554E-4</v>
      </c>
      <c r="X76" s="6">
        <v>2.3907830183333298</v>
      </c>
    </row>
    <row r="77" spans="1:25" x14ac:dyDescent="0.3">
      <c r="P77" s="6">
        <v>7</v>
      </c>
      <c r="Q77" s="10">
        <v>8.5891952389321297E-4</v>
      </c>
      <c r="R77" s="10">
        <v>0.457615469103894</v>
      </c>
      <c r="S77" s="10">
        <v>0.358577571866385</v>
      </c>
      <c r="T77" s="6">
        <v>4.9098142883422096</v>
      </c>
      <c r="U77" s="6">
        <f t="shared" si="10"/>
        <v>3.7809188825252686E-2</v>
      </c>
      <c r="V77" s="6">
        <f t="shared" si="11"/>
        <v>8.0736675575772377E-4</v>
      </c>
      <c r="W77" s="6">
        <f>Q77/($B$32*$D$20)</f>
        <v>2.6787872211867588E-4</v>
      </c>
      <c r="X77" s="6">
        <v>2.3503377266666701</v>
      </c>
    </row>
    <row r="78" spans="1:25" x14ac:dyDescent="0.3">
      <c r="P78" s="6">
        <v>7</v>
      </c>
      <c r="Q78" s="10">
        <v>6.6673935304981395E-4</v>
      </c>
      <c r="R78" s="10">
        <v>0.44999890973366202</v>
      </c>
      <c r="S78" s="10">
        <v>0.35074457114490898</v>
      </c>
      <c r="T78" s="6">
        <v>5.1026654366712201</v>
      </c>
      <c r="U78" s="6">
        <f t="shared" si="10"/>
        <v>3.7179892066575002E-2</v>
      </c>
      <c r="V78" s="6">
        <f t="shared" si="11"/>
        <v>7.897301134339185E-4</v>
      </c>
      <c r="W78" s="6">
        <f>Q78/($B$32*$D$20)</f>
        <v>2.079418163318201E-4</v>
      </c>
      <c r="X78" s="6">
        <v>2.35309452833333</v>
      </c>
    </row>
    <row r="79" spans="1:25" x14ac:dyDescent="0.3">
      <c r="P79" s="6">
        <v>7</v>
      </c>
      <c r="Q79" s="10">
        <v>8.8221942317798403E-4</v>
      </c>
      <c r="R79" s="10">
        <v>0.47112623138988502</v>
      </c>
      <c r="S79" s="10">
        <v>0.36929302690157301</v>
      </c>
      <c r="T79" s="6">
        <v>4.9929805201655002</v>
      </c>
      <c r="U79" s="6">
        <f t="shared" si="10"/>
        <v>3.8925477493213255E-2</v>
      </c>
      <c r="V79" s="6">
        <f t="shared" si="11"/>
        <v>8.3149347992286815E-4</v>
      </c>
      <c r="W79" s="6">
        <f>Q79/($B$32*$D$20)</f>
        <v>2.7514546489523702E-4</v>
      </c>
      <c r="X79" s="6">
        <v>2.4268763816666699</v>
      </c>
    </row>
    <row r="80" spans="1:25" x14ac:dyDescent="0.3">
      <c r="P80" s="6">
        <v>8</v>
      </c>
      <c r="Q80" s="23">
        <v>9.9251193168035197E-4</v>
      </c>
      <c r="R80" s="10">
        <v>0.50473098388973103</v>
      </c>
      <c r="S80" s="10">
        <v>0.39764042687218998</v>
      </c>
      <c r="T80" s="6">
        <v>5.0321504388738898</v>
      </c>
      <c r="U80" s="6">
        <f t="shared" si="10"/>
        <v>4.1701975488747794E-2</v>
      </c>
      <c r="V80" s="6">
        <f t="shared" si="11"/>
        <v>8.9531997143854993E-4</v>
      </c>
      <c r="W80" s="6">
        <f>Q80/($B$32*$D$21)</f>
        <v>2.7312648646497421E-4</v>
      </c>
      <c r="X80" s="6">
        <v>3.5162878950000001</v>
      </c>
    </row>
    <row r="81" spans="16:24" x14ac:dyDescent="0.3">
      <c r="P81" s="6">
        <v>8</v>
      </c>
      <c r="U81" s="6">
        <f t="shared" si="10"/>
        <v>0</v>
      </c>
      <c r="V81" s="6">
        <f t="shared" si="11"/>
        <v>0</v>
      </c>
      <c r="W81" s="6">
        <f>Q81/($B$32*$D$21)</f>
        <v>0</v>
      </c>
      <c r="X81" s="6"/>
    </row>
    <row r="82" spans="16:24" x14ac:dyDescent="0.3">
      <c r="P82" s="6">
        <v>8</v>
      </c>
      <c r="U82" s="6">
        <f t="shared" si="10"/>
        <v>0</v>
      </c>
      <c r="V82" s="6">
        <f t="shared" si="11"/>
        <v>0</v>
      </c>
      <c r="W82" s="6">
        <f>Q82/($B$32*$D$21)</f>
        <v>0</v>
      </c>
      <c r="X82" s="6"/>
    </row>
    <row r="83" spans="16:24" x14ac:dyDescent="0.3">
      <c r="P83" s="6">
        <v>8</v>
      </c>
      <c r="U83" s="6">
        <f t="shared" si="10"/>
        <v>0</v>
      </c>
      <c r="V83" s="6">
        <f t="shared" si="11"/>
        <v>0</v>
      </c>
      <c r="W83" s="6">
        <f>Q83/($B$32*$D$21)</f>
        <v>0</v>
      </c>
      <c r="X83" s="6"/>
    </row>
    <row r="84" spans="16:24" x14ac:dyDescent="0.3">
      <c r="P84" s="6">
        <v>8</v>
      </c>
      <c r="U84" s="6">
        <f t="shared" si="10"/>
        <v>0</v>
      </c>
      <c r="V84" s="6">
        <f t="shared" si="11"/>
        <v>0</v>
      </c>
      <c r="W84" s="6">
        <f>Q84/($B$32*$D$21)</f>
        <v>0</v>
      </c>
      <c r="X84" s="6"/>
    </row>
    <row r="85" spans="16:24" x14ac:dyDescent="0.3">
      <c r="X85" s="15" t="s">
        <v>32</v>
      </c>
    </row>
    <row r="86" spans="16:24" x14ac:dyDescent="0.3">
      <c r="X86" s="10">
        <f>SUM(X45:X84)/60</f>
        <v>0.71724160036111084</v>
      </c>
    </row>
    <row r="95" spans="16:24" x14ac:dyDescent="0.3">
      <c r="Q95" s="6"/>
      <c r="R95" s="6"/>
      <c r="S95" s="6"/>
      <c r="U95" s="6"/>
      <c r="V95" s="6"/>
      <c r="W95" s="6"/>
    </row>
    <row r="96" spans="16:24" x14ac:dyDescent="0.3">
      <c r="Q96" s="6"/>
      <c r="U96" s="6"/>
      <c r="V96" s="6"/>
      <c r="W96" s="6"/>
    </row>
    <row r="97" spans="21:23" x14ac:dyDescent="0.3">
      <c r="U97" s="6"/>
      <c r="V97" s="6"/>
      <c r="W97" s="6"/>
    </row>
    <row r="98" spans="21:23" x14ac:dyDescent="0.3">
      <c r="U98" s="6"/>
      <c r="V98" s="6"/>
      <c r="W98" s="6"/>
    </row>
    <row r="99" spans="21:23" x14ac:dyDescent="0.3">
      <c r="U99" s="6"/>
      <c r="V99" s="6"/>
      <c r="W99" s="6"/>
    </row>
    <row r="100" spans="21:23" x14ac:dyDescent="0.3">
      <c r="U100" s="6"/>
      <c r="V100" s="6"/>
      <c r="W100" s="6"/>
    </row>
    <row r="101" spans="21:23" x14ac:dyDescent="0.3">
      <c r="U101" s="6"/>
      <c r="V101" s="6"/>
      <c r="W101" s="6"/>
    </row>
    <row r="102" spans="21:23" x14ac:dyDescent="0.3">
      <c r="U102" s="6"/>
      <c r="V102" s="6"/>
      <c r="W102" s="6"/>
    </row>
    <row r="103" spans="21:23" x14ac:dyDescent="0.3">
      <c r="U103" s="6"/>
      <c r="V103" s="6"/>
      <c r="W103" s="6"/>
    </row>
    <row r="104" spans="21:23" x14ac:dyDescent="0.3">
      <c r="U104" s="6"/>
      <c r="V104" s="6"/>
      <c r="W104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EA220-2858-41E0-8157-E3AE5E8016DE}">
  <dimension ref="A1:T175"/>
  <sheetViews>
    <sheetView zoomScale="70" zoomScaleNormal="85" workbookViewId="0">
      <selection activeCell="F17" sqref="F17"/>
    </sheetView>
  </sheetViews>
  <sheetFormatPr defaultRowHeight="14.4" x14ac:dyDescent="0.3"/>
  <cols>
    <col min="1" max="1" width="12.5546875" customWidth="1"/>
    <col min="2" max="2" width="11.21875" customWidth="1"/>
    <col min="3" max="3" width="20" style="7" customWidth="1"/>
    <col min="4" max="4" width="14.44140625" customWidth="1"/>
    <col min="5" max="5" width="10.44140625" style="7" customWidth="1"/>
    <col min="6" max="6" width="13.44140625" customWidth="1"/>
    <col min="7" max="7" width="13.109375" style="11" customWidth="1"/>
    <col min="8" max="8" width="19.44140625" customWidth="1"/>
    <col min="9" max="10" width="24.77734375" customWidth="1"/>
    <col min="11" max="11" width="14.44140625" customWidth="1"/>
    <col min="12" max="12" width="11.109375" customWidth="1"/>
    <col min="13" max="14" width="8.88671875" style="3"/>
    <col min="15" max="15" width="9.77734375" style="3" customWidth="1"/>
    <col min="16" max="16" width="9.33203125" style="3" customWidth="1"/>
    <col min="17" max="17" width="18.6640625" style="3" customWidth="1"/>
    <col min="18" max="18" width="36.77734375" style="3" customWidth="1"/>
    <col min="19" max="19" width="12.6640625" customWidth="1"/>
  </cols>
  <sheetData>
    <row r="1" spans="1:20" x14ac:dyDescent="0.3">
      <c r="A1" s="2"/>
      <c r="B1" s="2"/>
      <c r="C1" s="2"/>
      <c r="D1" s="2"/>
      <c r="E1" s="4" t="s">
        <v>11</v>
      </c>
      <c r="F1" s="2" t="s">
        <v>10</v>
      </c>
      <c r="G1" s="12" t="s">
        <v>19</v>
      </c>
      <c r="H1" s="2" t="s">
        <v>59</v>
      </c>
      <c r="I1" s="2" t="s">
        <v>68</v>
      </c>
      <c r="J1" s="2" t="s">
        <v>69</v>
      </c>
      <c r="K1" s="2" t="s">
        <v>58</v>
      </c>
      <c r="L1" s="2" t="s">
        <v>12</v>
      </c>
      <c r="N1" s="2" t="s">
        <v>3</v>
      </c>
      <c r="O1" s="2" t="s">
        <v>60</v>
      </c>
      <c r="P1" s="2" t="s">
        <v>2</v>
      </c>
      <c r="Q1" s="2" t="s">
        <v>13</v>
      </c>
      <c r="R1" s="2" t="s">
        <v>66</v>
      </c>
      <c r="T1" s="2"/>
    </row>
    <row r="2" spans="1:20" x14ac:dyDescent="0.3">
      <c r="A2" s="2" t="s">
        <v>5</v>
      </c>
      <c r="B2" s="6">
        <v>5.0000000000000001E-3</v>
      </c>
      <c r="C2" s="2" t="s">
        <v>9</v>
      </c>
      <c r="D2" s="3" t="s">
        <v>20</v>
      </c>
      <c r="E2" s="3">
        <f>0*100</f>
        <v>0</v>
      </c>
      <c r="F2" s="24">
        <v>582.16961669921795</v>
      </c>
      <c r="G2" s="11">
        <v>0.94651180499999998</v>
      </c>
      <c r="H2" s="17">
        <f>AVERAGE(F2:F6)</f>
        <v>582.1426025390623</v>
      </c>
      <c r="I2" s="17">
        <f>MAX($F$2:$F$6)-$H2</f>
        <v>2.7014160155658828E-2</v>
      </c>
      <c r="J2" s="17">
        <f>ABS(MIN($F$2:$F$6)-$H2)</f>
        <v>4.9340820312295364E-2</v>
      </c>
      <c r="K2" s="3">
        <f>1/(2*PI())*$O$2*1/($P$2/1000)*SQRT(200000000000*$C$11/7800)</f>
        <v>2461.0123935788183</v>
      </c>
      <c r="L2" s="24">
        <f>H2/K2</f>
        <v>0.23654598573252497</v>
      </c>
      <c r="N2" s="3">
        <v>1</v>
      </c>
      <c r="O2" s="3">
        <f>-0.0181+2.9778/N2-4.9461/N2^2+4.8929/N2^3-2.3455/N2^4</f>
        <v>0.5609999999999995</v>
      </c>
      <c r="P2" s="6">
        <f>2*N2*$B$5+$B$5</f>
        <v>183.71173070873849</v>
      </c>
      <c r="Q2" s="3">
        <f>$B$6/P2</f>
        <v>0.27216552697590851</v>
      </c>
      <c r="R2" s="3">
        <f t="shared" ref="R2:R11" si="0">1/(2*PI())*O2*1/(P2/1000)*SQRT(200000000000*$C$11/7800)</f>
        <v>2461.0123935788183</v>
      </c>
    </row>
    <row r="3" spans="1:20" x14ac:dyDescent="0.3">
      <c r="A3" s="2" t="s">
        <v>6</v>
      </c>
      <c r="B3" s="3">
        <v>0</v>
      </c>
      <c r="C3" s="2" t="s">
        <v>3</v>
      </c>
      <c r="D3" s="3">
        <v>1</v>
      </c>
      <c r="E3" s="3">
        <f t="shared" ref="E3:E4" si="1">0*100</f>
        <v>0</v>
      </c>
      <c r="F3" s="3">
        <v>582.15234375</v>
      </c>
      <c r="G3" s="11">
        <v>0.30057201</v>
      </c>
      <c r="H3" s="3"/>
      <c r="I3" s="3"/>
      <c r="J3" s="3"/>
      <c r="K3" s="3">
        <f>1/(2*PI())*$O$2*1/(2*$N$2*2+2)*SQRT(123000000000*$C$11/1348)</f>
        <v>142.14754128532851</v>
      </c>
      <c r="L3" t="s">
        <v>67</v>
      </c>
      <c r="N3" s="3">
        <v>2</v>
      </c>
      <c r="O3" s="3">
        <f t="shared" ref="O3:O11" si="2">-0.0181+2.9778/N3-4.9461/N3^2+4.8929/N3^3-2.3455/N3^4</f>
        <v>0.69929374999999983</v>
      </c>
      <c r="P3" s="6">
        <f t="shared" ref="P3:P11" si="3">2*N3*$B$5+$B$5</f>
        <v>306.18621784789747</v>
      </c>
      <c r="Q3" s="3">
        <f t="shared" ref="Q3:Q8" si="4">$B$6/P3</f>
        <v>0.16329931618554511</v>
      </c>
      <c r="R3" s="3">
        <f t="shared" si="0"/>
        <v>1840.6102518740202</v>
      </c>
    </row>
    <row r="4" spans="1:20" x14ac:dyDescent="0.3">
      <c r="A4" s="2" t="s">
        <v>7</v>
      </c>
      <c r="B4" s="3">
        <v>0</v>
      </c>
      <c r="C4" s="2" t="s">
        <v>2</v>
      </c>
      <c r="D4" s="3">
        <v>183.711730708738</v>
      </c>
      <c r="E4" s="3">
        <f t="shared" si="1"/>
        <v>0</v>
      </c>
      <c r="F4" s="3">
        <v>582.14929199218795</v>
      </c>
      <c r="G4" s="11">
        <v>0.29934292499999998</v>
      </c>
      <c r="H4" s="3"/>
      <c r="I4" s="3"/>
      <c r="J4" s="3"/>
      <c r="K4" s="3"/>
      <c r="N4" s="3">
        <v>3</v>
      </c>
      <c r="O4" s="3">
        <f t="shared" si="2"/>
        <v>0.57719506172839496</v>
      </c>
      <c r="P4" s="6">
        <f t="shared" si="3"/>
        <v>428.66070498705648</v>
      </c>
      <c r="Q4" s="3">
        <f t="shared" si="4"/>
        <v>0.11664236870396077</v>
      </c>
      <c r="R4" s="3">
        <f t="shared" si="0"/>
        <v>1085.1674563988329</v>
      </c>
    </row>
    <row r="5" spans="1:20" x14ac:dyDescent="0.3">
      <c r="A5" s="2" t="s">
        <v>0</v>
      </c>
      <c r="B5" s="3">
        <v>61.237243569579498</v>
      </c>
      <c r="C5" s="2" t="s">
        <v>21</v>
      </c>
      <c r="D5" s="3">
        <f>SUM(G2:G31)</f>
        <v>14.486873189999997</v>
      </c>
      <c r="E5" s="7">
        <v>0</v>
      </c>
      <c r="F5">
        <v>582.09326171875</v>
      </c>
      <c r="G5" s="11">
        <v>0.30211332000000002</v>
      </c>
      <c r="N5" s="3">
        <v>4</v>
      </c>
      <c r="O5" s="3">
        <f t="shared" si="2"/>
        <v>0.48450820312499993</v>
      </c>
      <c r="P5" s="6">
        <f t="shared" si="3"/>
        <v>551.13519212621543</v>
      </c>
      <c r="Q5" s="3">
        <f t="shared" si="4"/>
        <v>9.0721842325302837E-2</v>
      </c>
      <c r="R5" s="3">
        <f t="shared" si="0"/>
        <v>708.48526006014822</v>
      </c>
    </row>
    <row r="6" spans="1:20" x14ac:dyDescent="0.3">
      <c r="A6" s="2" t="s">
        <v>1</v>
      </c>
      <c r="B6" s="3">
        <v>50</v>
      </c>
      <c r="C6" s="3"/>
      <c r="D6" s="3"/>
      <c r="E6" s="7">
        <v>0</v>
      </c>
      <c r="F6">
        <v>582.14849853515602</v>
      </c>
      <c r="G6" s="11">
        <v>0.30347323166666701</v>
      </c>
      <c r="N6" s="3">
        <v>5</v>
      </c>
      <c r="O6" s="3">
        <f t="shared" si="2"/>
        <v>0.41500639999999994</v>
      </c>
      <c r="P6" s="6">
        <f t="shared" si="3"/>
        <v>673.60967926537444</v>
      </c>
      <c r="Q6" s="3">
        <f t="shared" si="4"/>
        <v>7.4226961902520497E-2</v>
      </c>
      <c r="R6" s="3">
        <f t="shared" si="0"/>
        <v>496.51720652140455</v>
      </c>
    </row>
    <row r="7" spans="1:20" x14ac:dyDescent="0.3">
      <c r="A7" s="2"/>
      <c r="B7" s="3"/>
      <c r="C7" s="3"/>
      <c r="D7" s="3"/>
      <c r="E7" s="3">
        <f>0.01*100</f>
        <v>1</v>
      </c>
      <c r="F7" s="3">
        <v>589.21740722656295</v>
      </c>
      <c r="G7" s="11">
        <v>0.57080384333333301</v>
      </c>
      <c r="H7" s="3">
        <f>AVERAGE(F7:F11)</f>
        <v>594.28740234375005</v>
      </c>
      <c r="I7" s="17">
        <f>MAX($F$7:$F$11)-$H7</f>
        <v>6.7959106445309772</v>
      </c>
      <c r="J7" s="17">
        <f>ABS(MIN($F$7:$F$11)-$H7)</f>
        <v>5.1199829101560681</v>
      </c>
      <c r="K7" s="3">
        <f>1/(2*PI())*$O$2*1/($P$2/1000)*SQRT(200000000000*$C$12/7800)</f>
        <v>1134.7333587950463</v>
      </c>
      <c r="L7" s="24">
        <f>H7/K7</f>
        <v>0.5237242720834554</v>
      </c>
      <c r="N7" s="3">
        <v>6</v>
      </c>
      <c r="O7" s="3">
        <f t="shared" si="2"/>
        <v>0.36165084876543208</v>
      </c>
      <c r="P7" s="6">
        <f t="shared" si="3"/>
        <v>796.08416640453345</v>
      </c>
      <c r="Q7" s="3">
        <f t="shared" si="4"/>
        <v>6.2807429302132733E-2</v>
      </c>
      <c r="R7" s="3">
        <f t="shared" si="0"/>
        <v>366.1156811847091</v>
      </c>
    </row>
    <row r="8" spans="1:20" x14ac:dyDescent="0.3">
      <c r="A8" s="11" t="s">
        <v>14</v>
      </c>
      <c r="C8" s="3"/>
      <c r="D8" s="3"/>
      <c r="E8" s="3">
        <f t="shared" ref="E8:E9" si="5">0.01*100</f>
        <v>1</v>
      </c>
      <c r="F8" s="6">
        <v>595.29595947265602</v>
      </c>
      <c r="G8" s="11">
        <v>0.60872753833333304</v>
      </c>
      <c r="H8" s="3"/>
      <c r="I8" s="3"/>
      <c r="J8" s="3"/>
      <c r="K8" s="3"/>
      <c r="N8" s="3">
        <v>7</v>
      </c>
      <c r="O8" s="3">
        <f t="shared" si="2"/>
        <v>0.31964731361932519</v>
      </c>
      <c r="P8" s="6">
        <f t="shared" si="3"/>
        <v>918.55865354369246</v>
      </c>
      <c r="Q8" s="3">
        <f t="shared" si="4"/>
        <v>5.4433105395181695E-2</v>
      </c>
      <c r="R8" s="3">
        <f t="shared" si="0"/>
        <v>280.4477719755206</v>
      </c>
    </row>
    <row r="9" spans="1:20" x14ac:dyDescent="0.3">
      <c r="B9" s="3"/>
      <c r="C9" s="3"/>
      <c r="D9" s="3"/>
      <c r="E9" s="3">
        <f t="shared" si="5"/>
        <v>1</v>
      </c>
      <c r="F9" s="3">
        <v>589.16741943359398</v>
      </c>
      <c r="G9" s="11">
        <v>0.58751842333333304</v>
      </c>
      <c r="H9" s="3"/>
      <c r="I9" s="3"/>
      <c r="J9" s="3"/>
      <c r="K9" s="3"/>
      <c r="N9" s="3">
        <v>8</v>
      </c>
      <c r="O9" s="3">
        <f t="shared" si="2"/>
        <v>0.28582600097656247</v>
      </c>
      <c r="P9" s="6">
        <f t="shared" si="3"/>
        <v>1041.0331406828514</v>
      </c>
      <c r="Q9" s="3">
        <f>$B$6/P9</f>
        <v>4.8029210642807386E-2</v>
      </c>
      <c r="R9" s="3">
        <f t="shared" si="0"/>
        <v>221.27125851223414</v>
      </c>
    </row>
    <row r="10" spans="1:20" x14ac:dyDescent="0.3">
      <c r="A10" s="3"/>
      <c r="B10" s="4" t="s">
        <v>11</v>
      </c>
      <c r="C10" s="2" t="s">
        <v>47</v>
      </c>
      <c r="E10" s="7">
        <v>1</v>
      </c>
      <c r="F10">
        <v>596.67291259765602</v>
      </c>
      <c r="G10" s="11">
        <v>0.35437983333333301</v>
      </c>
      <c r="N10" s="3">
        <v>9</v>
      </c>
      <c r="O10" s="3">
        <f t="shared" si="2"/>
        <v>0.25805800944977891</v>
      </c>
      <c r="P10" s="6">
        <f>2*N10*$B$5+$B$5</f>
        <v>1163.5076278220104</v>
      </c>
      <c r="Q10" s="3">
        <f t="shared" ref="Q10:Q11" si="6">$B$6/P10</f>
        <v>4.2973504259353972E-2</v>
      </c>
      <c r="R10" s="3">
        <f t="shared" si="0"/>
        <v>178.74583718496658</v>
      </c>
    </row>
    <row r="11" spans="1:20" x14ac:dyDescent="0.3">
      <c r="A11" s="3"/>
      <c r="B11" s="3">
        <f>0*100</f>
        <v>0</v>
      </c>
      <c r="C11" s="3">
        <f>1/(1+0.5*(B11/100*($B$5/1000)/(0.9/1000/4))^2)</f>
        <v>1</v>
      </c>
      <c r="E11" s="7">
        <v>1</v>
      </c>
      <c r="F11">
        <v>601.08331298828102</v>
      </c>
      <c r="G11" s="11">
        <v>0.35637528833333298</v>
      </c>
      <c r="N11" s="3">
        <v>10</v>
      </c>
      <c r="O11" s="3">
        <f t="shared" si="2"/>
        <v>0.23487734999999998</v>
      </c>
      <c r="P11" s="6">
        <f t="shared" si="3"/>
        <v>1285.9821149611694</v>
      </c>
      <c r="Q11" s="3">
        <f t="shared" si="6"/>
        <v>3.8880789567986927E-2</v>
      </c>
      <c r="R11" s="3">
        <f t="shared" si="0"/>
        <v>147.1953321418259</v>
      </c>
    </row>
    <row r="12" spans="1:20" x14ac:dyDescent="0.3">
      <c r="A12" s="3"/>
      <c r="B12" s="3">
        <v>1</v>
      </c>
      <c r="C12" s="3">
        <f>1/(1+0.5*(B12/100*($B$5/1000)/(0.9/1000/4))^2)</f>
        <v>0.21259842519685013</v>
      </c>
      <c r="E12" s="3">
        <f>0.02*100</f>
        <v>2</v>
      </c>
      <c r="F12" s="3">
        <v>586.26477050781295</v>
      </c>
      <c r="G12" s="11">
        <v>0.58825547333333295</v>
      </c>
      <c r="H12" s="3">
        <f>AVERAGE(F12:F16)</f>
        <v>578.20849609375023</v>
      </c>
      <c r="I12" s="17">
        <f>MAX($F$12:$F$16)-$H12</f>
        <v>8.0562744140627274</v>
      </c>
      <c r="J12" s="17">
        <f>ABS(MIN($F$12:$F$16)-$H12)</f>
        <v>7.1508789062502274</v>
      </c>
      <c r="K12" s="3">
        <f>1/(2*PI())*$O$2*1/($P$2/1000)*SQRT(200000000000*$C$13/7800)</f>
        <v>618.84479906610841</v>
      </c>
      <c r="L12" s="24">
        <f>H12/K12</f>
        <v>0.93433522745334219</v>
      </c>
    </row>
    <row r="13" spans="1:20" x14ac:dyDescent="0.3">
      <c r="A13" s="3"/>
      <c r="B13" s="3">
        <v>2</v>
      </c>
      <c r="C13" s="3">
        <f t="shared" ref="C13:C21" si="7">1/(1+0.5*(B13/100*($B$5/1000)/(0.9/1000/4))^2)</f>
        <v>6.3231850117095922E-2</v>
      </c>
      <c r="E13" s="3">
        <f t="shared" ref="E13:E14" si="8">0.02*100</f>
        <v>2</v>
      </c>
      <c r="F13" s="3">
        <v>576.78680419921898</v>
      </c>
      <c r="G13" s="11">
        <v>0.61219826499999996</v>
      </c>
      <c r="H13" s="3"/>
      <c r="I13" s="3"/>
      <c r="J13" s="3"/>
      <c r="K13" s="3"/>
    </row>
    <row r="14" spans="1:20" x14ac:dyDescent="0.3">
      <c r="A14" s="3"/>
      <c r="B14" s="7">
        <v>3</v>
      </c>
      <c r="C14" s="3">
        <f t="shared" si="7"/>
        <v>2.9126213592232972E-2</v>
      </c>
      <c r="E14" s="3">
        <f t="shared" si="8"/>
        <v>2</v>
      </c>
      <c r="F14" s="3">
        <v>578.130859375</v>
      </c>
      <c r="G14" s="11">
        <v>0.61907775166666701</v>
      </c>
      <c r="H14" s="3"/>
      <c r="I14" s="3"/>
      <c r="J14" s="3"/>
      <c r="K14" s="3"/>
    </row>
    <row r="15" spans="1:20" x14ac:dyDescent="0.3">
      <c r="A15" s="3"/>
      <c r="B15" s="3">
        <v>4</v>
      </c>
      <c r="C15" s="3">
        <f t="shared" si="7"/>
        <v>1.6594960049170226E-2</v>
      </c>
      <c r="E15" s="7">
        <v>2</v>
      </c>
      <c r="F15">
        <v>578.80242919921898</v>
      </c>
      <c r="G15" s="11">
        <v>0.343368385</v>
      </c>
      <c r="N15" s="17"/>
    </row>
    <row r="16" spans="1:20" x14ac:dyDescent="0.3">
      <c r="A16" s="3"/>
      <c r="B16" s="3">
        <v>5</v>
      </c>
      <c r="C16" s="3">
        <f t="shared" si="7"/>
        <v>1.0684606252473272E-2</v>
      </c>
      <c r="E16" s="7">
        <v>2</v>
      </c>
      <c r="F16">
        <v>571.0576171875</v>
      </c>
      <c r="G16" s="11">
        <v>0.34374617666666701</v>
      </c>
    </row>
    <row r="17" spans="1:12" x14ac:dyDescent="0.3">
      <c r="A17" s="3"/>
      <c r="B17" s="3">
        <v>6</v>
      </c>
      <c r="C17" s="3">
        <f t="shared" si="7"/>
        <v>7.4441687344913056E-3</v>
      </c>
      <c r="E17" s="3">
        <f>0.03*100</f>
        <v>3</v>
      </c>
      <c r="F17" s="6">
        <v>552.62127685546898</v>
      </c>
      <c r="G17" s="11">
        <v>0.58324463833333295</v>
      </c>
      <c r="H17" s="3">
        <f>AVERAGE(F17:F21)</f>
        <v>560.48793945312514</v>
      </c>
      <c r="I17" s="17">
        <f>MAX($F$17:$F$21)-$H17</f>
        <v>6.7437499999998636</v>
      </c>
      <c r="J17" s="17">
        <f>ABS(MIN($F$17:$F$21)-$H17)</f>
        <v>7.8666625976561591</v>
      </c>
      <c r="K17" s="3">
        <f>1/(2*PI())*$O$2*1/($P$2/1000)*SQRT(200000000000*$C$14/7800)</f>
        <v>420.00631067896057</v>
      </c>
      <c r="L17" s="24">
        <f>H17/K17</f>
        <v>1.3344750428798777</v>
      </c>
    </row>
    <row r="18" spans="1:12" x14ac:dyDescent="0.3">
      <c r="A18" s="3"/>
      <c r="B18" s="3">
        <v>7</v>
      </c>
      <c r="C18" s="3">
        <f t="shared" si="7"/>
        <v>5.480008118530535E-3</v>
      </c>
      <c r="E18" s="3">
        <f t="shared" ref="E18:E19" si="9">0.03*100</f>
        <v>3</v>
      </c>
      <c r="F18" s="6">
        <v>565.09411621093795</v>
      </c>
      <c r="G18" s="11">
        <v>0.57171442500000003</v>
      </c>
      <c r="H18" s="6"/>
      <c r="I18" s="6"/>
      <c r="J18" s="6"/>
      <c r="K18" s="3"/>
    </row>
    <row r="19" spans="1:12" x14ac:dyDescent="0.3">
      <c r="A19" s="3"/>
      <c r="B19" s="3">
        <v>8</v>
      </c>
      <c r="C19" s="3">
        <f t="shared" si="7"/>
        <v>4.201026917690984E-3</v>
      </c>
      <c r="E19" s="3">
        <f t="shared" si="9"/>
        <v>3</v>
      </c>
      <c r="F19" s="6">
        <v>567.231689453125</v>
      </c>
      <c r="G19" s="11">
        <v>0.57830912499999998</v>
      </c>
      <c r="H19" s="6"/>
      <c r="I19" s="6"/>
      <c r="J19" s="6"/>
      <c r="K19" s="6"/>
    </row>
    <row r="20" spans="1:12" x14ac:dyDescent="0.3">
      <c r="A20" s="3"/>
      <c r="B20" s="3">
        <v>9</v>
      </c>
      <c r="C20" s="3">
        <f t="shared" si="7"/>
        <v>3.3222591362126203E-3</v>
      </c>
      <c r="E20" s="7">
        <v>3</v>
      </c>
      <c r="F20">
        <v>557.46301269531295</v>
      </c>
      <c r="G20" s="11">
        <v>0.35352088666666698</v>
      </c>
    </row>
    <row r="21" spans="1:12" x14ac:dyDescent="0.3">
      <c r="A21" s="3"/>
      <c r="B21" s="3">
        <v>10</v>
      </c>
      <c r="C21" s="3">
        <f t="shared" si="7"/>
        <v>2.6927296299989983E-3</v>
      </c>
      <c r="E21" s="7">
        <v>3</v>
      </c>
      <c r="F21">
        <v>560.02960205078102</v>
      </c>
      <c r="G21" s="11">
        <v>0.35537415500000002</v>
      </c>
    </row>
    <row r="22" spans="1:12" x14ac:dyDescent="0.3">
      <c r="A22" s="3"/>
      <c r="B22" s="3"/>
      <c r="C22" s="3"/>
      <c r="D22" s="3"/>
      <c r="E22" s="3">
        <v>4</v>
      </c>
      <c r="F22" s="3">
        <v>523.42565917968795</v>
      </c>
      <c r="G22" s="11">
        <v>0.58403636333333298</v>
      </c>
      <c r="H22" s="3">
        <f>AVERAGE(F22:F26)</f>
        <v>518.82186279296877</v>
      </c>
      <c r="I22" s="17">
        <f>MAX($F$22:$F$26)-$H22</f>
        <v>13.702001953125205</v>
      </c>
      <c r="J22" s="17">
        <f>ABS(MIN($F$2:$F$6)-$H22)</f>
        <v>63.271398925781227</v>
      </c>
      <c r="K22" s="3">
        <f>1/(2*PI())*$O$2*1/($P$2/1000)*SQRT(200000000000*$C$15/7800)</f>
        <v>317.03112835635329</v>
      </c>
      <c r="L22" s="24">
        <f>H22/K22</f>
        <v>1.6365013286953833</v>
      </c>
    </row>
    <row r="23" spans="1:12" x14ac:dyDescent="0.3">
      <c r="A23" s="3"/>
      <c r="B23" s="3"/>
      <c r="C23" s="3"/>
      <c r="D23" s="3"/>
      <c r="E23" s="3">
        <v>4</v>
      </c>
      <c r="F23" s="18">
        <v>514.52508544921795</v>
      </c>
      <c r="G23" s="11">
        <v>0.60995355166666698</v>
      </c>
      <c r="H23" s="6"/>
      <c r="I23" s="6"/>
      <c r="J23" s="6"/>
      <c r="K23" s="6"/>
    </row>
    <row r="24" spans="1:12" x14ac:dyDescent="0.3">
      <c r="A24" s="3"/>
      <c r="B24" s="3"/>
      <c r="C24" s="3"/>
      <c r="D24" s="3"/>
      <c r="E24" s="3">
        <v>4</v>
      </c>
      <c r="F24" s="6">
        <v>519.10656738281295</v>
      </c>
      <c r="G24" s="11">
        <v>0.57210848666666703</v>
      </c>
      <c r="H24" s="3"/>
      <c r="I24" s="3"/>
      <c r="J24" s="3"/>
      <c r="K24" s="3"/>
    </row>
    <row r="25" spans="1:12" x14ac:dyDescent="0.3">
      <c r="A25" s="3"/>
      <c r="B25" s="3"/>
      <c r="C25" s="3"/>
      <c r="D25" s="3"/>
      <c r="E25" s="7">
        <v>4</v>
      </c>
      <c r="F25">
        <v>504.52813720703102</v>
      </c>
      <c r="G25" s="11">
        <v>0.35484669000000002</v>
      </c>
    </row>
    <row r="26" spans="1:12" x14ac:dyDescent="0.3">
      <c r="A26" s="3"/>
      <c r="B26" s="3"/>
      <c r="C26" s="3"/>
      <c r="D26" s="3"/>
      <c r="E26" s="7">
        <v>4</v>
      </c>
      <c r="F26">
        <v>532.52386474609398</v>
      </c>
      <c r="G26" s="11">
        <v>0.36034560500000001</v>
      </c>
    </row>
    <row r="27" spans="1:12" x14ac:dyDescent="0.3">
      <c r="A27" s="3"/>
      <c r="B27" s="3"/>
      <c r="C27" s="3"/>
      <c r="D27" s="3"/>
      <c r="E27" s="3">
        <v>5</v>
      </c>
      <c r="F27" s="18">
        <v>491.60260009765602</v>
      </c>
      <c r="G27" s="11">
        <v>0.58170487833333295</v>
      </c>
      <c r="H27" s="18">
        <f>AVERAGE(F27:F31)</f>
        <v>476.94979248046877</v>
      </c>
      <c r="I27" s="17">
        <f>MAX($F$27:$F$31)-$H27</f>
        <v>14.65280761718725</v>
      </c>
      <c r="J27" s="17">
        <f>ABS(MIN($F$27:$F$31)-$H27)</f>
        <v>22.614953613280761</v>
      </c>
      <c r="K27" s="3">
        <f>1/(2*PI())*$O$2*1/($P$2/1000)*SQRT(200000000000*$C$16/7800)</f>
        <v>254.38591533382063</v>
      </c>
      <c r="L27" s="24">
        <f>H27/K27</f>
        <v>1.8749064461945006</v>
      </c>
    </row>
    <row r="28" spans="1:12" x14ac:dyDescent="0.3">
      <c r="A28" s="3"/>
      <c r="B28" s="3"/>
      <c r="C28" s="3"/>
      <c r="D28" s="3"/>
      <c r="E28" s="3">
        <v>5</v>
      </c>
      <c r="F28" s="3">
        <v>482.90966796875</v>
      </c>
      <c r="G28" s="11">
        <v>0.58050889500000002</v>
      </c>
      <c r="H28" s="3"/>
      <c r="I28" s="3"/>
      <c r="J28" s="3"/>
      <c r="K28" s="3"/>
    </row>
    <row r="29" spans="1:12" x14ac:dyDescent="0.3">
      <c r="A29" s="3"/>
      <c r="B29" s="3"/>
      <c r="C29" s="3"/>
      <c r="D29" s="3"/>
      <c r="E29" s="3">
        <v>5</v>
      </c>
      <c r="F29" s="6">
        <v>482.52520751953102</v>
      </c>
      <c r="G29" s="11">
        <v>0.55344945999999995</v>
      </c>
      <c r="H29" s="3"/>
      <c r="I29" s="3"/>
      <c r="J29" s="3"/>
      <c r="K29" s="3"/>
    </row>
    <row r="30" spans="1:12" x14ac:dyDescent="0.3">
      <c r="A30" s="3"/>
      <c r="B30" s="3"/>
      <c r="C30" s="3"/>
      <c r="D30" s="3"/>
      <c r="E30" s="3">
        <v>5</v>
      </c>
      <c r="F30" s="6">
        <v>454.33483886718801</v>
      </c>
      <c r="G30" s="11">
        <v>0.35538064833333299</v>
      </c>
      <c r="H30" s="3"/>
      <c r="I30" s="3"/>
      <c r="J30" s="3"/>
      <c r="K30" s="3"/>
    </row>
    <row r="31" spans="1:12" x14ac:dyDescent="0.3">
      <c r="A31" s="3"/>
      <c r="B31" s="3"/>
      <c r="C31" s="3"/>
      <c r="D31" s="3"/>
      <c r="E31" s="3">
        <v>5</v>
      </c>
      <c r="F31" s="6">
        <v>473.37664794921898</v>
      </c>
      <c r="G31" s="11">
        <v>0.355911111666667</v>
      </c>
      <c r="H31" s="3"/>
      <c r="I31" s="3"/>
      <c r="J31" s="3"/>
      <c r="K31" s="3"/>
    </row>
    <row r="32" spans="1:12" x14ac:dyDescent="0.3">
      <c r="A32" s="3"/>
      <c r="B32" s="3"/>
      <c r="C32" s="3"/>
      <c r="D32" s="3"/>
      <c r="E32" s="3"/>
      <c r="F32" s="6"/>
      <c r="H32" s="3"/>
      <c r="I32" s="3"/>
      <c r="J32" s="3"/>
      <c r="K32" s="3"/>
    </row>
    <row r="33" spans="1:15" x14ac:dyDescent="0.3">
      <c r="A33" s="3"/>
      <c r="B33" s="3"/>
      <c r="C33" s="2" t="s">
        <v>9</v>
      </c>
      <c r="D33" s="3" t="s">
        <v>4</v>
      </c>
      <c r="E33" s="3">
        <f>0*100</f>
        <v>0</v>
      </c>
      <c r="F33" s="6">
        <v>588.53173828125</v>
      </c>
      <c r="H33" s="17">
        <f>AVERAGE(F33:F37)</f>
        <v>588.89724731445347</v>
      </c>
      <c r="I33" s="18">
        <f>MAX($F$33:$F$37)-$H33</f>
        <v>0.16464233398448869</v>
      </c>
      <c r="J33" s="18">
        <f>ABS(MIN($F$33:$F$37)-$H33)</f>
        <v>0.36550903320346606</v>
      </c>
      <c r="K33" s="3">
        <f>1/(2*PI())*$O$4*1/($P$4/1000)*SQRT(200000000000*$C$11/7800)</f>
        <v>1085.1674563988329</v>
      </c>
      <c r="L33" s="26">
        <f>H33/K33</f>
        <v>0.54267868414403997</v>
      </c>
    </row>
    <row r="34" spans="1:15" x14ac:dyDescent="0.3">
      <c r="A34" s="3"/>
      <c r="B34" s="3"/>
      <c r="C34" s="2" t="s">
        <v>3</v>
      </c>
      <c r="D34" s="3">
        <v>3</v>
      </c>
      <c r="E34" s="3">
        <f t="shared" ref="E34:E35" si="10">0*100</f>
        <v>0</v>
      </c>
      <c r="F34" s="6">
        <v>589.04333496093795</v>
      </c>
      <c r="H34" s="3"/>
      <c r="I34" s="6"/>
      <c r="J34" s="6"/>
      <c r="K34" s="3"/>
    </row>
    <row r="35" spans="1:15" x14ac:dyDescent="0.3">
      <c r="A35" s="3"/>
      <c r="B35" s="3"/>
      <c r="C35" s="2" t="s">
        <v>2</v>
      </c>
      <c r="D35" s="3">
        <f>2*D34*$B$5+$B$5</f>
        <v>428.66070498705648</v>
      </c>
      <c r="E35" s="3">
        <f t="shared" si="10"/>
        <v>0</v>
      </c>
      <c r="F35" s="6">
        <v>589.06188964843795</v>
      </c>
      <c r="H35" s="3"/>
      <c r="I35" s="6"/>
      <c r="J35" s="6"/>
      <c r="K35" s="3"/>
    </row>
    <row r="36" spans="1:15" x14ac:dyDescent="0.3">
      <c r="A36" s="3"/>
      <c r="B36" s="3"/>
      <c r="C36" s="2" t="s">
        <v>21</v>
      </c>
      <c r="D36" s="3"/>
      <c r="E36" s="7">
        <v>0</v>
      </c>
      <c r="F36">
        <v>588.95202636718795</v>
      </c>
      <c r="G36" s="11">
        <v>0.81291808166666701</v>
      </c>
      <c r="I36" s="11"/>
      <c r="J36" s="11"/>
    </row>
    <row r="37" spans="1:15" x14ac:dyDescent="0.3">
      <c r="A37" s="3"/>
      <c r="B37" s="3"/>
      <c r="C37" s="3"/>
      <c r="D37" s="3"/>
      <c r="E37" s="7">
        <v>0</v>
      </c>
      <c r="I37" s="11"/>
      <c r="J37" s="11"/>
    </row>
    <row r="38" spans="1:15" x14ac:dyDescent="0.3">
      <c r="A38" s="3"/>
      <c r="B38" s="3"/>
      <c r="C38" s="3"/>
      <c r="D38" s="3"/>
      <c r="E38" s="3">
        <f>0.01*100</f>
        <v>1</v>
      </c>
      <c r="F38" s="6">
        <v>520.70623779296898</v>
      </c>
      <c r="H38" s="3">
        <f>AVERAGE(F38:F42)</f>
        <v>524.40743001302098</v>
      </c>
      <c r="I38" s="18">
        <f>MAX($F$38:$F$42)-$H38</f>
        <v>3.6840616861979925</v>
      </c>
      <c r="J38" s="18">
        <f>ABS(MIN($F$38:$F$42)-$H38)</f>
        <v>3.7011922200520075</v>
      </c>
      <c r="K38" s="3">
        <f>1/(2*PI())*$O$4*1/($P$4/1000)*SQRT(200000000000*$C$12/7800)</f>
        <v>500.3533163292409</v>
      </c>
      <c r="L38" s="24">
        <f>H38/K38</f>
        <v>1.0480742565278653</v>
      </c>
    </row>
    <row r="39" spans="1:15" x14ac:dyDescent="0.3">
      <c r="A39" s="3"/>
      <c r="B39" s="3"/>
      <c r="C39" s="3"/>
      <c r="D39" s="3"/>
      <c r="E39" s="3">
        <f t="shared" ref="E39:E40" si="11">0.01*100</f>
        <v>1</v>
      </c>
      <c r="F39" s="6">
        <v>528.09149169921898</v>
      </c>
      <c r="H39" s="3"/>
      <c r="I39" s="6"/>
      <c r="J39" s="6"/>
      <c r="K39" s="3"/>
    </row>
    <row r="40" spans="1:15" x14ac:dyDescent="0.3">
      <c r="A40" s="3"/>
      <c r="B40" s="3"/>
      <c r="C40" s="3"/>
      <c r="D40" s="3"/>
      <c r="E40" s="3">
        <f t="shared" si="11"/>
        <v>1</v>
      </c>
      <c r="F40" s="6">
        <v>524.424560546875</v>
      </c>
      <c r="H40" s="3"/>
      <c r="I40" s="6"/>
      <c r="J40" s="6"/>
      <c r="K40" s="3"/>
    </row>
    <row r="41" spans="1:15" x14ac:dyDescent="0.3">
      <c r="A41" s="3"/>
      <c r="B41" s="3"/>
      <c r="C41" s="3"/>
      <c r="D41" s="3"/>
      <c r="E41" s="7">
        <v>1</v>
      </c>
      <c r="I41" s="11"/>
      <c r="J41" s="11"/>
    </row>
    <row r="42" spans="1:15" x14ac:dyDescent="0.3">
      <c r="A42" s="3"/>
      <c r="B42" s="3"/>
      <c r="C42" s="3"/>
      <c r="E42" s="7">
        <v>1</v>
      </c>
      <c r="F42" s="25"/>
      <c r="G42" s="25"/>
      <c r="I42" s="11"/>
      <c r="J42" s="11"/>
      <c r="N42" s="8" t="s">
        <v>22</v>
      </c>
      <c r="O42" s="1"/>
    </row>
    <row r="43" spans="1:15" x14ac:dyDescent="0.3">
      <c r="A43" s="3"/>
      <c r="B43" s="3"/>
      <c r="C43" s="3"/>
      <c r="D43" s="3"/>
      <c r="E43" s="3">
        <f>0.02*100</f>
        <v>2</v>
      </c>
      <c r="F43" s="6">
        <v>394.39169311523398</v>
      </c>
      <c r="H43" s="3">
        <f>AVERAGE(F43:F47)</f>
        <v>393.16416422526032</v>
      </c>
      <c r="I43" s="18">
        <f>MAX($F$43:$F$47)-$H43</f>
        <v>3.539845784505701</v>
      </c>
      <c r="J43" s="18">
        <f>ABS(MIN($F$43:$F$47)-$H43)</f>
        <v>4.7673746744792993</v>
      </c>
      <c r="K43" s="3">
        <f>1/(2*PI())*$O$4*1/($P$4/1000)*SQRT(200000000000*$C$13/7800)</f>
        <v>272.87560122021307</v>
      </c>
      <c r="L43" s="24">
        <f>H43/K43</f>
        <v>1.4408183159914443</v>
      </c>
      <c r="N43" t="s">
        <v>23</v>
      </c>
      <c r="O43" s="1"/>
    </row>
    <row r="44" spans="1:15" x14ac:dyDescent="0.3">
      <c r="A44" s="3"/>
      <c r="B44" s="3"/>
      <c r="C44" s="3"/>
      <c r="D44" s="3"/>
      <c r="E44" s="3">
        <f t="shared" ref="E44:E45" si="12">0.02*100</f>
        <v>2</v>
      </c>
      <c r="F44" s="6">
        <v>388.39678955078102</v>
      </c>
      <c r="H44" s="3"/>
      <c r="I44" s="6"/>
      <c r="J44" s="6"/>
      <c r="K44" s="3"/>
      <c r="N44" s="9" t="s">
        <v>24</v>
      </c>
    </row>
    <row r="45" spans="1:15" x14ac:dyDescent="0.3">
      <c r="A45" s="3"/>
      <c r="B45" s="3"/>
      <c r="C45" s="3"/>
      <c r="D45" s="3"/>
      <c r="E45" s="3">
        <f t="shared" si="12"/>
        <v>2</v>
      </c>
      <c r="F45" s="6">
        <v>396.70401000976602</v>
      </c>
      <c r="H45" s="3"/>
      <c r="I45" s="6"/>
      <c r="J45" s="6"/>
      <c r="K45" s="3"/>
      <c r="N45" s="9" t="s">
        <v>25</v>
      </c>
      <c r="O45" s="8"/>
    </row>
    <row r="46" spans="1:15" x14ac:dyDescent="0.3">
      <c r="A46" s="3"/>
      <c r="B46" s="3"/>
      <c r="C46" s="3"/>
      <c r="D46" s="3"/>
      <c r="E46" s="7">
        <v>2</v>
      </c>
      <c r="I46" s="11"/>
      <c r="J46" s="11"/>
    </row>
    <row r="47" spans="1:15" x14ac:dyDescent="0.3">
      <c r="A47" s="3"/>
      <c r="B47" s="3"/>
      <c r="C47" s="3"/>
      <c r="D47" s="3"/>
      <c r="E47" s="7">
        <v>2</v>
      </c>
      <c r="I47" s="11"/>
      <c r="J47" s="11"/>
      <c r="N47" s="8" t="s">
        <v>26</v>
      </c>
    </row>
    <row r="48" spans="1:15" x14ac:dyDescent="0.3">
      <c r="A48" s="3"/>
      <c r="B48" s="3"/>
      <c r="C48" s="3"/>
      <c r="D48" s="3"/>
      <c r="E48" s="3">
        <f>0.03*100</f>
        <v>3</v>
      </c>
      <c r="F48" s="6">
        <v>297.55029296875</v>
      </c>
      <c r="H48" s="3">
        <f>AVERAGE(F48:F52)</f>
        <v>297.01949462890644</v>
      </c>
      <c r="I48" s="18">
        <f>MAX($F$48:$F$52)-$H48</f>
        <v>4.8728088378905454</v>
      </c>
      <c r="J48" s="18">
        <f>ABS(MIN($F$48:$F$52)-$H48)</f>
        <v>4.1445861816404204</v>
      </c>
      <c r="K48" s="3">
        <f>1/(2*PI())*$O$4*1/($P$4/1000)*SQRT(200000000000*$C$14/7800)</f>
        <v>185.19905914336005</v>
      </c>
      <c r="L48" s="24">
        <f>H48/K48</f>
        <v>1.6037851164189108</v>
      </c>
      <c r="N48" t="s">
        <v>27</v>
      </c>
    </row>
    <row r="49" spans="1:15" x14ac:dyDescent="0.3">
      <c r="A49" s="3"/>
      <c r="B49" s="3"/>
      <c r="C49" s="3"/>
      <c r="D49" s="3"/>
      <c r="E49" s="3">
        <f t="shared" ref="E49:E50" si="13">0.03*100</f>
        <v>3</v>
      </c>
      <c r="F49" s="6">
        <v>292.87490844726602</v>
      </c>
      <c r="H49" s="6"/>
      <c r="I49" s="6"/>
      <c r="J49" s="6"/>
      <c r="K49" s="6"/>
      <c r="N49" s="9" t="s">
        <v>28</v>
      </c>
    </row>
    <row r="50" spans="1:15" x14ac:dyDescent="0.3">
      <c r="A50" s="3"/>
      <c r="B50" s="3"/>
      <c r="C50" s="3"/>
      <c r="D50" s="3"/>
      <c r="E50" s="3">
        <f t="shared" si="13"/>
        <v>3</v>
      </c>
      <c r="F50" s="6">
        <v>301.89230346679699</v>
      </c>
      <c r="G50" s="11">
        <v>1.2643736166666699</v>
      </c>
      <c r="H50" s="6"/>
      <c r="I50" s="6"/>
      <c r="J50" s="6"/>
      <c r="K50" s="6"/>
    </row>
    <row r="51" spans="1:15" x14ac:dyDescent="0.3">
      <c r="A51" s="3"/>
      <c r="B51" s="3"/>
      <c r="E51" s="7">
        <v>3</v>
      </c>
      <c r="F51">
        <v>294.67935180664102</v>
      </c>
      <c r="G51" s="11">
        <v>1.00861075166667</v>
      </c>
      <c r="I51" s="11"/>
      <c r="J51" s="11"/>
    </row>
    <row r="52" spans="1:15" x14ac:dyDescent="0.3">
      <c r="E52" s="7">
        <v>3</v>
      </c>
      <c r="F52">
        <v>298.10061645507801</v>
      </c>
      <c r="G52" s="11">
        <v>0.99827890500000005</v>
      </c>
      <c r="I52" s="11"/>
      <c r="J52" s="11"/>
    </row>
    <row r="53" spans="1:15" x14ac:dyDescent="0.3">
      <c r="E53" s="3">
        <v>4</v>
      </c>
      <c r="F53" s="6">
        <v>235.959716796875</v>
      </c>
      <c r="H53" s="3">
        <f>AVERAGE(F53:F57)</f>
        <v>235.02326965332023</v>
      </c>
      <c r="I53" s="18">
        <f>MAX($F$53:$F$57)-$H53</f>
        <v>4.492660522460767</v>
      </c>
      <c r="J53" s="18">
        <f>ABS(MIN($F$53:$F$57)-$H53)</f>
        <v>5.5383758544922159</v>
      </c>
      <c r="K53" s="3">
        <f>1/(2*PI())*$O$4*1/($P$4/1000)*SQRT(200000000000*$C$15/7800)</f>
        <v>139.79282024558304</v>
      </c>
      <c r="L53" s="24">
        <f>H53/K53</f>
        <v>1.6812256111611434</v>
      </c>
    </row>
    <row r="54" spans="1:15" x14ac:dyDescent="0.3">
      <c r="C54" s="3"/>
      <c r="D54" s="3"/>
      <c r="E54" s="3">
        <v>4</v>
      </c>
      <c r="F54" s="6">
        <v>239.51593017578099</v>
      </c>
      <c r="H54" s="6"/>
      <c r="I54" s="6"/>
      <c r="J54" s="6"/>
      <c r="K54" s="6"/>
    </row>
    <row r="55" spans="1:15" x14ac:dyDescent="0.3">
      <c r="C55" s="3"/>
      <c r="D55" s="3"/>
      <c r="E55" s="3">
        <v>4</v>
      </c>
      <c r="F55" s="6">
        <v>238.841384887695</v>
      </c>
      <c r="H55" s="3"/>
      <c r="I55" s="6"/>
      <c r="J55" s="6"/>
      <c r="K55" s="3"/>
    </row>
    <row r="56" spans="1:15" x14ac:dyDescent="0.3">
      <c r="C56" s="3"/>
      <c r="D56" s="3"/>
      <c r="E56" s="7">
        <v>4</v>
      </c>
      <c r="F56">
        <v>231.31442260742199</v>
      </c>
      <c r="G56" s="11">
        <v>1.0831403416666701</v>
      </c>
      <c r="I56" s="11"/>
      <c r="J56" s="11"/>
      <c r="O56" s="9"/>
    </row>
    <row r="57" spans="1:15" x14ac:dyDescent="0.3">
      <c r="C57" s="3"/>
      <c r="D57" s="3"/>
      <c r="E57" s="7">
        <v>4</v>
      </c>
      <c r="F57">
        <v>229.48489379882801</v>
      </c>
      <c r="G57" s="11">
        <v>0.92713780999999995</v>
      </c>
      <c r="I57" s="11"/>
      <c r="J57" s="11"/>
    </row>
    <row r="58" spans="1:15" x14ac:dyDescent="0.3">
      <c r="C58" s="3"/>
      <c r="D58" s="3"/>
      <c r="E58" s="3">
        <v>5</v>
      </c>
      <c r="F58" s="6">
        <v>196.62422180175801</v>
      </c>
      <c r="H58" s="18">
        <f>AVERAGE(F58:F62)</f>
        <v>193.13330383300803</v>
      </c>
      <c r="I58" s="18">
        <f>MAX($F$58:$F$62)-$H58</f>
        <v>3.4909179687499829</v>
      </c>
      <c r="J58" s="18">
        <f>ABS(MIN($F$58:$F$62)-$H58)</f>
        <v>2.5474884033200169</v>
      </c>
      <c r="K58" s="3">
        <f>1/(2*PI())*$O$4*1/($P$4/1000)*SQRT(200000000000*$C$16/7800)</f>
        <v>112.1698197891054</v>
      </c>
      <c r="L58" s="24">
        <f>H58/K58</f>
        <v>1.7217938318535684</v>
      </c>
    </row>
    <row r="59" spans="1:15" x14ac:dyDescent="0.3">
      <c r="C59" s="3"/>
      <c r="D59" s="3"/>
      <c r="E59" s="3">
        <v>5</v>
      </c>
      <c r="F59" s="6">
        <v>190.58581542968801</v>
      </c>
      <c r="H59" s="3"/>
      <c r="I59" s="6"/>
      <c r="J59" s="6"/>
      <c r="K59" s="3"/>
    </row>
    <row r="60" spans="1:15" x14ac:dyDescent="0.3">
      <c r="C60" s="3"/>
      <c r="D60" s="3"/>
      <c r="E60" s="3">
        <v>5</v>
      </c>
      <c r="F60" s="6">
        <v>192.16133117675801</v>
      </c>
      <c r="G60" s="11">
        <v>1.04456984166667</v>
      </c>
      <c r="H60" s="3"/>
      <c r="I60" s="6"/>
      <c r="J60" s="6"/>
      <c r="K60" s="3"/>
    </row>
    <row r="61" spans="1:15" x14ac:dyDescent="0.3">
      <c r="C61" s="3"/>
      <c r="D61" s="3"/>
      <c r="E61" s="3">
        <v>5</v>
      </c>
      <c r="F61" s="6">
        <v>192.37196350097699</v>
      </c>
      <c r="G61" s="11">
        <v>1.0178125016666699</v>
      </c>
      <c r="H61" s="3"/>
      <c r="I61" s="6"/>
      <c r="J61" s="6"/>
      <c r="K61" s="3"/>
    </row>
    <row r="62" spans="1:15" x14ac:dyDescent="0.3">
      <c r="C62" s="3"/>
      <c r="D62" s="3"/>
      <c r="E62" s="3">
        <v>5</v>
      </c>
      <c r="F62" s="6">
        <v>193.92318725585901</v>
      </c>
      <c r="G62" s="11">
        <v>0.99036211166666699</v>
      </c>
      <c r="H62" s="3"/>
      <c r="I62" s="6"/>
      <c r="J62" s="6"/>
      <c r="K62" s="3"/>
      <c r="M62" s="8"/>
      <c r="N62" s="8"/>
      <c r="O62" s="8"/>
    </row>
    <row r="63" spans="1:15" x14ac:dyDescent="0.3">
      <c r="M63" s="9"/>
      <c r="N63" s="9"/>
      <c r="O63" s="9"/>
    </row>
    <row r="64" spans="1:15" x14ac:dyDescent="0.3">
      <c r="C64" s="2" t="s">
        <v>9</v>
      </c>
      <c r="D64" s="3" t="s">
        <v>56</v>
      </c>
      <c r="E64" s="3">
        <f>0*100</f>
        <v>0</v>
      </c>
      <c r="F64" s="17">
        <v>427.921142578125</v>
      </c>
      <c r="G64" s="11">
        <v>0.64339569500000005</v>
      </c>
      <c r="H64" s="17">
        <f>AVERAGE(F64:F68)</f>
        <v>427.14308929443348</v>
      </c>
      <c r="I64" s="18">
        <f>MAX($F$64:$F$68)-$H64</f>
        <v>0.77933502197254256</v>
      </c>
      <c r="J64" s="18">
        <f>ABS(MIN($F$64:$F$68)-$H64)</f>
        <v>1.8855514526364914</v>
      </c>
      <c r="K64" s="3">
        <f>1/(2*PI())*$O$6*1/($P$6/1000)*SQRT(200000000000*C11/7800)</f>
        <v>496.51720652140455</v>
      </c>
      <c r="L64" s="24">
        <f>H64/K64</f>
        <v>0.86027852345137124</v>
      </c>
      <c r="M64" s="9"/>
      <c r="N64" s="9"/>
      <c r="O64" s="9"/>
    </row>
    <row r="65" spans="3:12" x14ac:dyDescent="0.3">
      <c r="C65" s="2" t="s">
        <v>3</v>
      </c>
      <c r="D65" s="3">
        <v>5</v>
      </c>
      <c r="E65" s="3">
        <f t="shared" ref="E65:E66" si="14">0*100</f>
        <v>0</v>
      </c>
      <c r="F65" s="3">
        <v>427.92242431640602</v>
      </c>
      <c r="G65" s="11">
        <v>0.60936364666666698</v>
      </c>
      <c r="H65" s="3"/>
      <c r="I65" s="6"/>
      <c r="J65" s="6"/>
      <c r="K65" s="3"/>
    </row>
    <row r="66" spans="3:12" x14ac:dyDescent="0.3">
      <c r="C66" s="2" t="s">
        <v>2</v>
      </c>
      <c r="D66" s="3">
        <f>2*D65*$B$5+$B$5</f>
        <v>673.60967926537444</v>
      </c>
      <c r="E66" s="3">
        <f t="shared" si="14"/>
        <v>0</v>
      </c>
      <c r="F66" s="3">
        <v>427.47125244140602</v>
      </c>
      <c r="G66" s="11">
        <v>1.2195582816666699</v>
      </c>
      <c r="H66" s="3"/>
      <c r="I66" s="6"/>
      <c r="J66" s="6"/>
      <c r="K66" s="3"/>
    </row>
    <row r="67" spans="3:12" x14ac:dyDescent="0.3">
      <c r="C67" s="2" t="s">
        <v>21</v>
      </c>
      <c r="D67" s="3">
        <f>SUM(G64:G93)</f>
        <v>45.605214166666677</v>
      </c>
      <c r="E67" s="7">
        <v>0</v>
      </c>
      <c r="F67">
        <v>425.25753784179699</v>
      </c>
      <c r="G67" s="11">
        <v>1.20535392166667</v>
      </c>
      <c r="I67" s="11"/>
      <c r="J67" s="11"/>
    </row>
    <row r="68" spans="3:12" x14ac:dyDescent="0.3">
      <c r="C68" s="3"/>
      <c r="D68" s="3"/>
      <c r="E68" s="7">
        <v>0</v>
      </c>
      <c r="I68" s="11"/>
      <c r="J68" s="11"/>
    </row>
    <row r="69" spans="3:12" x14ac:dyDescent="0.3">
      <c r="C69" s="3"/>
      <c r="D69" s="3"/>
      <c r="E69" s="3">
        <f>0.01*100</f>
        <v>1</v>
      </c>
      <c r="F69" s="17">
        <v>309.00970458984301</v>
      </c>
      <c r="G69" s="11">
        <v>2.6345967099999998</v>
      </c>
      <c r="H69" s="3">
        <f>AVERAGE(F69:F73)</f>
        <v>308.77671813964827</v>
      </c>
      <c r="I69" s="18">
        <f>MAX($F$69:$F$73)-$H69</f>
        <v>2.5584564208987217</v>
      </c>
      <c r="J69" s="18">
        <f>ABS(MIN($F$69:$F$73)-$H69)</f>
        <v>2.7115020751952557</v>
      </c>
      <c r="K69" s="3">
        <f>1/(2*PI())*$O$6*1/($P$6/1000)*SQRT(200000000000*C12/7800)</f>
        <v>228.93612357483755</v>
      </c>
      <c r="L69" s="24">
        <f>H69/K69</f>
        <v>1.3487461625456911</v>
      </c>
    </row>
    <row r="70" spans="3:12" x14ac:dyDescent="0.3">
      <c r="C70" s="3"/>
      <c r="D70" s="3"/>
      <c r="E70" s="3">
        <f t="shared" ref="E70:E71" si="15">0.01*100</f>
        <v>1</v>
      </c>
      <c r="F70" s="6">
        <v>308.69677734375</v>
      </c>
      <c r="G70" s="11">
        <v>2.6721236766666698</v>
      </c>
      <c r="H70" s="3"/>
      <c r="I70" s="6"/>
      <c r="J70" s="6"/>
      <c r="K70" s="3"/>
    </row>
    <row r="71" spans="3:12" x14ac:dyDescent="0.3">
      <c r="C71" s="3"/>
      <c r="D71" s="3"/>
      <c r="E71" s="3">
        <f t="shared" si="15"/>
        <v>1</v>
      </c>
      <c r="F71" s="3">
        <v>306.06521606445301</v>
      </c>
      <c r="G71" s="11">
        <v>2.6071853383333301</v>
      </c>
      <c r="H71" s="3"/>
      <c r="I71" s="6"/>
      <c r="J71" s="6"/>
      <c r="K71" s="3"/>
    </row>
    <row r="72" spans="3:12" x14ac:dyDescent="0.3">
      <c r="C72" s="3"/>
      <c r="D72" s="3"/>
      <c r="E72" s="7">
        <v>1</v>
      </c>
      <c r="F72">
        <v>311.33517456054699</v>
      </c>
      <c r="G72" s="11">
        <v>2.59756002333333</v>
      </c>
      <c r="I72" s="11"/>
      <c r="J72" s="11"/>
    </row>
    <row r="73" spans="3:12" x14ac:dyDescent="0.3">
      <c r="C73" s="3"/>
      <c r="E73" s="7">
        <v>1</v>
      </c>
      <c r="F73" s="25"/>
      <c r="G73" s="25"/>
      <c r="I73" s="11"/>
      <c r="J73" s="11"/>
    </row>
    <row r="74" spans="3:12" x14ac:dyDescent="0.3">
      <c r="C74" s="3"/>
      <c r="D74" s="3"/>
      <c r="E74" s="3">
        <f>0.02*100</f>
        <v>2</v>
      </c>
      <c r="F74" s="17">
        <v>208.17068481445301</v>
      </c>
      <c r="G74" s="11">
        <v>2.7653068699999999</v>
      </c>
      <c r="H74" s="3">
        <f>AVERAGE(F74:F78)</f>
        <v>206.52882003784202</v>
      </c>
      <c r="I74" s="18">
        <f>MAX($F$74:$F$78)-$H74</f>
        <v>1.6418647766109871</v>
      </c>
      <c r="J74" s="18">
        <f>ABS(MIN($F$74:$F$78)-$H74)</f>
        <v>0.83314132690401266</v>
      </c>
      <c r="K74" s="3">
        <f>1/(2*PI())*$O$6*1/($P$6/1000)*SQRT(200000000000*C13/7800)</f>
        <v>124.85393885228449</v>
      </c>
      <c r="L74" s="24">
        <f>H74/K74</f>
        <v>1.6541634323782739</v>
      </c>
    </row>
    <row r="75" spans="3:12" x14ac:dyDescent="0.3">
      <c r="C75" s="3"/>
      <c r="D75" s="3"/>
      <c r="E75" s="3">
        <f t="shared" ref="E75:E76" si="16">0.02*100</f>
        <v>2</v>
      </c>
      <c r="F75" s="3">
        <v>205.90327453613301</v>
      </c>
      <c r="G75" s="11">
        <v>2.64061909333333</v>
      </c>
      <c r="H75" s="3"/>
      <c r="I75" s="6"/>
      <c r="J75" s="6"/>
      <c r="K75" s="3"/>
    </row>
    <row r="76" spans="3:12" x14ac:dyDescent="0.3">
      <c r="C76" s="3"/>
      <c r="D76" s="3"/>
      <c r="E76" s="3">
        <f t="shared" si="16"/>
        <v>2</v>
      </c>
      <c r="F76" s="3">
        <v>206.34564208984401</v>
      </c>
      <c r="G76" s="11">
        <v>2.7178354150000001</v>
      </c>
      <c r="H76" s="3"/>
      <c r="I76" s="6"/>
      <c r="J76" s="6"/>
      <c r="K76" s="3"/>
    </row>
    <row r="77" spans="3:12" x14ac:dyDescent="0.3">
      <c r="C77" s="3"/>
      <c r="D77" s="3"/>
      <c r="E77" s="7">
        <v>2</v>
      </c>
      <c r="F77">
        <v>205.69567871093801</v>
      </c>
      <c r="G77" s="11">
        <v>2.779323035</v>
      </c>
      <c r="I77" s="11"/>
      <c r="J77" s="11"/>
    </row>
    <row r="78" spans="3:12" x14ac:dyDescent="0.3">
      <c r="C78" s="3"/>
      <c r="D78" s="3"/>
      <c r="E78" s="7">
        <v>2</v>
      </c>
      <c r="I78" s="11"/>
      <c r="J78" s="11"/>
    </row>
    <row r="79" spans="3:12" x14ac:dyDescent="0.3">
      <c r="C79" s="3"/>
      <c r="D79" s="3"/>
      <c r="E79" s="3">
        <f>0.03*100</f>
        <v>3</v>
      </c>
      <c r="F79" s="6">
        <v>148.78439331054699</v>
      </c>
      <c r="G79" s="11">
        <v>2.1671391849999999</v>
      </c>
      <c r="H79" s="3">
        <f>AVERAGE(F79:F83)</f>
        <v>147.88595072428399</v>
      </c>
      <c r="I79" s="18">
        <f>MAX($F$79:$F$83)-$H79</f>
        <v>0.93161519368501899</v>
      </c>
      <c r="J79" s="18">
        <f>ABS(MIN($F$79:$F$83)-$H79)</f>
        <v>1.8300577799479925</v>
      </c>
      <c r="K79" s="3">
        <f>1/(2*PI())*$O$6*1/($P$6/1000)*SQRT(200000000000*C14/7800)</f>
        <v>84.737631002507101</v>
      </c>
      <c r="L79" s="24">
        <f>H79/K79</f>
        <v>1.7452216798450331</v>
      </c>
    </row>
    <row r="80" spans="3:12" x14ac:dyDescent="0.3">
      <c r="C80" s="3"/>
      <c r="D80" s="3"/>
      <c r="E80" s="3">
        <f t="shared" ref="E80:E81" si="17">0.03*100</f>
        <v>3</v>
      </c>
      <c r="F80" s="6">
        <v>148.81756591796901</v>
      </c>
      <c r="G80" s="11">
        <v>2.1985210716666699</v>
      </c>
      <c r="H80" s="6"/>
      <c r="I80" s="6"/>
      <c r="J80" s="6"/>
      <c r="K80" s="6"/>
    </row>
    <row r="81" spans="3:13" x14ac:dyDescent="0.3">
      <c r="C81" s="3"/>
      <c r="D81" s="3"/>
      <c r="E81" s="3">
        <f t="shared" si="17"/>
        <v>3</v>
      </c>
      <c r="F81" s="6">
        <v>146.05589294433599</v>
      </c>
      <c r="G81" s="11">
        <v>2.2593076866666699</v>
      </c>
      <c r="H81" s="6"/>
      <c r="I81" s="6"/>
      <c r="J81" s="6"/>
      <c r="K81" s="6"/>
    </row>
    <row r="82" spans="3:13" x14ac:dyDescent="0.3">
      <c r="E82" s="7">
        <v>3</v>
      </c>
      <c r="I82" s="11"/>
      <c r="J82" s="11"/>
    </row>
    <row r="83" spans="3:13" x14ac:dyDescent="0.3">
      <c r="E83" s="7">
        <v>3</v>
      </c>
      <c r="I83" s="11"/>
      <c r="J83" s="11"/>
    </row>
    <row r="84" spans="3:13" x14ac:dyDescent="0.3">
      <c r="E84" s="3">
        <v>4</v>
      </c>
      <c r="F84" s="3">
        <v>114.34372711181599</v>
      </c>
      <c r="G84" s="11">
        <v>1.56886556666667</v>
      </c>
      <c r="H84" s="3">
        <f>AVERAGE(F84:F88)</f>
        <v>114.107955932617</v>
      </c>
      <c r="I84" s="18">
        <f>MAX($F$84:$F$88)-$H84</f>
        <v>0.23577117919899138</v>
      </c>
      <c r="J84" s="18">
        <f>ABS(MIN($F$84:$F$88)-$H84)</f>
        <v>0.22988128662100848</v>
      </c>
      <c r="K84" s="3">
        <f>1/(2*PI())*$O$6*1/($P$6/1000)*SQRT(200000000000*C15/7800)</f>
        <v>63.962055064223712</v>
      </c>
      <c r="L84" s="24">
        <f>H84/K84</f>
        <v>1.7839945232848171</v>
      </c>
    </row>
    <row r="85" spans="3:13" x14ac:dyDescent="0.3">
      <c r="C85" s="3"/>
      <c r="D85" s="3"/>
      <c r="E85" s="3">
        <v>4</v>
      </c>
      <c r="F85" s="18">
        <v>113.87807464599599</v>
      </c>
      <c r="G85" s="11">
        <v>1.5629368083333299</v>
      </c>
      <c r="H85" s="6"/>
      <c r="I85" s="6"/>
      <c r="J85" s="6"/>
      <c r="K85" s="6"/>
    </row>
    <row r="86" spans="3:13" x14ac:dyDescent="0.3">
      <c r="C86" s="3"/>
      <c r="D86" s="3"/>
      <c r="E86" s="3">
        <v>4</v>
      </c>
      <c r="F86" s="29">
        <v>114.10206604003901</v>
      </c>
      <c r="G86" s="27">
        <v>1.52222697</v>
      </c>
      <c r="H86" s="3"/>
      <c r="I86" s="6"/>
      <c r="J86" s="6"/>
      <c r="K86" s="3"/>
      <c r="M86" s="30" t="s">
        <v>71</v>
      </c>
    </row>
    <row r="87" spans="3:13" x14ac:dyDescent="0.3">
      <c r="C87" s="3"/>
      <c r="D87" s="3"/>
      <c r="E87" s="7">
        <v>4</v>
      </c>
      <c r="I87" s="11"/>
      <c r="J87" s="11"/>
    </row>
    <row r="88" spans="3:13" x14ac:dyDescent="0.3">
      <c r="C88" s="3"/>
      <c r="D88" s="3"/>
      <c r="E88" s="7">
        <v>4</v>
      </c>
      <c r="I88" s="11"/>
      <c r="J88" s="11"/>
    </row>
    <row r="89" spans="3:13" x14ac:dyDescent="0.3">
      <c r="C89" s="3"/>
      <c r="D89" s="3"/>
      <c r="E89" s="3">
        <v>5</v>
      </c>
      <c r="F89" s="18">
        <v>93.275306701660099</v>
      </c>
      <c r="G89" s="11">
        <v>1.8801063849999999</v>
      </c>
      <c r="H89" s="18">
        <f>AVERAGE(F89:F93)</f>
        <v>93.147918701171861</v>
      </c>
      <c r="I89" s="18">
        <f>MAX($F$89:$F$93)-$H89</f>
        <v>0.75711822509764204</v>
      </c>
      <c r="J89" s="18">
        <f>ABS(MIN($F$89:$F$93)-$H89)</f>
        <v>0.97151947021485796</v>
      </c>
      <c r="K89" s="3">
        <f>1/(2*PI())*$O$6*1/($P$6/1000)*SQRT(200000000000*C16/7800)</f>
        <v>51.323180813511797</v>
      </c>
      <c r="L89" s="24">
        <f>H89/K89</f>
        <v>1.8149287948390158</v>
      </c>
    </row>
    <row r="90" spans="3:13" x14ac:dyDescent="0.3">
      <c r="C90" s="3"/>
      <c r="D90" s="3"/>
      <c r="E90" s="3">
        <v>5</v>
      </c>
      <c r="F90" s="3">
        <v>92.176399230957003</v>
      </c>
      <c r="G90" s="11">
        <v>1.8372720516666701</v>
      </c>
      <c r="H90" s="3"/>
      <c r="I90" s="6"/>
      <c r="J90" s="6"/>
      <c r="K90" s="3"/>
    </row>
    <row r="91" spans="3:13" x14ac:dyDescent="0.3">
      <c r="C91" s="3"/>
      <c r="D91" s="3"/>
      <c r="E91" s="3">
        <v>5</v>
      </c>
      <c r="F91" s="6">
        <v>93.905036926269503</v>
      </c>
      <c r="G91" s="11">
        <v>1.79373068666667</v>
      </c>
      <c r="H91" s="3"/>
      <c r="I91" s="6"/>
      <c r="J91" s="6"/>
      <c r="K91" s="3"/>
    </row>
    <row r="92" spans="3:13" x14ac:dyDescent="0.3">
      <c r="C92" s="3"/>
      <c r="D92" s="3"/>
      <c r="E92" s="3">
        <v>5</v>
      </c>
      <c r="F92" s="6">
        <v>93.071434020996094</v>
      </c>
      <c r="G92" s="11">
        <v>1.8419233450000001</v>
      </c>
      <c r="H92" s="3"/>
      <c r="I92" s="6"/>
      <c r="J92" s="6"/>
      <c r="K92" s="3"/>
    </row>
    <row r="93" spans="3:13" x14ac:dyDescent="0.3">
      <c r="C93" s="3"/>
      <c r="D93" s="3"/>
      <c r="E93" s="3">
        <v>5</v>
      </c>
      <c r="F93" s="6">
        <v>93.311416625976605</v>
      </c>
      <c r="G93" s="11">
        <v>1.88096270333333</v>
      </c>
      <c r="H93" s="3"/>
      <c r="I93" s="6"/>
      <c r="J93" s="6"/>
      <c r="K93" s="3"/>
    </row>
    <row r="94" spans="3:13" x14ac:dyDescent="0.3">
      <c r="C94" s="3"/>
      <c r="D94" s="3"/>
      <c r="E94" s="3"/>
      <c r="F94" s="6"/>
      <c r="H94" s="6"/>
      <c r="I94" s="19"/>
      <c r="J94" s="19"/>
      <c r="K94" s="6"/>
    </row>
    <row r="95" spans="3:13" x14ac:dyDescent="0.3">
      <c r="C95" s="2" t="s">
        <v>9</v>
      </c>
      <c r="D95" s="3" t="s">
        <v>57</v>
      </c>
      <c r="E95" s="3">
        <f>0*100</f>
        <v>0</v>
      </c>
      <c r="F95" s="18">
        <v>137.33334350585901</v>
      </c>
      <c r="G95" s="11">
        <v>1.5655693016666701</v>
      </c>
      <c r="H95" s="17">
        <f>AVERAGE(F95:F99)</f>
        <v>137.34794921874999</v>
      </c>
      <c r="I95" s="18">
        <f>MAX($F$95:$F$99)-$H95</f>
        <v>0.18491821289100585</v>
      </c>
      <c r="J95" s="18">
        <f>ABS(MIN($F$95:$F$99)-$H95)</f>
        <v>0.36148376464799981</v>
      </c>
      <c r="K95" s="3">
        <f>1/(2*PI())*$O$11*1/($P$11/1000)*SQRT(200000000000*C11/7800)</f>
        <v>147.1953321418259</v>
      </c>
      <c r="L95" s="24">
        <f>H95/K95</f>
        <v>0.93309989671691662</v>
      </c>
    </row>
    <row r="96" spans="3:13" x14ac:dyDescent="0.3">
      <c r="C96" s="2" t="s">
        <v>3</v>
      </c>
      <c r="D96" s="3">
        <v>10</v>
      </c>
      <c r="E96" s="3">
        <f t="shared" ref="E96:E97" si="18">0*100</f>
        <v>0</v>
      </c>
      <c r="F96" s="6">
        <v>136.98646545410199</v>
      </c>
      <c r="G96" s="11">
        <v>1.4003732116666701</v>
      </c>
      <c r="H96" s="3"/>
      <c r="I96" s="6"/>
      <c r="J96" s="6"/>
      <c r="K96" s="3"/>
    </row>
    <row r="97" spans="3:12" x14ac:dyDescent="0.3">
      <c r="C97" s="2" t="s">
        <v>2</v>
      </c>
      <c r="D97" s="3">
        <f>2*D96*$B$5+$B$5</f>
        <v>1285.9821149611694</v>
      </c>
      <c r="E97" s="3">
        <f t="shared" si="18"/>
        <v>0</v>
      </c>
      <c r="F97" s="6">
        <v>137.53286743164099</v>
      </c>
      <c r="G97" s="11">
        <v>1.406469685</v>
      </c>
      <c r="H97" s="3"/>
      <c r="I97" s="6"/>
      <c r="J97" s="6"/>
      <c r="K97" s="3"/>
    </row>
    <row r="98" spans="3:12" x14ac:dyDescent="0.3">
      <c r="C98" s="2" t="s">
        <v>21</v>
      </c>
      <c r="D98" s="3">
        <f>SUM(G95:G124)</f>
        <v>267.42381175333327</v>
      </c>
      <c r="E98" s="7">
        <v>0</v>
      </c>
      <c r="F98" s="11">
        <v>137.44442749023401</v>
      </c>
      <c r="G98" s="11">
        <v>1.702162585</v>
      </c>
      <c r="I98" s="11"/>
      <c r="J98" s="11"/>
    </row>
    <row r="99" spans="3:12" x14ac:dyDescent="0.3">
      <c r="C99" s="3"/>
      <c r="D99" s="3"/>
      <c r="E99" s="7">
        <v>0</v>
      </c>
      <c r="F99" s="11">
        <v>137.44264221191401</v>
      </c>
      <c r="G99" s="11">
        <v>1.37554374166667</v>
      </c>
      <c r="I99" s="11"/>
      <c r="J99" s="11"/>
    </row>
    <row r="100" spans="3:12" x14ac:dyDescent="0.3">
      <c r="C100" s="3"/>
      <c r="D100" s="3"/>
      <c r="E100" s="3">
        <f>0.01*100</f>
        <v>1</v>
      </c>
      <c r="F100" s="6">
        <v>99.439895629882798</v>
      </c>
      <c r="G100" s="11">
        <v>25.00762237</v>
      </c>
      <c r="H100" s="3">
        <f>AVERAGE(F100:F104)</f>
        <v>99.475704956054713</v>
      </c>
      <c r="I100" s="18">
        <f>MAX($F$100:$F$104)-$H100</f>
        <v>0.24333496093748863</v>
      </c>
      <c r="J100" s="18">
        <f>ABS(MIN($F$100:$F$104)-$H100)</f>
        <v>0.20322875976560795</v>
      </c>
      <c r="K100" s="3">
        <f>1/(2*PI())*$O$11*1/($P$11/1000)*SQRT(200000000000*C12/7800)</f>
        <v>67.869407759200385</v>
      </c>
      <c r="L100" s="24">
        <f>H100/K100</f>
        <v>1.4656928392390425</v>
      </c>
    </row>
    <row r="101" spans="3:12" x14ac:dyDescent="0.3">
      <c r="C101" s="3"/>
      <c r="D101" s="3"/>
      <c r="E101" s="3">
        <f t="shared" ref="E101:E102" si="19">0.01*100</f>
        <v>1</v>
      </c>
      <c r="F101" s="6">
        <v>99.272476196289105</v>
      </c>
      <c r="G101" s="11">
        <v>24.598902089999999</v>
      </c>
      <c r="H101" s="3"/>
      <c r="I101" s="6"/>
      <c r="J101" s="6"/>
      <c r="K101" s="3"/>
    </row>
    <row r="102" spans="3:12" x14ac:dyDescent="0.3">
      <c r="C102" s="3"/>
      <c r="D102" s="3"/>
      <c r="E102" s="3">
        <f t="shared" si="19"/>
        <v>1</v>
      </c>
      <c r="F102" s="6">
        <v>99.399475097656307</v>
      </c>
      <c r="G102" s="11">
        <v>24.400395540000002</v>
      </c>
      <c r="H102" s="3"/>
      <c r="I102" s="6"/>
      <c r="J102" s="6"/>
      <c r="K102" s="3"/>
    </row>
    <row r="103" spans="3:12" x14ac:dyDescent="0.3">
      <c r="C103" s="3"/>
      <c r="D103" s="3"/>
      <c r="E103" s="7">
        <v>1</v>
      </c>
      <c r="F103" s="11">
        <v>99.547637939453097</v>
      </c>
      <c r="G103" s="11">
        <v>15.135635576666701</v>
      </c>
      <c r="I103" s="11"/>
      <c r="J103" s="11"/>
    </row>
    <row r="104" spans="3:12" x14ac:dyDescent="0.3">
      <c r="C104" s="3"/>
      <c r="E104" s="7">
        <v>1</v>
      </c>
      <c r="F104" s="11">
        <v>99.719039916992202</v>
      </c>
      <c r="G104" s="11">
        <v>11.2796419416667</v>
      </c>
      <c r="I104" s="11"/>
      <c r="J104" s="11"/>
    </row>
    <row r="105" spans="3:12" x14ac:dyDescent="0.3">
      <c r="C105" s="3"/>
      <c r="D105" s="3"/>
      <c r="E105" s="3">
        <f>0.02*100</f>
        <v>2</v>
      </c>
      <c r="F105" s="6">
        <v>64.607551574707003</v>
      </c>
      <c r="G105" s="11">
        <v>11.0968677633333</v>
      </c>
      <c r="H105" s="3">
        <f>AVERAGE(F105:F109)</f>
        <v>64.609182739257818</v>
      </c>
      <c r="I105" s="18">
        <f>MAX($F$105:$F$109)-$H105</f>
        <v>0.1522079467773807</v>
      </c>
      <c r="J105" s="18">
        <f>ABS(MIN($F$105:$F$109)-$H105)</f>
        <v>0.18253936767581536</v>
      </c>
      <c r="K105" s="3">
        <f>1/(2*PI())*$O$11*1/($P$11/1000)*SQRT(200000000000*C13/7800)</f>
        <v>37.013655835480044</v>
      </c>
      <c r="L105" s="24">
        <f>H105/K105</f>
        <v>1.7455498864104537</v>
      </c>
    </row>
    <row r="106" spans="3:12" x14ac:dyDescent="0.3">
      <c r="C106" s="3"/>
      <c r="D106" s="3"/>
      <c r="E106" s="3">
        <f t="shared" ref="E106:E107" si="20">0.02*100</f>
        <v>2</v>
      </c>
      <c r="F106" s="6">
        <v>64.704895019531307</v>
      </c>
      <c r="G106" s="11">
        <v>10.998472513333301</v>
      </c>
      <c r="H106" s="3"/>
      <c r="I106" s="6"/>
      <c r="J106" s="6"/>
      <c r="K106" s="3"/>
    </row>
    <row r="107" spans="3:12" x14ac:dyDescent="0.3">
      <c r="C107" s="3"/>
      <c r="D107" s="3"/>
      <c r="E107" s="3">
        <f t="shared" si="20"/>
        <v>2</v>
      </c>
      <c r="F107" s="6">
        <v>64.426643371582003</v>
      </c>
      <c r="G107" s="11">
        <v>10.992820235</v>
      </c>
      <c r="H107" s="3"/>
      <c r="I107" s="6"/>
      <c r="J107" s="6"/>
      <c r="K107" s="3"/>
    </row>
    <row r="108" spans="3:12" x14ac:dyDescent="0.3">
      <c r="C108" s="3"/>
      <c r="D108" s="3"/>
      <c r="E108" s="7">
        <v>2</v>
      </c>
      <c r="F108" s="11">
        <v>64.545433044433594</v>
      </c>
      <c r="G108" s="11">
        <v>11.066223276666699</v>
      </c>
      <c r="I108" s="11"/>
      <c r="J108" s="11"/>
    </row>
    <row r="109" spans="3:12" x14ac:dyDescent="0.3">
      <c r="C109" s="3"/>
      <c r="D109" s="3"/>
      <c r="E109" s="7">
        <v>2</v>
      </c>
      <c r="F109" s="11">
        <v>64.761390686035199</v>
      </c>
      <c r="G109" s="11">
        <v>11.360487395</v>
      </c>
      <c r="I109" s="11"/>
      <c r="J109" s="11"/>
    </row>
    <row r="110" spans="3:12" x14ac:dyDescent="0.3">
      <c r="C110" s="3"/>
      <c r="D110" s="3"/>
      <c r="E110" s="3">
        <f>0.03*100</f>
        <v>3</v>
      </c>
      <c r="F110" s="6">
        <v>45.980545043945298</v>
      </c>
      <c r="G110" s="11">
        <v>11.3756081816666</v>
      </c>
      <c r="H110" s="3">
        <f>AVERAGE(F110:F114)</f>
        <v>46.001617431640632</v>
      </c>
      <c r="I110" s="18">
        <f>MAX($F$110:$F$114)-$H110</f>
        <v>5.3836822509765625E-2</v>
      </c>
      <c r="J110" s="18">
        <f>ABS(MIN($F$110:$F$114)-$H110)</f>
        <v>3.2764434814431809E-2</v>
      </c>
      <c r="K110" s="3">
        <f>1/(2*PI())*$O$11*1/($P$11/1000)*SQRT(200000000000*C14/7800)</f>
        <v>25.12094963981437</v>
      </c>
      <c r="L110" s="24">
        <f>H110/K110</f>
        <v>1.8312053521548541</v>
      </c>
    </row>
    <row r="111" spans="3:12" x14ac:dyDescent="0.3">
      <c r="C111" s="3"/>
      <c r="D111" s="3"/>
      <c r="E111" s="3">
        <f t="shared" ref="E111:E112" si="21">0.03*100</f>
        <v>3</v>
      </c>
      <c r="F111" s="6">
        <v>45.9688529968262</v>
      </c>
      <c r="G111" s="11">
        <v>11.382847095000001</v>
      </c>
      <c r="H111" s="6"/>
      <c r="I111" s="6"/>
      <c r="J111" s="6"/>
      <c r="K111" s="6"/>
    </row>
    <row r="112" spans="3:12" x14ac:dyDescent="0.3">
      <c r="C112" s="3"/>
      <c r="D112" s="3"/>
      <c r="E112" s="3">
        <f t="shared" si="21"/>
        <v>3</v>
      </c>
      <c r="F112" s="6">
        <v>46.055454254150398</v>
      </c>
      <c r="G112" s="11">
        <v>11.4678078866667</v>
      </c>
      <c r="H112" s="6"/>
      <c r="I112" s="6"/>
      <c r="J112" s="6"/>
      <c r="K112" s="6"/>
    </row>
    <row r="113" spans="3:12" x14ac:dyDescent="0.3">
      <c r="E113" s="7">
        <v>3</v>
      </c>
      <c r="F113" s="25"/>
      <c r="G113" s="25"/>
      <c r="I113" s="11"/>
      <c r="J113" s="11"/>
    </row>
    <row r="114" spans="3:12" x14ac:dyDescent="0.3">
      <c r="E114" s="7">
        <v>3</v>
      </c>
      <c r="F114" s="25"/>
      <c r="G114" s="25"/>
      <c r="I114" s="11"/>
      <c r="J114" s="11"/>
    </row>
    <row r="115" spans="3:12" x14ac:dyDescent="0.3">
      <c r="E115" s="3">
        <v>4</v>
      </c>
      <c r="F115" s="6">
        <v>35.4402046203613</v>
      </c>
      <c r="G115" s="11">
        <v>11.422164499999999</v>
      </c>
      <c r="H115" s="3">
        <f>AVERAGE(F115:F119)</f>
        <v>35.528291066487604</v>
      </c>
      <c r="I115" s="18">
        <f>MAX($F$115:$F$119)-$H115</f>
        <v>0.10538355509439867</v>
      </c>
      <c r="J115" s="18">
        <f>ABS(MIN($F$115:$F$119)-$H115)</f>
        <v>8.8086446126304452E-2</v>
      </c>
      <c r="K115" s="3">
        <f>1/(2*PI())*$O$11*1/($P$11/1000)*SQRT(200000000000*C15/7800)</f>
        <v>18.961912731308932</v>
      </c>
      <c r="L115" s="24">
        <f>H115/K115</f>
        <v>1.8736659940336675</v>
      </c>
    </row>
    <row r="116" spans="3:12" x14ac:dyDescent="0.3">
      <c r="C116" s="3"/>
      <c r="D116" s="3"/>
      <c r="E116" s="3">
        <v>4</v>
      </c>
      <c r="F116" s="18">
        <v>35.633674621582003</v>
      </c>
      <c r="G116" s="11">
        <v>11.4421029233333</v>
      </c>
      <c r="H116" s="6"/>
      <c r="I116" s="6"/>
      <c r="J116" s="6"/>
      <c r="K116" s="6"/>
    </row>
    <row r="117" spans="3:12" x14ac:dyDescent="0.3">
      <c r="C117" s="3"/>
      <c r="D117" s="3"/>
      <c r="E117" s="3">
        <v>4</v>
      </c>
      <c r="F117" s="6">
        <v>35.510993957519503</v>
      </c>
      <c r="G117" s="11">
        <v>12.182826906666699</v>
      </c>
      <c r="H117" s="3"/>
      <c r="I117" s="6"/>
      <c r="J117" s="6"/>
      <c r="K117" s="3"/>
    </row>
    <row r="118" spans="3:12" x14ac:dyDescent="0.3">
      <c r="C118" s="3"/>
      <c r="D118" s="3"/>
      <c r="E118" s="7">
        <v>4</v>
      </c>
      <c r="I118" s="11"/>
      <c r="J118" s="11"/>
    </row>
    <row r="119" spans="3:12" x14ac:dyDescent="0.3">
      <c r="C119" s="3"/>
      <c r="D119" s="3"/>
      <c r="E119" s="7">
        <v>4</v>
      </c>
      <c r="I119" s="11"/>
      <c r="J119" s="11"/>
    </row>
    <row r="120" spans="3:12" x14ac:dyDescent="0.3">
      <c r="C120" s="3"/>
      <c r="D120" s="3"/>
      <c r="E120" s="3">
        <v>5</v>
      </c>
      <c r="F120" s="18">
        <v>28.56298828125</v>
      </c>
      <c r="G120" s="11">
        <v>11.47212006</v>
      </c>
      <c r="H120" s="18">
        <f>AVERAGE(F120:F124)</f>
        <v>28.696551005045563</v>
      </c>
      <c r="I120" s="18">
        <f>MAX($F$120:$F$124)-$H120</f>
        <v>6.8312962849937264E-2</v>
      </c>
      <c r="J120" s="18">
        <f>ABS(MIN($F$120:$F$124)-$H120)</f>
        <v>0.13356272379556344</v>
      </c>
      <c r="K120" s="3">
        <f>1/(2*PI())*$O$11*1/($P$11/1000)*SQRT(200000000000*C16/7800)</f>
        <v>15.215047025956761</v>
      </c>
      <c r="L120" s="24">
        <f>H120/K120</f>
        <v>1.8860639047706822</v>
      </c>
    </row>
    <row r="121" spans="3:12" x14ac:dyDescent="0.3">
      <c r="C121" s="3"/>
      <c r="D121" s="3"/>
      <c r="E121" s="3">
        <v>5</v>
      </c>
      <c r="F121" s="3">
        <v>28.7618007659912</v>
      </c>
      <c r="G121" s="11">
        <v>11.723416905000001</v>
      </c>
      <c r="H121" s="3"/>
      <c r="I121" s="3"/>
      <c r="J121" s="3"/>
      <c r="K121" s="3"/>
    </row>
    <row r="122" spans="3:12" x14ac:dyDescent="0.3">
      <c r="C122" s="3"/>
      <c r="D122" s="3"/>
      <c r="E122" s="3">
        <v>5</v>
      </c>
      <c r="F122" s="6">
        <v>28.764863967895501</v>
      </c>
      <c r="G122" s="11">
        <v>11.567730068333301</v>
      </c>
      <c r="H122" s="3"/>
      <c r="I122" s="3"/>
      <c r="J122" s="3"/>
      <c r="K122" s="3"/>
    </row>
    <row r="123" spans="3:12" x14ac:dyDescent="0.3">
      <c r="C123" s="3"/>
      <c r="D123" s="3"/>
      <c r="E123" s="3">
        <v>5</v>
      </c>
      <c r="F123" s="6"/>
      <c r="H123" s="3"/>
      <c r="I123" s="3"/>
      <c r="J123" s="3"/>
      <c r="K123" s="3"/>
    </row>
    <row r="124" spans="3:12" x14ac:dyDescent="0.3">
      <c r="C124" s="3"/>
      <c r="D124" s="3"/>
      <c r="E124" s="3">
        <v>5</v>
      </c>
      <c r="F124" s="6"/>
      <c r="H124" s="3"/>
      <c r="I124" s="3"/>
      <c r="J124" s="3"/>
      <c r="K124" s="3"/>
    </row>
    <row r="125" spans="3:12" x14ac:dyDescent="0.3">
      <c r="C125" s="3"/>
      <c r="D125" s="3"/>
      <c r="E125" s="3"/>
      <c r="F125" s="6"/>
      <c r="H125" s="3"/>
      <c r="I125" s="3"/>
      <c r="J125" s="3"/>
      <c r="K125" s="3"/>
    </row>
    <row r="126" spans="3:12" x14ac:dyDescent="0.3">
      <c r="C126" s="3"/>
      <c r="D126" s="3"/>
      <c r="E126" s="3"/>
      <c r="F126" s="6"/>
      <c r="H126" s="3"/>
      <c r="I126" s="3"/>
      <c r="J126" s="3"/>
      <c r="K126" s="3"/>
    </row>
    <row r="127" spans="3:12" x14ac:dyDescent="0.3">
      <c r="C127" s="3"/>
      <c r="D127" s="3"/>
      <c r="E127" s="3"/>
      <c r="F127" s="5"/>
      <c r="G127" s="16"/>
      <c r="H127" s="5"/>
      <c r="I127" s="5"/>
      <c r="J127" s="5"/>
      <c r="K127" s="5"/>
    </row>
    <row r="128" spans="3:12" x14ac:dyDescent="0.3">
      <c r="C128" s="3"/>
      <c r="D128" s="3"/>
      <c r="E128" s="3"/>
      <c r="F128" s="6"/>
      <c r="H128" s="3"/>
      <c r="I128" s="3"/>
      <c r="J128" s="3"/>
      <c r="K128" s="3"/>
    </row>
    <row r="129" spans="3:11" x14ac:dyDescent="0.3">
      <c r="C129" s="3"/>
      <c r="D129" s="3"/>
      <c r="E129" s="3"/>
      <c r="F129" s="6"/>
      <c r="H129" s="3"/>
      <c r="I129" s="3"/>
      <c r="J129" s="3"/>
      <c r="K129" s="3"/>
    </row>
    <row r="130" spans="3:11" x14ac:dyDescent="0.3">
      <c r="C130" s="3"/>
      <c r="D130" s="3"/>
      <c r="E130" s="3"/>
      <c r="F130" s="6"/>
      <c r="H130" s="6"/>
      <c r="I130" s="6"/>
      <c r="J130" s="6"/>
      <c r="K130" s="6"/>
    </row>
    <row r="131" spans="3:11" x14ac:dyDescent="0.3">
      <c r="C131" s="3"/>
      <c r="D131" s="3"/>
      <c r="E131" s="3"/>
      <c r="F131" s="6"/>
      <c r="H131" s="6"/>
      <c r="I131" s="6"/>
      <c r="J131" s="6"/>
      <c r="K131" s="6"/>
    </row>
    <row r="132" spans="3:11" x14ac:dyDescent="0.3">
      <c r="C132" s="3"/>
      <c r="D132" s="3"/>
      <c r="E132" s="3"/>
      <c r="F132" s="6"/>
      <c r="H132" s="3"/>
      <c r="I132" s="3"/>
      <c r="J132" s="3"/>
      <c r="K132" s="3"/>
    </row>
    <row r="133" spans="3:11" x14ac:dyDescent="0.3">
      <c r="C133" s="3"/>
      <c r="D133" s="3"/>
      <c r="E133" s="3"/>
      <c r="F133" s="6"/>
      <c r="H133" s="3"/>
      <c r="I133" s="3"/>
      <c r="J133" s="3"/>
      <c r="K133" s="3"/>
    </row>
    <row r="134" spans="3:11" x14ac:dyDescent="0.3">
      <c r="C134" s="3"/>
      <c r="D134" s="3"/>
      <c r="E134" s="3"/>
      <c r="F134" s="5"/>
      <c r="G134" s="16"/>
      <c r="H134" s="5"/>
      <c r="I134" s="5"/>
      <c r="J134" s="5"/>
      <c r="K134" s="5"/>
    </row>
    <row r="135" spans="3:11" x14ac:dyDescent="0.3">
      <c r="C135" s="3"/>
      <c r="D135" s="3"/>
      <c r="E135" s="3"/>
      <c r="F135" s="6"/>
      <c r="H135" s="6"/>
      <c r="I135" s="6"/>
      <c r="J135" s="6"/>
      <c r="K135" s="6"/>
    </row>
    <row r="136" spans="3:11" x14ac:dyDescent="0.3">
      <c r="C136" s="3"/>
      <c r="D136" s="3"/>
      <c r="E136" s="3"/>
      <c r="F136" s="6"/>
      <c r="H136" s="3"/>
      <c r="I136" s="3"/>
      <c r="J136" s="3"/>
      <c r="K136" s="3"/>
    </row>
    <row r="138" spans="3:11" x14ac:dyDescent="0.3">
      <c r="C138" s="2"/>
      <c r="D138" s="3"/>
      <c r="E138" s="3"/>
      <c r="F138" s="6"/>
      <c r="H138" s="6"/>
      <c r="I138" s="6"/>
      <c r="J138" s="6"/>
      <c r="K138" s="6"/>
    </row>
    <row r="139" spans="3:11" x14ac:dyDescent="0.3">
      <c r="C139" s="2"/>
      <c r="D139" s="3"/>
      <c r="E139" s="3"/>
      <c r="F139" s="6"/>
      <c r="H139" s="6"/>
      <c r="I139" s="6"/>
      <c r="J139" s="6"/>
      <c r="K139" s="6"/>
    </row>
    <row r="140" spans="3:11" x14ac:dyDescent="0.3">
      <c r="C140" s="2"/>
      <c r="D140" s="6"/>
      <c r="E140" s="3"/>
      <c r="F140" s="6"/>
      <c r="H140" s="6"/>
      <c r="I140" s="6"/>
      <c r="J140" s="6"/>
      <c r="K140" s="6"/>
    </row>
    <row r="141" spans="3:11" x14ac:dyDescent="0.3">
      <c r="C141" s="2"/>
      <c r="D141" s="3"/>
      <c r="E141" s="3"/>
      <c r="F141" s="6"/>
      <c r="H141" s="6"/>
      <c r="I141" s="6"/>
      <c r="J141" s="6"/>
      <c r="K141" s="6"/>
    </row>
    <row r="142" spans="3:11" x14ac:dyDescent="0.3">
      <c r="C142" s="3"/>
      <c r="D142" s="3"/>
      <c r="E142" s="3"/>
      <c r="F142" s="6"/>
      <c r="H142" s="6"/>
      <c r="I142" s="6"/>
      <c r="J142" s="6"/>
      <c r="K142" s="6"/>
    </row>
    <row r="143" spans="3:11" x14ac:dyDescent="0.3">
      <c r="C143" s="2"/>
      <c r="D143" s="3"/>
      <c r="E143" s="3"/>
      <c r="F143" s="6"/>
      <c r="H143" s="6"/>
      <c r="I143" s="6"/>
      <c r="J143" s="6"/>
      <c r="K143" s="6"/>
    </row>
    <row r="144" spans="3:11" x14ac:dyDescent="0.3">
      <c r="C144" s="2"/>
      <c r="D144" s="3"/>
      <c r="E144" s="3"/>
      <c r="F144" s="6"/>
      <c r="H144" s="6"/>
      <c r="I144" s="6"/>
      <c r="J144" s="6"/>
      <c r="K144" s="6"/>
    </row>
    <row r="145" spans="3:11" x14ac:dyDescent="0.3">
      <c r="C145" s="2"/>
      <c r="D145" s="6"/>
      <c r="E145" s="3"/>
      <c r="F145" s="6"/>
      <c r="H145" s="6"/>
      <c r="I145" s="6"/>
      <c r="J145" s="6"/>
      <c r="K145" s="6"/>
    </row>
    <row r="146" spans="3:11" x14ac:dyDescent="0.3">
      <c r="C146" s="2"/>
      <c r="D146" s="3"/>
      <c r="E146" s="3"/>
      <c r="F146" s="6"/>
      <c r="H146" s="6"/>
      <c r="I146" s="6"/>
      <c r="J146" s="6"/>
      <c r="K146" s="6"/>
    </row>
    <row r="147" spans="3:11" x14ac:dyDescent="0.3">
      <c r="C147" s="3"/>
      <c r="D147" s="3"/>
      <c r="E147" s="3"/>
      <c r="F147" s="6"/>
      <c r="H147" s="6"/>
      <c r="I147" s="6"/>
      <c r="J147" s="6"/>
      <c r="K147" s="6"/>
    </row>
    <row r="148" spans="3:11" x14ac:dyDescent="0.3">
      <c r="C148" s="19"/>
      <c r="D148" s="3"/>
      <c r="E148" s="3"/>
      <c r="F148" s="6"/>
      <c r="H148" s="6"/>
      <c r="I148" s="6"/>
      <c r="J148" s="6"/>
      <c r="K148" s="6"/>
    </row>
    <row r="149" spans="3:11" x14ac:dyDescent="0.3">
      <c r="C149" s="3"/>
      <c r="D149" s="3"/>
      <c r="E149" s="3"/>
      <c r="F149" s="6"/>
      <c r="H149" s="6"/>
      <c r="I149" s="6"/>
      <c r="J149" s="6"/>
      <c r="K149" s="6"/>
    </row>
    <row r="150" spans="3:11" x14ac:dyDescent="0.3">
      <c r="C150" s="3"/>
      <c r="D150" s="3"/>
      <c r="E150" s="3"/>
      <c r="F150" s="6"/>
      <c r="H150" s="6"/>
      <c r="I150" s="6"/>
      <c r="J150" s="6"/>
      <c r="K150" s="6"/>
    </row>
    <row r="151" spans="3:11" x14ac:dyDescent="0.3">
      <c r="C151" s="3"/>
      <c r="D151" s="3"/>
      <c r="E151" s="3"/>
      <c r="F151" s="6"/>
      <c r="H151" s="6"/>
      <c r="I151" s="6"/>
      <c r="J151" s="6"/>
      <c r="K151" s="6"/>
    </row>
    <row r="152" spans="3:11" x14ac:dyDescent="0.3">
      <c r="C152" s="3"/>
      <c r="D152" s="3"/>
      <c r="E152" s="3"/>
      <c r="F152" s="6"/>
      <c r="H152" s="6"/>
      <c r="I152" s="6"/>
      <c r="J152" s="6"/>
      <c r="K152" s="6"/>
    </row>
    <row r="153" spans="3:11" x14ac:dyDescent="0.3">
      <c r="C153" s="3"/>
      <c r="D153" s="3"/>
      <c r="E153" s="3"/>
      <c r="F153" s="6"/>
      <c r="H153" s="6"/>
      <c r="I153" s="6"/>
      <c r="J153" s="6"/>
      <c r="K153" s="6"/>
    </row>
    <row r="154" spans="3:11" x14ac:dyDescent="0.3">
      <c r="C154" s="3"/>
      <c r="D154" s="3"/>
      <c r="E154" s="3"/>
      <c r="F154" s="6"/>
      <c r="H154" s="6"/>
      <c r="I154" s="6"/>
      <c r="J154" s="6"/>
      <c r="K154" s="6"/>
    </row>
    <row r="155" spans="3:11" x14ac:dyDescent="0.3">
      <c r="C155" s="3"/>
      <c r="D155" s="3"/>
      <c r="E155" s="3"/>
      <c r="F155" s="6"/>
      <c r="H155" s="6"/>
      <c r="I155" s="6"/>
      <c r="J155" s="6"/>
      <c r="K155" s="6"/>
    </row>
    <row r="156" spans="3:11" x14ac:dyDescent="0.3">
      <c r="C156" s="3"/>
      <c r="D156" s="3"/>
      <c r="E156" s="3"/>
      <c r="F156" s="6"/>
      <c r="H156" s="6"/>
      <c r="I156" s="6"/>
      <c r="J156" s="6"/>
      <c r="K156" s="6"/>
    </row>
    <row r="157" spans="3:11" x14ac:dyDescent="0.3">
      <c r="C157" s="3"/>
      <c r="D157" s="3"/>
      <c r="E157" s="3"/>
      <c r="F157" s="6"/>
      <c r="H157" s="6"/>
      <c r="I157" s="6"/>
      <c r="J157" s="6"/>
      <c r="K157" s="6"/>
    </row>
    <row r="158" spans="3:11" x14ac:dyDescent="0.3">
      <c r="C158" s="3"/>
      <c r="D158" s="3"/>
      <c r="E158" s="3"/>
      <c r="F158" s="6"/>
      <c r="H158" s="6"/>
      <c r="I158" s="6"/>
      <c r="J158" s="6"/>
      <c r="K158" s="6"/>
    </row>
    <row r="159" spans="3:11" x14ac:dyDescent="0.3">
      <c r="C159" s="3"/>
      <c r="D159" s="3"/>
      <c r="E159" s="3"/>
      <c r="F159" s="6"/>
      <c r="H159" s="6"/>
      <c r="I159" s="6"/>
      <c r="J159" s="6"/>
      <c r="K159" s="6"/>
    </row>
    <row r="160" spans="3:11" x14ac:dyDescent="0.3">
      <c r="C160" s="3"/>
      <c r="D160" s="3"/>
      <c r="E160" s="3"/>
      <c r="F160" s="6"/>
      <c r="H160" s="6"/>
      <c r="I160" s="6"/>
      <c r="J160" s="6"/>
      <c r="K160" s="6"/>
    </row>
    <row r="161" spans="3:11" x14ac:dyDescent="0.3">
      <c r="C161" s="3"/>
      <c r="D161" s="3"/>
      <c r="E161" s="3"/>
      <c r="F161" s="6"/>
      <c r="H161" s="6"/>
      <c r="I161" s="6"/>
      <c r="J161" s="6"/>
      <c r="K161" s="6"/>
    </row>
    <row r="162" spans="3:11" x14ac:dyDescent="0.3">
      <c r="C162" s="3"/>
      <c r="D162" s="3"/>
      <c r="E162" s="3"/>
      <c r="F162" s="6"/>
      <c r="H162" s="6"/>
      <c r="I162" s="6"/>
      <c r="J162" s="6"/>
      <c r="K162" s="6"/>
    </row>
    <row r="163" spans="3:11" x14ac:dyDescent="0.3">
      <c r="C163" s="3"/>
      <c r="D163" s="3"/>
      <c r="E163" s="3"/>
      <c r="F163" s="6"/>
      <c r="H163" s="6"/>
      <c r="I163" s="6"/>
      <c r="J163" s="6"/>
      <c r="K163" s="6"/>
    </row>
    <row r="164" spans="3:11" x14ac:dyDescent="0.3">
      <c r="C164" s="3"/>
      <c r="D164" s="3"/>
      <c r="E164" s="3"/>
      <c r="F164" s="6"/>
      <c r="H164" s="6"/>
      <c r="I164" s="6"/>
      <c r="J164" s="6"/>
      <c r="K164" s="6"/>
    </row>
    <row r="165" spans="3:11" x14ac:dyDescent="0.3">
      <c r="C165" s="3"/>
      <c r="D165" s="3"/>
      <c r="E165" s="3"/>
      <c r="F165" s="6"/>
      <c r="H165" s="6"/>
      <c r="I165" s="6"/>
      <c r="J165" s="6"/>
      <c r="K165" s="6"/>
    </row>
    <row r="166" spans="3:11" x14ac:dyDescent="0.3">
      <c r="C166" s="3"/>
      <c r="D166" s="3"/>
      <c r="E166" s="3"/>
      <c r="F166" s="6"/>
      <c r="H166" s="6"/>
      <c r="I166" s="6"/>
      <c r="J166" s="6"/>
      <c r="K166" s="6"/>
    </row>
    <row r="167" spans="3:11" x14ac:dyDescent="0.3">
      <c r="C167" s="3"/>
      <c r="D167" s="3"/>
      <c r="E167" s="3"/>
      <c r="F167" s="6"/>
      <c r="H167" s="6"/>
      <c r="I167" s="6"/>
      <c r="J167" s="6"/>
      <c r="K167" s="6"/>
    </row>
    <row r="168" spans="3:11" x14ac:dyDescent="0.3">
      <c r="C168" s="3"/>
      <c r="D168" s="3"/>
      <c r="E168" s="3"/>
      <c r="F168" s="6"/>
      <c r="H168" s="6"/>
      <c r="I168" s="6"/>
      <c r="J168" s="6"/>
      <c r="K168" s="6"/>
    </row>
    <row r="169" spans="3:11" x14ac:dyDescent="0.3">
      <c r="C169" s="3"/>
      <c r="D169" s="3"/>
      <c r="E169" s="3"/>
      <c r="F169" s="6"/>
      <c r="H169" s="6"/>
      <c r="I169" s="6"/>
      <c r="J169" s="6"/>
      <c r="K169" s="6"/>
    </row>
    <row r="170" spans="3:11" x14ac:dyDescent="0.3">
      <c r="C170" s="3"/>
      <c r="D170" s="3"/>
      <c r="E170" s="3"/>
      <c r="F170" s="6"/>
      <c r="H170" s="6"/>
      <c r="I170" s="6"/>
      <c r="J170" s="6"/>
      <c r="K170" s="6"/>
    </row>
    <row r="171" spans="3:11" x14ac:dyDescent="0.3">
      <c r="E171" s="3"/>
      <c r="F171" s="6"/>
      <c r="H171" s="6"/>
      <c r="I171" s="6"/>
      <c r="J171" s="6"/>
      <c r="K171" s="6"/>
    </row>
    <row r="172" spans="3:11" x14ac:dyDescent="0.3">
      <c r="E172" s="3"/>
      <c r="F172" s="6"/>
      <c r="H172" s="6"/>
      <c r="I172" s="6"/>
      <c r="J172" s="6"/>
      <c r="K172" s="6"/>
    </row>
    <row r="173" spans="3:11" x14ac:dyDescent="0.3">
      <c r="E173" s="3"/>
      <c r="F173" s="6"/>
      <c r="H173" s="6"/>
      <c r="I173" s="6"/>
      <c r="J173" s="6"/>
      <c r="K173" s="6"/>
    </row>
    <row r="174" spans="3:11" x14ac:dyDescent="0.3">
      <c r="E174" s="3"/>
      <c r="F174" s="6"/>
      <c r="H174" s="6"/>
      <c r="I174" s="6"/>
      <c r="J174" s="6"/>
      <c r="K174" s="6"/>
    </row>
    <row r="175" spans="3:11" x14ac:dyDescent="0.3">
      <c r="E175" s="3"/>
      <c r="F175" s="6"/>
      <c r="H175" s="6"/>
      <c r="I175" s="6"/>
      <c r="J175" s="6"/>
      <c r="K175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WrmsPrms_vs_Nring_FINAL</vt:lpstr>
      <vt:lpstr>Frequency_vs_Dcurve_FINAL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</cp:lastModifiedBy>
  <dcterms:created xsi:type="dcterms:W3CDTF">2022-08-08T20:36:44Z</dcterms:created>
  <dcterms:modified xsi:type="dcterms:W3CDTF">2022-11-20T17:55:40Z</dcterms:modified>
</cp:coreProperties>
</file>