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<sst xmlns="http://schemas.openxmlformats.org/spreadsheetml/2006/main" count="26" uniqueCount="23">
  <si>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Current Emission schedule with 25 per Loki block reward (currently split 66/24/10)</t>
  </si>
  <si>
    <t>Reward per node</t>
  </si>
  <si>
    <t>Equil rewards</t>
  </si>
  <si>
    <t>LR</t>
  </si>
  <si>
    <t>Days</t>
  </si>
  <si>
    <t>Date</t>
  </si>
  <si>
    <t>Block Height</t>
  </si>
  <si>
    <t>LSR</t>
  </si>
  <si>
    <t>Current Emission</t>
  </si>
  <si>
    <t>Option 1 (28)</t>
  </si>
  <si>
    <t>Node Count</t>
  </si>
  <si>
    <t>Annual Rewards</t>
  </si>
  <si>
    <t>Circulating Supply*: 49,142,056 (Coinbase: 49,142,056 | Fees: 76,753 | Burn: 7,542) Loki as of block 586018.</t>
  </si>
  <si>
    <t>Blockswap Vault Nodes Exploration</t>
  </si>
  <si>
    <t>Annual block rewards</t>
  </si>
  <si>
    <t>Loki Value</t>
  </si>
  <si>
    <t>Staking Equillibrium</t>
  </si>
  <si>
    <t>Total Loki collateral</t>
  </si>
  <si>
    <t>Estimated Per node collateral</t>
  </si>
  <si>
    <t>Per node value</t>
  </si>
  <si>
    <t>Total estimated liqudity protection</t>
  </si>
  <si>
    <t>At 6 Loki per block</t>
  </si>
  <si>
    <t>At 10 Loki per 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</si>
</sst>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, &quot;yyyy"/>
    <numFmt numFmtId="165" formatCode="&quot;$&quot;#,##0"/>
  </numFmts>
  <fonts count="10">
    <font>
      <sz val="10.0"/>
      <color rgb="FF000000"/>
      <name val="Arial"/>
    </font>
    <font>
      <color rgb="FFFFFFFF"/>
      <name val="Arial"/>
    </font>
    <font>
      <name val="Arial"/>
    </font>
    <font>
      <color theme="1"/>
      <name val="Arial"/>
    </font>
    <font>
      <color rgb="FFDCDDDE"/>
      <name val="SourceCodePro"/>
    </font>
    <font>
      <sz val="9.0"/>
      <name val="Arial"/>
    </font>
    <font>
      <sz val="9.0"/>
      <color theme="1"/>
      <name val="Arial"/>
    </font>
    <font/>
    <font>
      <b/>
      <sz val="9.0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2" xfId="0" applyAlignment="1" applyFont="1" applyNumberFormat="1">
      <alignment horizontal="right" vertical="bottom"/>
    </xf>
    <xf borderId="0" fillId="3" fontId="5" numFmtId="3" xfId="0" applyAlignment="1" applyFont="1" applyNumberFormat="1">
      <alignment horizontal="right" vertical="bottom"/>
    </xf>
    <xf borderId="1" fillId="3" fontId="2" numFmtId="0" xfId="0" applyAlignment="1" applyBorder="1" applyFont="1">
      <alignment shrinkToFit="0" vertical="bottom" wrapText="0"/>
    </xf>
    <xf borderId="0" fillId="4" fontId="6" numFmtId="3" xfId="0" applyAlignment="1" applyFill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4" fontId="3" numFmtId="1" xfId="0" applyAlignment="1" applyFont="1" applyNumberFormat="1">
      <alignment horizontal="right" vertical="bottom"/>
    </xf>
    <xf borderId="0" fillId="5" fontId="3" numFmtId="164" xfId="0" applyAlignment="1" applyFill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6" fontId="4" numFmtId="2" xfId="0" applyAlignment="1" applyFill="1" applyFont="1" applyNumberFormat="1">
      <alignment horizontal="right" vertical="bottom"/>
    </xf>
    <xf borderId="0" fillId="4" fontId="5" numFmtId="3" xfId="0" applyAlignment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1" xfId="0" applyAlignment="1" applyFont="1" applyNumberFormat="1">
      <alignment horizontal="right" vertical="bottom"/>
    </xf>
    <xf borderId="0" fillId="3" fontId="2" numFmtId="10" xfId="0" applyAlignment="1" applyFont="1" applyNumberFormat="1">
      <alignment horizontal="right" vertical="bottom"/>
    </xf>
    <xf borderId="0" fillId="4" fontId="3" numFmtId="3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2" fontId="4" numFmtId="2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3" numFmtId="3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9" xfId="0" applyAlignment="1" applyFont="1" applyNumberFormat="1">
      <alignment horizontal="right" readingOrder="0" vertical="bottom"/>
    </xf>
    <xf borderId="0" fillId="2" fontId="1" numFmtId="1" xfId="0" applyAlignment="1" applyFont="1" applyNumberFormat="1">
      <alignment horizontal="left" readingOrder="0" vertical="bottom"/>
    </xf>
    <xf borderId="0" fillId="7" fontId="9" numFmtId="4" xfId="0" applyAlignment="1" applyFill="1" applyFont="1" applyNumberFormat="1">
      <alignment readingOrder="0"/>
    </xf>
    <xf borderId="0" fillId="7" fontId="7" numFmtId="4" xfId="0" applyAlignment="1" applyFont="1" applyNumberFormat="1">
      <alignment readingOrder="0"/>
    </xf>
    <xf borderId="0" fillId="7" fontId="7" numFmtId="4" xfId="0" applyFont="1" applyNumberFormat="1"/>
    <xf borderId="0" fillId="7" fontId="7" numFmtId="165" xfId="0" applyFont="1" applyNumberFormat="1"/>
    <xf borderId="0" fillId="3" fontId="3" numFmtId="1" xfId="0" applyAlignment="1" applyFont="1" applyNumberFormat="1">
      <alignment horizontal="right" vertical="bottom"/>
    </xf>
    <xf borderId="0" fillId="3" fontId="3" numFmtId="9" xfId="0" applyAlignment="1" applyFont="1" applyNumberFormat="1">
      <alignment horizontal="right" readingOrder="0" vertical="bottom"/>
    </xf>
    <xf borderId="0" fillId="3" fontId="3" numFmtId="10" xfId="0" applyAlignment="1" applyFont="1" applyNumberFormat="1">
      <alignment horizontal="right" vertical="bottom"/>
    </xf>
    <xf borderId="0" fillId="3" fontId="3" numFmtId="3" xfId="0" applyAlignment="1" applyFont="1" applyNumberFormat="1">
      <alignment horizontal="right" vertical="bottom"/>
    </xf>
    <xf borderId="0" fillId="0" fontId="3" numFmtId="4" xfId="0" applyFont="1" applyNumberFormat="1"/>
    <xf borderId="0" fillId="0" fontId="7" numFmtId="4" xfId="0" applyAlignment="1" applyFont="1" applyNumberFormat="1">
      <alignment readingOrder="0"/>
    </xf>
    <xf borderId="0" fillId="0" fontId="3" numFmtId="165" xfId="0" applyFont="1" applyNumberFormat="1"/>
    <xf borderId="0" fillId="8" fontId="9" numFmtId="4" xfId="0" applyAlignment="1" applyFill="1" applyFont="1" applyNumberFormat="1">
      <alignment readingOrder="0"/>
    </xf>
    <xf borderId="0" fillId="8" fontId="9" numFmtId="4" xfId="0" applyFont="1" applyNumberFormat="1"/>
    <xf borderId="0" fillId="8" fontId="9" numFmtId="165" xfId="0" applyFont="1" applyNumberFormat="1"/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 t="s">
        <v>1</v>
      </c>
      <c r="X1" s="3" t="s">
        <v>2</v>
      </c>
      <c r="Y1" s="3" t="s">
        <v>3</v>
      </c>
    </row>
    <row r="2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  <c r="G2" s="5" t="s">
        <v>10</v>
      </c>
      <c r="H2" s="5" t="s">
        <v>11</v>
      </c>
      <c r="I2" s="5" t="s">
        <v>1</v>
      </c>
      <c r="J2" s="5" t="s">
        <v>2</v>
      </c>
      <c r="K2" s="5" t="s">
        <v>3</v>
      </c>
      <c r="L2" s="7"/>
      <c r="M2" s="8"/>
      <c r="N2" s="9"/>
      <c r="O2" s="2"/>
      <c r="P2" s="2"/>
      <c r="Q2" s="2"/>
      <c r="R2" s="2"/>
      <c r="S2" s="7"/>
      <c r="T2" s="10"/>
      <c r="U2" s="11"/>
      <c r="V2" s="3"/>
      <c r="W2" s="3"/>
      <c r="X2" s="3"/>
      <c r="Y2" s="3"/>
    </row>
    <row r="3">
      <c r="A3" s="12">
        <f t="shared" ref="A3:A16" si="1">C3/(720)</f>
        <v>531.5444444</v>
      </c>
      <c r="B3" s="13">
        <f t="shared" ref="B3:B16" si="2">43222+A3</f>
        <v>43753.54444</v>
      </c>
      <c r="C3" s="14">
        <v>382712.0</v>
      </c>
      <c r="D3" s="15">
        <f t="shared" ref="D3:D12" si="3">25007/(2^((C3-101250)/129600))+15000</f>
        <v>20549.99086</v>
      </c>
      <c r="E3" s="16">
        <f t="shared" ref="E3:E4" si="4">(28000000000 + (100000000000 / 2^(C3 / (720 * 90))))/1000000000</f>
        <v>29.66763876</v>
      </c>
      <c r="F3" s="17">
        <v>4.3416344E7</v>
      </c>
      <c r="G3" s="5"/>
      <c r="H3" s="5"/>
      <c r="I3" s="5"/>
      <c r="J3" s="5"/>
      <c r="K3" s="5"/>
      <c r="L3" s="7"/>
      <c r="M3" s="18"/>
      <c r="N3" s="19"/>
      <c r="O3" s="19"/>
      <c r="P3" s="19"/>
      <c r="Q3" s="20"/>
      <c r="R3" s="20"/>
      <c r="S3" s="7"/>
      <c r="T3" s="21"/>
      <c r="U3" s="15"/>
      <c r="V3" s="15"/>
      <c r="W3" s="15">
        <f>X3*$D4</f>
        <v>3695.941904</v>
      </c>
      <c r="X3" s="22">
        <v>0.2</v>
      </c>
      <c r="Y3" s="22" t="str">
        <f>(U3*$D4)/T3</f>
        <v>#DIV/0!</v>
      </c>
    </row>
    <row r="4">
      <c r="A4" s="15">
        <f t="shared" si="1"/>
        <v>652.7777778</v>
      </c>
      <c r="B4" s="13">
        <f t="shared" si="2"/>
        <v>43874.77778</v>
      </c>
      <c r="C4" s="23">
        <v>470000.0</v>
      </c>
      <c r="D4" s="15">
        <f t="shared" si="3"/>
        <v>18479.70952</v>
      </c>
      <c r="E4" s="24">
        <f t="shared" si="4"/>
        <v>28.65554638</v>
      </c>
      <c r="F4" s="21">
        <f t="shared" ref="F4:F5" si="5">F3+((E3*($C4-$C3)))</f>
        <v>46005972.85</v>
      </c>
      <c r="G4" s="25"/>
      <c r="H4" s="25"/>
      <c r="I4" s="25"/>
      <c r="J4" s="26"/>
      <c r="K4" s="26"/>
      <c r="L4" s="7"/>
      <c r="M4" s="18"/>
      <c r="N4" s="19"/>
      <c r="O4" s="19"/>
      <c r="P4" s="19"/>
      <c r="Q4" s="20"/>
      <c r="R4" s="20"/>
      <c r="S4" s="7"/>
      <c r="T4" s="21"/>
      <c r="U4" s="15"/>
      <c r="V4" s="15"/>
      <c r="W4" s="15"/>
      <c r="X4" s="22"/>
      <c r="Y4" s="22"/>
    </row>
    <row r="5">
      <c r="A5" s="15">
        <f t="shared" si="1"/>
        <v>690.2347222</v>
      </c>
      <c r="B5" s="13">
        <f t="shared" si="2"/>
        <v>43912.23472</v>
      </c>
      <c r="C5" s="27">
        <v>496969.0</v>
      </c>
      <c r="D5" s="15">
        <f t="shared" si="3"/>
        <v>18012.31521</v>
      </c>
      <c r="E5" s="24">
        <f t="shared" ref="E5:E16" si="6">(25)</f>
        <v>25</v>
      </c>
      <c r="F5" s="21">
        <f t="shared" si="5"/>
        <v>46778784.28</v>
      </c>
      <c r="G5" s="25"/>
      <c r="H5" s="25"/>
      <c r="I5" s="25"/>
      <c r="J5" s="26"/>
      <c r="K5" s="26"/>
      <c r="L5" s="7"/>
      <c r="M5" s="28" t="s">
        <v>12</v>
      </c>
      <c r="N5" s="19"/>
      <c r="O5" s="19"/>
      <c r="P5" s="19"/>
      <c r="Q5" s="20"/>
      <c r="R5" s="20"/>
      <c r="S5" s="7"/>
      <c r="T5" s="29"/>
      <c r="U5" s="15"/>
      <c r="V5" s="15"/>
      <c r="W5" s="15">
        <f>X5*$D6</f>
        <v>3367.340412</v>
      </c>
      <c r="X5" s="22">
        <v>0.195</v>
      </c>
      <c r="Y5" s="22" t="str">
        <f>(U5*$D6)/T5</f>
        <v>#DIV/0!</v>
      </c>
    </row>
    <row r="6">
      <c r="A6" s="15">
        <f t="shared" si="1"/>
        <v>763.8888889</v>
      </c>
      <c r="B6" s="13">
        <f t="shared" si="2"/>
        <v>43985.88889</v>
      </c>
      <c r="C6" s="23">
        <v>550000.0</v>
      </c>
      <c r="D6" s="15">
        <f t="shared" si="3"/>
        <v>17268.41237</v>
      </c>
      <c r="E6" s="24">
        <f t="shared" si="6"/>
        <v>25</v>
      </c>
      <c r="F6" s="29">
        <f>F4+((AVERAGE(E4,E6)*($C6-$C4)))</f>
        <v>48152194.71</v>
      </c>
      <c r="G6" s="15">
        <f t="shared" ref="G6:G16" si="7">H6/I6</f>
        <v>1255.529434</v>
      </c>
      <c r="H6" s="15">
        <f t="shared" ref="H6:H16" si="8">(E6*0.66)*720*365</f>
        <v>4336200</v>
      </c>
      <c r="I6" s="15">
        <f t="shared" ref="I6:I16" si="9">J6*$D6</f>
        <v>3453.682474</v>
      </c>
      <c r="J6" s="30">
        <v>0.2</v>
      </c>
      <c r="K6" s="22">
        <f t="shared" ref="K6:K16" si="10">(G6*$D6)/F6</f>
        <v>0.4502598507</v>
      </c>
      <c r="L6" s="7"/>
      <c r="M6" s="18"/>
      <c r="N6" s="19"/>
      <c r="O6" s="19"/>
      <c r="P6" s="19"/>
      <c r="Q6" s="20"/>
      <c r="R6" s="20"/>
      <c r="S6" s="7"/>
      <c r="T6" s="29"/>
      <c r="U6" s="15"/>
      <c r="V6" s="15"/>
      <c r="W6" s="15"/>
      <c r="X6" s="22"/>
      <c r="Y6" s="22"/>
    </row>
    <row r="7">
      <c r="A7" s="15">
        <f t="shared" si="1"/>
        <v>813.8888889</v>
      </c>
      <c r="B7" s="13">
        <f t="shared" si="2"/>
        <v>44035.88889</v>
      </c>
      <c r="C7" s="31">
        <v>586000.0</v>
      </c>
      <c r="D7" s="15">
        <f t="shared" si="3"/>
        <v>16871.12397</v>
      </c>
      <c r="E7" s="24">
        <f t="shared" si="6"/>
        <v>25</v>
      </c>
      <c r="F7" s="29">
        <f>F6+((AVERAGE(E6,E7)*($C7-$C6)))</f>
        <v>49052194.71</v>
      </c>
      <c r="G7" s="15">
        <f t="shared" si="7"/>
        <v>1285.095174</v>
      </c>
      <c r="H7" s="15">
        <f t="shared" si="8"/>
        <v>4336200</v>
      </c>
      <c r="I7" s="15">
        <f t="shared" si="9"/>
        <v>3374.224795</v>
      </c>
      <c r="J7" s="30">
        <v>0.2</v>
      </c>
      <c r="K7" s="22">
        <f t="shared" si="10"/>
        <v>0.4419985717</v>
      </c>
      <c r="L7" s="7"/>
      <c r="M7" s="18"/>
      <c r="N7" s="19"/>
      <c r="O7" s="19"/>
      <c r="P7" s="19"/>
      <c r="Q7" s="20"/>
      <c r="R7" s="20"/>
      <c r="S7" s="7"/>
      <c r="T7" s="29"/>
      <c r="U7" s="15"/>
      <c r="V7" s="15"/>
      <c r="W7" s="15">
        <f t="shared" ref="W7:W15" si="11">X7*$D8</f>
        <v>3163.924095</v>
      </c>
      <c r="X7" s="22">
        <v>0.192</v>
      </c>
      <c r="Y7" s="22" t="str">
        <f t="shared" ref="Y7:Y15" si="12">(U7*$D8)/T7</f>
        <v>#DIV/0!</v>
      </c>
    </row>
    <row r="8">
      <c r="A8" s="15">
        <f t="shared" si="1"/>
        <v>875</v>
      </c>
      <c r="B8" s="13">
        <f t="shared" si="2"/>
        <v>44097</v>
      </c>
      <c r="C8" s="23">
        <v>630000.0</v>
      </c>
      <c r="D8" s="15">
        <f t="shared" si="3"/>
        <v>16478.77133</v>
      </c>
      <c r="E8" s="24">
        <f t="shared" si="6"/>
        <v>25</v>
      </c>
      <c r="F8" s="29">
        <f>F6+((AVERAGE(E6,E8)*($C8-$C6)))</f>
        <v>50152194.71</v>
      </c>
      <c r="G8" s="15">
        <f t="shared" si="7"/>
        <v>1315.692752</v>
      </c>
      <c r="H8" s="15">
        <f t="shared" si="8"/>
        <v>4336200</v>
      </c>
      <c r="I8" s="15">
        <f t="shared" si="9"/>
        <v>3295.754266</v>
      </c>
      <c r="J8" s="30">
        <v>0.2</v>
      </c>
      <c r="K8" s="22">
        <f t="shared" si="10"/>
        <v>0.432304112</v>
      </c>
      <c r="L8" s="7"/>
      <c r="M8" s="18"/>
      <c r="N8" s="19"/>
      <c r="O8" s="19"/>
      <c r="P8" s="19"/>
      <c r="Q8" s="20"/>
      <c r="R8" s="20"/>
      <c r="S8" s="7"/>
      <c r="T8" s="29"/>
      <c r="U8" s="15"/>
      <c r="V8" s="15"/>
      <c r="W8" s="15">
        <f t="shared" si="11"/>
        <v>2995.911917</v>
      </c>
      <c r="X8" s="22">
        <v>0.187666666666667</v>
      </c>
      <c r="Y8" s="22" t="str">
        <f t="shared" si="12"/>
        <v>#DIV/0!</v>
      </c>
    </row>
    <row r="9">
      <c r="A9" s="15">
        <f t="shared" si="1"/>
        <v>986.1111111</v>
      </c>
      <c r="B9" s="13">
        <f t="shared" si="2"/>
        <v>44208.11111</v>
      </c>
      <c r="C9" s="23">
        <v>710000.0</v>
      </c>
      <c r="D9" s="15">
        <f t="shared" si="3"/>
        <v>15964.00666</v>
      </c>
      <c r="E9" s="24">
        <f t="shared" si="6"/>
        <v>25</v>
      </c>
      <c r="F9" s="29">
        <f t="shared" ref="F9:F16" si="13">F8+((AVERAGE(E8,E9)*($C9-$C8)))</f>
        <v>52152194.71</v>
      </c>
      <c r="G9" s="15">
        <f t="shared" si="7"/>
        <v>1358.117699</v>
      </c>
      <c r="H9" s="15">
        <f t="shared" si="8"/>
        <v>4336200</v>
      </c>
      <c r="I9" s="15">
        <f t="shared" si="9"/>
        <v>3192.801333</v>
      </c>
      <c r="J9" s="30">
        <v>0.2</v>
      </c>
      <c r="K9" s="22">
        <f t="shared" si="10"/>
        <v>0.4157255533</v>
      </c>
      <c r="L9" s="7"/>
      <c r="M9" s="18"/>
      <c r="N9" s="19"/>
      <c r="O9" s="19"/>
      <c r="P9" s="19"/>
      <c r="Q9" s="20"/>
      <c r="R9" s="20"/>
      <c r="S9" s="7"/>
      <c r="T9" s="29"/>
      <c r="U9" s="15"/>
      <c r="V9" s="15"/>
      <c r="W9" s="15">
        <f t="shared" si="11"/>
        <v>2870.422213</v>
      </c>
      <c r="X9" s="22">
        <v>0.183666666666667</v>
      </c>
      <c r="Y9" s="22" t="str">
        <f t="shared" si="12"/>
        <v>#DIV/0!</v>
      </c>
    </row>
    <row r="10">
      <c r="A10" s="15">
        <f t="shared" si="1"/>
        <v>1097.222222</v>
      </c>
      <c r="B10" s="13">
        <f t="shared" si="2"/>
        <v>44319.22222</v>
      </c>
      <c r="C10" s="23">
        <v>790000.0</v>
      </c>
      <c r="D10" s="15">
        <f t="shared" si="3"/>
        <v>15628.4331</v>
      </c>
      <c r="E10" s="24">
        <f t="shared" si="6"/>
        <v>25</v>
      </c>
      <c r="F10" s="29">
        <f t="shared" si="13"/>
        <v>54152194.71</v>
      </c>
      <c r="G10" s="15">
        <f t="shared" si="7"/>
        <v>1387.279189</v>
      </c>
      <c r="H10" s="15">
        <f t="shared" si="8"/>
        <v>4336200</v>
      </c>
      <c r="I10" s="15">
        <f t="shared" si="9"/>
        <v>3125.68662</v>
      </c>
      <c r="J10" s="30">
        <v>0.2</v>
      </c>
      <c r="K10" s="22">
        <f t="shared" si="10"/>
        <v>0.4003715845</v>
      </c>
      <c r="L10" s="7"/>
      <c r="M10" s="18"/>
      <c r="N10" s="19"/>
      <c r="O10" s="19"/>
      <c r="P10" s="19"/>
      <c r="Q10" s="20"/>
      <c r="R10" s="20"/>
      <c r="S10" s="7"/>
      <c r="T10" s="29"/>
      <c r="U10" s="15"/>
      <c r="V10" s="15"/>
      <c r="W10" s="15">
        <f t="shared" si="11"/>
        <v>2768.604705</v>
      </c>
      <c r="X10" s="22">
        <v>0.179666666666667</v>
      </c>
      <c r="Y10" s="22" t="str">
        <f t="shared" si="12"/>
        <v>#DIV/0!</v>
      </c>
    </row>
    <row r="11">
      <c r="A11" s="15">
        <f t="shared" si="1"/>
        <v>1208.333333</v>
      </c>
      <c r="B11" s="13">
        <f t="shared" si="2"/>
        <v>44430.33333</v>
      </c>
      <c r="C11" s="23">
        <v>870000.0</v>
      </c>
      <c r="D11" s="15">
        <f t="shared" si="3"/>
        <v>15409.67368</v>
      </c>
      <c r="E11" s="24">
        <f t="shared" si="6"/>
        <v>25</v>
      </c>
      <c r="F11" s="29">
        <f t="shared" si="13"/>
        <v>56152194.71</v>
      </c>
      <c r="G11" s="15">
        <f t="shared" si="7"/>
        <v>1406.973337</v>
      </c>
      <c r="H11" s="15">
        <f t="shared" si="8"/>
        <v>4336200</v>
      </c>
      <c r="I11" s="15">
        <f t="shared" si="9"/>
        <v>3081.934737</v>
      </c>
      <c r="J11" s="30">
        <v>0.2</v>
      </c>
      <c r="K11" s="22">
        <f t="shared" si="10"/>
        <v>0.3861113553</v>
      </c>
      <c r="L11" s="7"/>
      <c r="M11" s="18"/>
      <c r="N11" s="19"/>
      <c r="O11" s="19"/>
      <c r="P11" s="19"/>
      <c r="Q11" s="20"/>
      <c r="R11" s="20"/>
      <c r="S11" s="7"/>
      <c r="T11" s="29"/>
      <c r="U11" s="15"/>
      <c r="V11" s="15"/>
      <c r="W11" s="15">
        <f t="shared" si="11"/>
        <v>2681.91443</v>
      </c>
      <c r="X11" s="22">
        <v>0.175666666666667</v>
      </c>
      <c r="Y11" s="22" t="str">
        <f t="shared" si="12"/>
        <v>#DIV/0!</v>
      </c>
    </row>
    <row r="12">
      <c r="A12" s="15">
        <f t="shared" si="1"/>
        <v>1319.444444</v>
      </c>
      <c r="B12" s="13">
        <f t="shared" si="2"/>
        <v>44541.44444</v>
      </c>
      <c r="C12" s="23">
        <v>950000.0</v>
      </c>
      <c r="D12" s="15">
        <f t="shared" si="3"/>
        <v>15267.06507</v>
      </c>
      <c r="E12" s="24">
        <f t="shared" si="6"/>
        <v>25</v>
      </c>
      <c r="F12" s="29">
        <f t="shared" si="13"/>
        <v>58152194.71</v>
      </c>
      <c r="G12" s="15">
        <f t="shared" si="7"/>
        <v>1420.115779</v>
      </c>
      <c r="H12" s="15">
        <f t="shared" si="8"/>
        <v>4336200</v>
      </c>
      <c r="I12" s="15">
        <f t="shared" si="9"/>
        <v>3053.413013</v>
      </c>
      <c r="J12" s="30">
        <v>0.2</v>
      </c>
      <c r="K12" s="22">
        <f t="shared" si="10"/>
        <v>0.3728320162</v>
      </c>
      <c r="L12" s="7"/>
      <c r="M12" s="18"/>
      <c r="N12" s="19"/>
      <c r="O12" s="19"/>
      <c r="P12" s="19"/>
      <c r="Q12" s="20"/>
      <c r="R12" s="20"/>
      <c r="S12" s="7"/>
      <c r="T12" s="29"/>
      <c r="U12" s="15"/>
      <c r="V12" s="15"/>
      <c r="W12" s="15">
        <f t="shared" si="11"/>
        <v>2575</v>
      </c>
      <c r="X12" s="22">
        <v>0.171666666666667</v>
      </c>
      <c r="Y12" s="22" t="str">
        <f t="shared" si="12"/>
        <v>#DIV/0!</v>
      </c>
    </row>
    <row r="13">
      <c r="A13" s="15">
        <f t="shared" si="1"/>
        <v>1430.555556</v>
      </c>
      <c r="B13" s="13">
        <f t="shared" si="2"/>
        <v>44652.55556</v>
      </c>
      <c r="C13" s="23">
        <v>1030000.0</v>
      </c>
      <c r="D13" s="32">
        <f t="shared" ref="D13:D16" si="14">15000</f>
        <v>15000</v>
      </c>
      <c r="E13" s="24">
        <f t="shared" si="6"/>
        <v>25</v>
      </c>
      <c r="F13" s="29">
        <f t="shared" si="13"/>
        <v>60152194.71</v>
      </c>
      <c r="G13" s="15">
        <f t="shared" si="7"/>
        <v>1445.4</v>
      </c>
      <c r="H13" s="15">
        <f t="shared" si="8"/>
        <v>4336200</v>
      </c>
      <c r="I13" s="15">
        <f t="shared" si="9"/>
        <v>3000</v>
      </c>
      <c r="J13" s="30">
        <v>0.2</v>
      </c>
      <c r="K13" s="22">
        <f t="shared" si="10"/>
        <v>0.3604357265</v>
      </c>
      <c r="L13" s="7"/>
      <c r="M13" s="18"/>
      <c r="N13" s="19"/>
      <c r="O13" s="19"/>
      <c r="P13" s="19"/>
      <c r="Q13" s="20"/>
      <c r="R13" s="20"/>
      <c r="S13" s="7"/>
      <c r="T13" s="29"/>
      <c r="U13" s="15"/>
      <c r="V13" s="15"/>
      <c r="W13" s="15">
        <f t="shared" si="11"/>
        <v>2515</v>
      </c>
      <c r="X13" s="22">
        <v>0.167666666666667</v>
      </c>
      <c r="Y13" s="22" t="str">
        <f t="shared" si="12"/>
        <v>#DIV/0!</v>
      </c>
    </row>
    <row r="14">
      <c r="A14" s="15">
        <f t="shared" si="1"/>
        <v>1541.666667</v>
      </c>
      <c r="B14" s="13">
        <f t="shared" si="2"/>
        <v>44763.66667</v>
      </c>
      <c r="C14" s="23">
        <v>1110000.0</v>
      </c>
      <c r="D14" s="32">
        <f t="shared" si="14"/>
        <v>15000</v>
      </c>
      <c r="E14" s="24">
        <f t="shared" si="6"/>
        <v>25</v>
      </c>
      <c r="F14" s="29">
        <f t="shared" si="13"/>
        <v>62152194.71</v>
      </c>
      <c r="G14" s="15">
        <f t="shared" si="7"/>
        <v>1445.4</v>
      </c>
      <c r="H14" s="15">
        <f t="shared" si="8"/>
        <v>4336200</v>
      </c>
      <c r="I14" s="15">
        <f t="shared" si="9"/>
        <v>3000</v>
      </c>
      <c r="J14" s="30">
        <v>0.2</v>
      </c>
      <c r="K14" s="22">
        <f t="shared" si="10"/>
        <v>0.348837239</v>
      </c>
      <c r="L14" s="7"/>
      <c r="M14" s="18"/>
      <c r="N14" s="19"/>
      <c r="O14" s="19"/>
      <c r="P14" s="19"/>
      <c r="Q14" s="20"/>
      <c r="R14" s="20"/>
      <c r="S14" s="7"/>
      <c r="T14" s="29"/>
      <c r="U14" s="15"/>
      <c r="V14" s="15"/>
      <c r="W14" s="15">
        <f t="shared" si="11"/>
        <v>2455</v>
      </c>
      <c r="X14" s="22">
        <v>0.163666666666667</v>
      </c>
      <c r="Y14" s="22" t="str">
        <f t="shared" si="12"/>
        <v>#DIV/0!</v>
      </c>
    </row>
    <row r="15">
      <c r="A15" s="15">
        <f t="shared" si="1"/>
        <v>1652.777778</v>
      </c>
      <c r="B15" s="13">
        <f t="shared" si="2"/>
        <v>44874.77778</v>
      </c>
      <c r="C15" s="23">
        <v>1190000.0</v>
      </c>
      <c r="D15" s="32">
        <f t="shared" si="14"/>
        <v>15000</v>
      </c>
      <c r="E15" s="24">
        <f t="shared" si="6"/>
        <v>25</v>
      </c>
      <c r="F15" s="29">
        <f t="shared" si="13"/>
        <v>64152194.71</v>
      </c>
      <c r="G15" s="15">
        <f t="shared" si="7"/>
        <v>1445.4</v>
      </c>
      <c r="H15" s="15">
        <f t="shared" si="8"/>
        <v>4336200</v>
      </c>
      <c r="I15" s="15">
        <f t="shared" si="9"/>
        <v>3000</v>
      </c>
      <c r="J15" s="30">
        <v>0.2</v>
      </c>
      <c r="K15" s="22">
        <f t="shared" si="10"/>
        <v>0.3379619372</v>
      </c>
      <c r="L15" s="7"/>
      <c r="M15" s="18"/>
      <c r="N15" s="19"/>
      <c r="O15" s="19"/>
      <c r="P15" s="19"/>
      <c r="Q15" s="20"/>
      <c r="R15" s="20"/>
      <c r="S15" s="7"/>
      <c r="T15" s="29"/>
      <c r="U15" s="15"/>
      <c r="V15" s="15"/>
      <c r="W15" s="15">
        <f t="shared" si="11"/>
        <v>2395</v>
      </c>
      <c r="X15" s="22">
        <v>0.159666666666667</v>
      </c>
      <c r="Y15" s="22" t="str">
        <f t="shared" si="12"/>
        <v>#DIV/0!</v>
      </c>
    </row>
    <row r="16">
      <c r="A16" s="15">
        <f t="shared" si="1"/>
        <v>1763.888889</v>
      </c>
      <c r="B16" s="13">
        <f t="shared" si="2"/>
        <v>44985.88889</v>
      </c>
      <c r="C16" s="23">
        <v>1270000.0</v>
      </c>
      <c r="D16" s="32">
        <f t="shared" si="14"/>
        <v>15000</v>
      </c>
      <c r="E16" s="24">
        <f t="shared" si="6"/>
        <v>25</v>
      </c>
      <c r="F16" s="29">
        <f t="shared" si="13"/>
        <v>66152194.71</v>
      </c>
      <c r="G16" s="15">
        <f t="shared" si="7"/>
        <v>1445.4</v>
      </c>
      <c r="H16" s="15">
        <f t="shared" si="8"/>
        <v>4336200</v>
      </c>
      <c r="I16" s="15">
        <f t="shared" si="9"/>
        <v>3000</v>
      </c>
      <c r="J16" s="30">
        <v>0.2</v>
      </c>
      <c r="K16" s="22">
        <f t="shared" si="10"/>
        <v>0.3277442282</v>
      </c>
      <c r="L16" s="7"/>
      <c r="M16" s="18"/>
      <c r="N16" s="19"/>
      <c r="O16" s="19"/>
      <c r="P16" s="19"/>
      <c r="Q16" s="20"/>
      <c r="R16" s="20"/>
      <c r="S16" s="7"/>
      <c r="T16" s="29"/>
      <c r="U16" s="15"/>
      <c r="V16" s="15"/>
      <c r="W16" s="15" t="str">
        <f>X16*#REF!</f>
        <v>#REF!</v>
      </c>
      <c r="X16" s="22">
        <v>0.155666666666667</v>
      </c>
      <c r="Y16" s="22" t="str">
        <f>(U16*#REF!)/T16</f>
        <v>#REF!</v>
      </c>
    </row>
    <row r="17">
      <c r="A17" s="19"/>
      <c r="B17" s="33"/>
      <c r="C17" s="34"/>
      <c r="D17" s="34"/>
      <c r="E17" s="7"/>
      <c r="F17" s="18"/>
      <c r="G17" s="19"/>
      <c r="H17" s="19"/>
      <c r="I17" s="19"/>
      <c r="J17" s="35"/>
      <c r="K17" s="20"/>
      <c r="L17" s="7"/>
      <c r="M17" s="18"/>
      <c r="N17" s="19"/>
      <c r="O17" s="19"/>
      <c r="P17" s="19"/>
      <c r="Q17" s="20"/>
      <c r="R17" s="20"/>
      <c r="S17" s="7"/>
      <c r="T17" s="29"/>
      <c r="U17" s="15"/>
      <c r="V17" s="15"/>
      <c r="W17" s="15">
        <f t="shared" ref="W17:W19" si="15">X17*$D17</f>
        <v>0</v>
      </c>
      <c r="X17" s="22">
        <v>0.151666666666667</v>
      </c>
      <c r="Y17" s="22" t="str">
        <f t="shared" ref="Y17:Y19" si="16">(U17*$D17)/T17</f>
        <v>#DIV/0!</v>
      </c>
    </row>
    <row r="18">
      <c r="A18" s="36" t="s">
        <v>13</v>
      </c>
      <c r="L18" s="7"/>
      <c r="M18" s="18"/>
      <c r="N18" s="19"/>
      <c r="O18" s="19"/>
      <c r="P18" s="19"/>
      <c r="Q18" s="20"/>
      <c r="R18" s="20"/>
      <c r="S18" s="7"/>
      <c r="T18" s="29"/>
      <c r="U18" s="15"/>
      <c r="V18" s="15"/>
      <c r="W18" s="15">
        <f t="shared" si="15"/>
        <v>0</v>
      </c>
      <c r="X18" s="22">
        <v>0.147666666666667</v>
      </c>
      <c r="Y18" s="22" t="str">
        <f t="shared" si="16"/>
        <v>#DIV/0!</v>
      </c>
    </row>
    <row r="19">
      <c r="A19" s="27" t="s">
        <v>14</v>
      </c>
      <c r="B19" s="27" t="s">
        <v>15</v>
      </c>
      <c r="C19" s="27" t="s">
        <v>16</v>
      </c>
      <c r="D19" s="27" t="s">
        <v>17</v>
      </c>
      <c r="E19" s="27" t="s">
        <v>18</v>
      </c>
      <c r="F19" s="27" t="s">
        <v>19</v>
      </c>
      <c r="G19" s="27" t="s">
        <v>20</v>
      </c>
      <c r="H19" s="19"/>
      <c r="I19" s="19"/>
      <c r="J19" s="35"/>
      <c r="K19" s="20"/>
      <c r="L19" s="7"/>
      <c r="M19" s="18"/>
      <c r="N19" s="19"/>
      <c r="O19" s="19"/>
      <c r="P19" s="19"/>
      <c r="Q19" s="20"/>
      <c r="R19" s="20"/>
      <c r="S19" s="7"/>
      <c r="T19" s="29"/>
      <c r="U19" s="15"/>
      <c r="V19" s="15"/>
      <c r="W19" s="15" t="str">
        <f t="shared" si="15"/>
        <v>#VALUE!</v>
      </c>
      <c r="X19" s="22">
        <v>0.143666666666667</v>
      </c>
      <c r="Y19" s="22" t="str">
        <f t="shared" si="16"/>
        <v>#VALUE!</v>
      </c>
    </row>
    <row r="20">
      <c r="A20" s="37" t="s">
        <v>21</v>
      </c>
      <c r="B20" s="38"/>
      <c r="C20" s="38"/>
      <c r="D20" s="39"/>
      <c r="E20" s="39"/>
      <c r="F20" s="40"/>
      <c r="G20" s="40"/>
      <c r="H20" s="41"/>
      <c r="I20" s="41"/>
      <c r="J20" s="42"/>
      <c r="K20" s="43"/>
      <c r="L20" s="7"/>
      <c r="M20" s="44"/>
      <c r="N20" s="41"/>
      <c r="O20" s="41"/>
      <c r="P20" s="41"/>
      <c r="Q20" s="43"/>
      <c r="R20" s="43"/>
      <c r="S20" s="7"/>
      <c r="T20" s="29"/>
      <c r="U20" s="15"/>
      <c r="V20" s="15"/>
      <c r="W20" s="15"/>
      <c r="X20" s="22"/>
      <c r="Y20" s="22"/>
    </row>
    <row r="21">
      <c r="A21" s="45">
        <f t="shared" ref="A21:A29" si="17">6*720*365</f>
        <v>1576800</v>
      </c>
      <c r="B21" s="46">
        <v>0.4</v>
      </c>
      <c r="C21" s="46">
        <v>0.2</v>
      </c>
      <c r="D21" s="45">
        <f t="shared" ref="D21:D29" si="18">A21/C21</f>
        <v>7884000</v>
      </c>
      <c r="E21" s="45">
        <f t="shared" ref="E21:E29" si="19">D21/100</f>
        <v>78840</v>
      </c>
      <c r="F21" s="47">
        <f t="shared" ref="F21:F29" si="20">E21*B21</f>
        <v>31536</v>
      </c>
      <c r="G21" s="47">
        <f t="shared" ref="G21:G29" si="21">0.8*D21*B21</f>
        <v>2522880</v>
      </c>
      <c r="H21" s="19"/>
      <c r="I21" s="19"/>
      <c r="J21" s="35"/>
      <c r="K21" s="20"/>
      <c r="L21" s="7"/>
      <c r="M21" s="18"/>
      <c r="N21" s="19"/>
      <c r="O21" s="19"/>
      <c r="P21" s="19"/>
      <c r="Q21" s="20"/>
      <c r="R21" s="20"/>
      <c r="S21" s="7"/>
      <c r="T21" s="29"/>
      <c r="U21" s="15"/>
      <c r="V21" s="15"/>
      <c r="W21" s="15">
        <f t="shared" ref="W21:W29" si="22">X21*$D21</f>
        <v>1101132</v>
      </c>
      <c r="X21" s="22">
        <v>0.139666666666667</v>
      </c>
      <c r="Y21" s="22" t="str">
        <f t="shared" ref="Y21:Y29" si="23">(U21*$D21)/T21</f>
        <v>#DIV/0!</v>
      </c>
    </row>
    <row r="22">
      <c r="A22" s="45">
        <f t="shared" si="17"/>
        <v>1576800</v>
      </c>
      <c r="B22" s="46">
        <v>0.6</v>
      </c>
      <c r="C22" s="46">
        <v>0.2</v>
      </c>
      <c r="D22" s="45">
        <f t="shared" si="18"/>
        <v>7884000</v>
      </c>
      <c r="E22" s="45">
        <f t="shared" si="19"/>
        <v>78840</v>
      </c>
      <c r="F22" s="47">
        <f t="shared" si="20"/>
        <v>47304</v>
      </c>
      <c r="G22" s="47">
        <f t="shared" si="21"/>
        <v>3784320</v>
      </c>
      <c r="H22" s="19"/>
      <c r="I22" s="19"/>
      <c r="J22" s="35"/>
      <c r="K22" s="20"/>
      <c r="L22" s="7"/>
      <c r="M22" s="18"/>
      <c r="N22" s="19"/>
      <c r="O22" s="19"/>
      <c r="P22" s="19"/>
      <c r="Q22" s="20"/>
      <c r="R22" s="20"/>
      <c r="S22" s="7"/>
      <c r="T22" s="29"/>
      <c r="U22" s="15"/>
      <c r="V22" s="15"/>
      <c r="W22" s="15">
        <f t="shared" si="22"/>
        <v>1069596</v>
      </c>
      <c r="X22" s="22">
        <v>0.135666666666667</v>
      </c>
      <c r="Y22" s="22" t="str">
        <f t="shared" si="23"/>
        <v>#DIV/0!</v>
      </c>
    </row>
    <row r="23">
      <c r="A23" s="45">
        <f t="shared" si="17"/>
        <v>1576800</v>
      </c>
      <c r="B23" s="46">
        <v>0.8</v>
      </c>
      <c r="C23" s="46">
        <v>0.2</v>
      </c>
      <c r="D23" s="45">
        <f t="shared" si="18"/>
        <v>7884000</v>
      </c>
      <c r="E23" s="45">
        <f t="shared" si="19"/>
        <v>78840</v>
      </c>
      <c r="F23" s="47">
        <f t="shared" si="20"/>
        <v>63072</v>
      </c>
      <c r="G23" s="47">
        <f t="shared" si="21"/>
        <v>5045760</v>
      </c>
      <c r="H23" s="19"/>
      <c r="I23" s="19"/>
      <c r="J23" s="35"/>
      <c r="K23" s="20"/>
      <c r="L23" s="7"/>
      <c r="M23" s="18"/>
      <c r="N23" s="19"/>
      <c r="O23" s="19"/>
      <c r="P23" s="19"/>
      <c r="Q23" s="20"/>
      <c r="R23" s="20"/>
      <c r="S23" s="7"/>
      <c r="T23" s="29"/>
      <c r="U23" s="15"/>
      <c r="V23" s="15"/>
      <c r="W23" s="15">
        <f t="shared" si="22"/>
        <v>1038060</v>
      </c>
      <c r="X23" s="22">
        <v>0.131666666666667</v>
      </c>
      <c r="Y23" s="22" t="str">
        <f t="shared" si="23"/>
        <v>#DIV/0!</v>
      </c>
    </row>
    <row r="24">
      <c r="A24" s="45">
        <f t="shared" si="17"/>
        <v>1576800</v>
      </c>
      <c r="B24" s="46">
        <v>1.0</v>
      </c>
      <c r="C24" s="46">
        <v>0.2</v>
      </c>
      <c r="D24" s="45">
        <f t="shared" si="18"/>
        <v>7884000</v>
      </c>
      <c r="E24" s="45">
        <f t="shared" si="19"/>
        <v>78840</v>
      </c>
      <c r="F24" s="47">
        <f t="shared" si="20"/>
        <v>78840</v>
      </c>
      <c r="G24" s="47">
        <f t="shared" si="21"/>
        <v>6307200</v>
      </c>
      <c r="H24" s="19"/>
      <c r="I24" s="19"/>
      <c r="J24" s="35"/>
      <c r="K24" s="20"/>
      <c r="L24" s="7"/>
      <c r="M24" s="18"/>
      <c r="N24" s="19"/>
      <c r="O24" s="19"/>
      <c r="P24" s="19"/>
      <c r="Q24" s="20"/>
      <c r="R24" s="20"/>
      <c r="S24" s="7"/>
      <c r="T24" s="29"/>
      <c r="U24" s="15"/>
      <c r="V24" s="15"/>
      <c r="W24" s="15">
        <f t="shared" si="22"/>
        <v>1006524</v>
      </c>
      <c r="X24" s="22">
        <v>0.127666666666667</v>
      </c>
      <c r="Y24" s="22" t="str">
        <f t="shared" si="23"/>
        <v>#DIV/0!</v>
      </c>
    </row>
    <row r="25">
      <c r="A25" s="45">
        <f t="shared" si="17"/>
        <v>1576800</v>
      </c>
      <c r="B25" s="46">
        <v>1.2</v>
      </c>
      <c r="C25" s="46">
        <v>0.2</v>
      </c>
      <c r="D25" s="45">
        <f t="shared" si="18"/>
        <v>7884000</v>
      </c>
      <c r="E25" s="45">
        <f t="shared" si="19"/>
        <v>78840</v>
      </c>
      <c r="F25" s="47">
        <f t="shared" si="20"/>
        <v>94608</v>
      </c>
      <c r="G25" s="47">
        <f t="shared" si="21"/>
        <v>7568640</v>
      </c>
      <c r="H25" s="19"/>
      <c r="I25" s="19"/>
      <c r="J25" s="35"/>
      <c r="K25" s="20"/>
      <c r="L25" s="7"/>
      <c r="M25" s="18"/>
      <c r="N25" s="19"/>
      <c r="O25" s="19"/>
      <c r="P25" s="19"/>
      <c r="Q25" s="20"/>
      <c r="R25" s="20"/>
      <c r="S25" s="7"/>
      <c r="T25" s="29"/>
      <c r="U25" s="15"/>
      <c r="V25" s="15"/>
      <c r="W25" s="15">
        <f t="shared" si="22"/>
        <v>974988</v>
      </c>
      <c r="X25" s="22">
        <v>0.123666666666667</v>
      </c>
      <c r="Y25" s="22" t="str">
        <f t="shared" si="23"/>
        <v>#DIV/0!</v>
      </c>
    </row>
    <row r="26">
      <c r="A26" s="45">
        <f t="shared" si="17"/>
        <v>1576800</v>
      </c>
      <c r="B26" s="46">
        <v>1.4</v>
      </c>
      <c r="C26" s="46">
        <v>0.2</v>
      </c>
      <c r="D26" s="45">
        <f t="shared" si="18"/>
        <v>7884000</v>
      </c>
      <c r="E26" s="45">
        <f t="shared" si="19"/>
        <v>78840</v>
      </c>
      <c r="F26" s="47">
        <f t="shared" si="20"/>
        <v>110376</v>
      </c>
      <c r="G26" s="47">
        <f t="shared" si="21"/>
        <v>8830080</v>
      </c>
      <c r="H26" s="19"/>
      <c r="I26" s="19"/>
      <c r="J26" s="35"/>
      <c r="K26" s="20"/>
      <c r="L26" s="7"/>
      <c r="M26" s="18"/>
      <c r="N26" s="19"/>
      <c r="O26" s="19"/>
      <c r="P26" s="19"/>
      <c r="Q26" s="20"/>
      <c r="R26" s="20"/>
      <c r="S26" s="7"/>
      <c r="T26" s="29"/>
      <c r="U26" s="15"/>
      <c r="V26" s="15"/>
      <c r="W26" s="15">
        <f t="shared" si="22"/>
        <v>943452</v>
      </c>
      <c r="X26" s="22">
        <v>0.119666666666667</v>
      </c>
      <c r="Y26" s="22" t="str">
        <f t="shared" si="23"/>
        <v>#DIV/0!</v>
      </c>
    </row>
    <row r="27">
      <c r="A27" s="45">
        <f t="shared" si="17"/>
        <v>1576800</v>
      </c>
      <c r="B27" s="46">
        <v>1.6</v>
      </c>
      <c r="C27" s="46">
        <v>0.2</v>
      </c>
      <c r="D27" s="45">
        <f t="shared" si="18"/>
        <v>7884000</v>
      </c>
      <c r="E27" s="45">
        <f t="shared" si="19"/>
        <v>78840</v>
      </c>
      <c r="F27" s="47">
        <f t="shared" si="20"/>
        <v>126144</v>
      </c>
      <c r="G27" s="47">
        <f t="shared" si="21"/>
        <v>10091520</v>
      </c>
      <c r="H27" s="19"/>
      <c r="I27" s="19"/>
      <c r="J27" s="35"/>
      <c r="K27" s="20"/>
      <c r="L27" s="7"/>
      <c r="M27" s="18"/>
      <c r="N27" s="19"/>
      <c r="O27" s="19"/>
      <c r="P27" s="19"/>
      <c r="Q27" s="20"/>
      <c r="R27" s="20"/>
      <c r="S27" s="7"/>
      <c r="T27" s="29"/>
      <c r="U27" s="15"/>
      <c r="V27" s="15"/>
      <c r="W27" s="15">
        <f t="shared" si="22"/>
        <v>911916</v>
      </c>
      <c r="X27" s="22">
        <v>0.115666666666667</v>
      </c>
      <c r="Y27" s="22" t="str">
        <f t="shared" si="23"/>
        <v>#DIV/0!</v>
      </c>
    </row>
    <row r="28">
      <c r="A28" s="45">
        <f t="shared" si="17"/>
        <v>1576800</v>
      </c>
      <c r="B28" s="46">
        <v>1.8</v>
      </c>
      <c r="C28" s="46">
        <v>0.2</v>
      </c>
      <c r="D28" s="45">
        <f t="shared" si="18"/>
        <v>7884000</v>
      </c>
      <c r="E28" s="45">
        <f t="shared" si="19"/>
        <v>78840</v>
      </c>
      <c r="F28" s="47">
        <f t="shared" si="20"/>
        <v>141912</v>
      </c>
      <c r="G28" s="47">
        <f t="shared" si="21"/>
        <v>11352960</v>
      </c>
      <c r="H28" s="19"/>
      <c r="I28" s="19"/>
      <c r="J28" s="35"/>
      <c r="K28" s="20"/>
      <c r="L28" s="7"/>
      <c r="M28" s="18"/>
      <c r="N28" s="19"/>
      <c r="O28" s="19"/>
      <c r="P28" s="19"/>
      <c r="Q28" s="20"/>
      <c r="R28" s="20"/>
      <c r="S28" s="7"/>
      <c r="T28" s="29"/>
      <c r="U28" s="15"/>
      <c r="V28" s="15"/>
      <c r="W28" s="15">
        <f t="shared" si="22"/>
        <v>880380</v>
      </c>
      <c r="X28" s="22">
        <v>0.111666666666667</v>
      </c>
      <c r="Y28" s="22" t="str">
        <f t="shared" si="23"/>
        <v>#DIV/0!</v>
      </c>
    </row>
    <row r="29">
      <c r="A29" s="45">
        <f t="shared" si="17"/>
        <v>1576800</v>
      </c>
      <c r="B29" s="46">
        <v>2.0</v>
      </c>
      <c r="C29" s="46">
        <v>0.2</v>
      </c>
      <c r="D29" s="45">
        <f t="shared" si="18"/>
        <v>7884000</v>
      </c>
      <c r="E29" s="45">
        <f t="shared" si="19"/>
        <v>78840</v>
      </c>
      <c r="F29" s="47">
        <f t="shared" si="20"/>
        <v>157680</v>
      </c>
      <c r="G29" s="47">
        <f t="shared" si="21"/>
        <v>12614400</v>
      </c>
      <c r="H29" s="19"/>
      <c r="I29" s="19"/>
      <c r="J29" s="35"/>
      <c r="K29" s="20"/>
      <c r="L29" s="7"/>
      <c r="M29" s="18"/>
      <c r="N29" s="19"/>
      <c r="O29" s="19"/>
      <c r="P29" s="19"/>
      <c r="Q29" s="20"/>
      <c r="R29" s="20"/>
      <c r="S29" s="7"/>
      <c r="T29" s="29"/>
      <c r="U29" s="15"/>
      <c r="V29" s="15"/>
      <c r="W29" s="15">
        <f t="shared" si="22"/>
        <v>848844</v>
      </c>
      <c r="X29" s="22">
        <v>0.107666666666667</v>
      </c>
      <c r="Y29" s="22" t="str">
        <f t="shared" si="23"/>
        <v>#DIV/0!</v>
      </c>
    </row>
    <row r="30">
      <c r="A30" s="48" t="s">
        <v>22</v>
      </c>
      <c r="B30" s="48"/>
      <c r="C30" s="48"/>
      <c r="D30" s="49"/>
      <c r="E30" s="49"/>
      <c r="F30" s="50"/>
      <c r="G30" s="50"/>
      <c r="H30" s="41"/>
      <c r="I30" s="41"/>
      <c r="J30" s="42"/>
      <c r="K30" s="43"/>
      <c r="L30" s="7"/>
      <c r="M30" s="44"/>
      <c r="N30" s="41"/>
      <c r="O30" s="41"/>
      <c r="P30" s="41"/>
      <c r="Q30" s="43"/>
      <c r="R30" s="43"/>
      <c r="S30" s="7"/>
      <c r="T30" s="29"/>
      <c r="U30" s="15"/>
      <c r="V30" s="15"/>
      <c r="W30" s="15"/>
      <c r="X30" s="22"/>
      <c r="Y30" s="22"/>
    </row>
    <row r="31">
      <c r="A31" s="45">
        <f t="shared" ref="A31:A39" si="24">10*720*365</f>
        <v>2628000</v>
      </c>
      <c r="B31" s="46">
        <v>0.4</v>
      </c>
      <c r="C31" s="46">
        <v>0.2</v>
      </c>
      <c r="D31" s="45">
        <f t="shared" ref="D31:D39" si="25">A31/C31</f>
        <v>13140000</v>
      </c>
      <c r="E31" s="45">
        <f t="shared" ref="E31:E39" si="26">D31/100</f>
        <v>131400</v>
      </c>
      <c r="F31" s="47">
        <f t="shared" ref="F31:F39" si="27">E31*B31</f>
        <v>52560</v>
      </c>
      <c r="G31" s="47">
        <f t="shared" ref="G31:G39" si="28">0.8*D31*B31</f>
        <v>4204800</v>
      </c>
      <c r="H31" s="19"/>
      <c r="I31" s="19"/>
      <c r="J31" s="35"/>
      <c r="K31" s="20"/>
      <c r="L31" s="7"/>
      <c r="M31" s="18"/>
      <c r="N31" s="19"/>
      <c r="O31" s="19"/>
      <c r="P31" s="19"/>
      <c r="Q31" s="20"/>
      <c r="R31" s="20"/>
      <c r="S31" s="7"/>
      <c r="T31" s="29"/>
      <c r="U31" s="15"/>
      <c r="V31" s="15"/>
      <c r="W31" s="15">
        <f>X31*$D31</f>
        <v>1362180</v>
      </c>
      <c r="X31" s="22">
        <v>0.103666666666667</v>
      </c>
      <c r="Y31" s="22" t="str">
        <f>(U31*$D31)/T31</f>
        <v>#DIV/0!</v>
      </c>
    </row>
    <row r="32">
      <c r="A32" s="45">
        <f t="shared" si="24"/>
        <v>2628000</v>
      </c>
      <c r="B32" s="51">
        <v>0.6</v>
      </c>
      <c r="C32" s="51">
        <v>0.2</v>
      </c>
      <c r="D32" s="45">
        <f t="shared" si="25"/>
        <v>13140000</v>
      </c>
      <c r="E32" s="45">
        <f t="shared" si="26"/>
        <v>131400</v>
      </c>
      <c r="F32" s="47">
        <f t="shared" si="27"/>
        <v>78840</v>
      </c>
      <c r="G32" s="47">
        <f t="shared" si="28"/>
        <v>6307200</v>
      </c>
    </row>
    <row r="33">
      <c r="A33" s="45">
        <f t="shared" si="24"/>
        <v>2628000</v>
      </c>
      <c r="B33" s="51">
        <v>0.8</v>
      </c>
      <c r="C33" s="51">
        <v>0.2</v>
      </c>
      <c r="D33" s="45">
        <f t="shared" si="25"/>
        <v>13140000</v>
      </c>
      <c r="E33" s="45">
        <f t="shared" si="26"/>
        <v>131400</v>
      </c>
      <c r="F33" s="47">
        <f t="shared" si="27"/>
        <v>105120</v>
      </c>
      <c r="G33" s="47">
        <f t="shared" si="28"/>
        <v>8409600</v>
      </c>
    </row>
    <row r="34">
      <c r="A34" s="45">
        <f t="shared" si="24"/>
        <v>2628000</v>
      </c>
      <c r="B34" s="51">
        <v>1.0</v>
      </c>
      <c r="C34" s="51">
        <v>0.2</v>
      </c>
      <c r="D34" s="45">
        <f t="shared" si="25"/>
        <v>13140000</v>
      </c>
      <c r="E34" s="45">
        <f t="shared" si="26"/>
        <v>131400</v>
      </c>
      <c r="F34" s="47">
        <f t="shared" si="27"/>
        <v>131400</v>
      </c>
      <c r="G34" s="47">
        <f t="shared" si="28"/>
        <v>10512000</v>
      </c>
    </row>
    <row r="35">
      <c r="A35" s="45">
        <f t="shared" si="24"/>
        <v>2628000</v>
      </c>
      <c r="B35" s="51">
        <v>1.2</v>
      </c>
      <c r="C35" s="51">
        <v>0.2</v>
      </c>
      <c r="D35" s="45">
        <f t="shared" si="25"/>
        <v>13140000</v>
      </c>
      <c r="E35" s="45">
        <f t="shared" si="26"/>
        <v>131400</v>
      </c>
      <c r="F35" s="47">
        <f t="shared" si="27"/>
        <v>157680</v>
      </c>
      <c r="G35" s="47">
        <f t="shared" si="28"/>
        <v>12614400</v>
      </c>
    </row>
    <row r="36">
      <c r="A36" s="45">
        <f t="shared" si="24"/>
        <v>2628000</v>
      </c>
      <c r="B36" s="51">
        <v>1.4</v>
      </c>
      <c r="C36" s="51">
        <v>0.2</v>
      </c>
      <c r="D36" s="45">
        <f t="shared" si="25"/>
        <v>13140000</v>
      </c>
      <c r="E36" s="45">
        <f t="shared" si="26"/>
        <v>131400</v>
      </c>
      <c r="F36" s="47">
        <f t="shared" si="27"/>
        <v>183960</v>
      </c>
      <c r="G36" s="47">
        <f t="shared" si="28"/>
        <v>14716800</v>
      </c>
    </row>
    <row r="37">
      <c r="A37" s="45">
        <f t="shared" si="24"/>
        <v>2628000</v>
      </c>
      <c r="B37" s="51">
        <v>1.6</v>
      </c>
      <c r="C37" s="51">
        <v>0.2</v>
      </c>
      <c r="D37" s="45">
        <f t="shared" si="25"/>
        <v>13140000</v>
      </c>
      <c r="E37" s="45">
        <f t="shared" si="26"/>
        <v>131400</v>
      </c>
      <c r="F37" s="47">
        <f t="shared" si="27"/>
        <v>210240</v>
      </c>
      <c r="G37" s="47">
        <f t="shared" si="28"/>
        <v>16819200</v>
      </c>
    </row>
    <row r="38">
      <c r="A38" s="45">
        <f t="shared" si="24"/>
        <v>2628000</v>
      </c>
      <c r="B38" s="51">
        <v>1.8</v>
      </c>
      <c r="C38" s="51">
        <v>0.2</v>
      </c>
      <c r="D38" s="45">
        <f t="shared" si="25"/>
        <v>13140000</v>
      </c>
      <c r="E38" s="45">
        <f t="shared" si="26"/>
        <v>131400</v>
      </c>
      <c r="F38" s="47">
        <f t="shared" si="27"/>
        <v>236520</v>
      </c>
      <c r="G38" s="47">
        <f t="shared" si="28"/>
        <v>18921600</v>
      </c>
    </row>
    <row r="39">
      <c r="A39" s="45">
        <f t="shared" si="24"/>
        <v>2628000</v>
      </c>
      <c r="B39" s="51">
        <v>2.0</v>
      </c>
      <c r="C39" s="51">
        <v>0.2</v>
      </c>
      <c r="D39" s="45">
        <f t="shared" si="25"/>
        <v>13140000</v>
      </c>
      <c r="E39" s="45">
        <f t="shared" si="26"/>
        <v>131400</v>
      </c>
      <c r="F39" s="47">
        <f t="shared" si="27"/>
        <v>262800</v>
      </c>
      <c r="G39" s="47">
        <f t="shared" si="28"/>
        <v>21024000</v>
      </c>
    </row>
  </sheetData>
  <mergeCells count="2">
    <mergeCell ref="A1:K1"/>
    <mergeCell ref="A18:K18"/>
  </mergeCells>
  <drawing r:id="rId1"/>
</worksheet>
</file>