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whaak\OneDrive\Skrivebord\Selskaper\NSKOG\"/>
    </mc:Choice>
  </mc:AlternateContent>
  <xr:revisionPtr revIDLastSave="0" documentId="13_ncr:1_{266DF73C-0C36-4E60-8A0E-5DE48048F718}" xr6:coauthVersionLast="47" xr6:coauthVersionMax="47" xr10:uidLastSave="{00000000-0000-0000-0000-000000000000}"/>
  <bookViews>
    <workbookView xWindow="1410" yWindow="4185" windowWidth="21600" windowHeight="11295" xr2:uid="{00000000-000D-0000-FFFF-FFFF00000000}"/>
  </bookViews>
  <sheets>
    <sheet name="Main" sheetId="1" r:id="rId1"/>
    <sheet name="Model" sheetId="2" r:id="rId2"/>
    <sheet name="Mills" sheetId="3" r:id="rId3"/>
    <sheet name="Note to sel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BB68" i="2"/>
  <c r="BB69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T25" i="2"/>
  <c r="U25" i="2"/>
  <c r="V25" i="2"/>
  <c r="W25" i="2"/>
  <c r="S25" i="2"/>
  <c r="R14" i="2"/>
  <c r="Q125" i="2"/>
  <c r="Q120" i="2"/>
  <c r="Q114" i="2"/>
  <c r="Q129" i="2" s="1"/>
  <c r="Q102" i="2"/>
  <c r="Q104" i="2" s="1"/>
  <c r="Q96" i="2"/>
  <c r="Q90" i="2"/>
  <c r="Q84" i="2"/>
  <c r="Q78" i="2"/>
  <c r="Q86" i="2" s="1"/>
  <c r="Q14" i="2"/>
  <c r="BB14" i="2" s="1"/>
  <c r="Q13" i="2"/>
  <c r="P13" i="2"/>
  <c r="Q61" i="2"/>
  <c r="Q50" i="2"/>
  <c r="Q42" i="2"/>
  <c r="Q51" i="2" s="1"/>
  <c r="Q54" i="2" l="1"/>
  <c r="Q63" i="2"/>
  <c r="Q62" i="2"/>
  <c r="Q105" i="2"/>
  <c r="AZ102" i="2"/>
  <c r="AZ96" i="2"/>
  <c r="AZ90" i="2"/>
  <c r="AZ84" i="2"/>
  <c r="AZ78" i="2"/>
  <c r="AZ86" i="2" s="1"/>
  <c r="BA102" i="2"/>
  <c r="BA96" i="2"/>
  <c r="BA90" i="2"/>
  <c r="BA84" i="2"/>
  <c r="BA78" i="2"/>
  <c r="BC35" i="2"/>
  <c r="BC36" i="2" s="1"/>
  <c r="BD35" i="2"/>
  <c r="BD36" i="2" s="1"/>
  <c r="BE35" i="2"/>
  <c r="BE36" i="2" s="1"/>
  <c r="BF35" i="2"/>
  <c r="BF36" i="2" s="1"/>
  <c r="BG35" i="2"/>
  <c r="BG36" i="2" s="1"/>
  <c r="BB35" i="2"/>
  <c r="BB36" i="2" s="1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J26" i="2"/>
  <c r="AK26" i="2"/>
  <c r="AL26" i="2"/>
  <c r="Z26" i="2"/>
  <c r="AA26" i="2"/>
  <c r="AB26" i="2"/>
  <c r="AC26" i="2"/>
  <c r="AD26" i="2"/>
  <c r="AE26" i="2"/>
  <c r="AF26" i="2"/>
  <c r="AG26" i="2"/>
  <c r="AH26" i="2"/>
  <c r="AI26" i="2"/>
  <c r="W26" i="2"/>
  <c r="BD26" i="2" s="1"/>
  <c r="X26" i="2"/>
  <c r="Y26" i="2"/>
  <c r="T26" i="2"/>
  <c r="U26" i="2"/>
  <c r="V26" i="2"/>
  <c r="S26" i="2"/>
  <c r="BC26" i="2" l="1"/>
  <c r="Q56" i="2"/>
  <c r="Q57" i="2" s="1"/>
  <c r="Q64" i="2"/>
  <c r="AZ104" i="2"/>
  <c r="AZ105" i="2"/>
  <c r="BA104" i="2"/>
  <c r="BA105" i="2" s="1"/>
  <c r="BA86" i="2"/>
  <c r="BD28" i="2"/>
  <c r="BD29" i="2" s="1"/>
  <c r="BE26" i="2"/>
  <c r="BE28" i="2" s="1"/>
  <c r="BE29" i="2" s="1"/>
  <c r="BG26" i="2"/>
  <c r="BG28" i="2" s="1"/>
  <c r="BG29" i="2" s="1"/>
  <c r="BE14" i="2"/>
  <c r="BE16" i="2" s="1"/>
  <c r="BE17" i="2" s="1"/>
  <c r="BG14" i="2"/>
  <c r="BG16" i="2" s="1"/>
  <c r="BG17" i="2" s="1"/>
  <c r="BC28" i="2"/>
  <c r="BC29" i="2" s="1"/>
  <c r="BF26" i="2"/>
  <c r="BF28" i="2" s="1"/>
  <c r="BF29" i="2" s="1"/>
  <c r="BF14" i="2"/>
  <c r="BF16" i="2" s="1"/>
  <c r="BF17" i="2" s="1"/>
  <c r="BD14" i="2"/>
  <c r="BD16" i="2" s="1"/>
  <c r="BD17" i="2" s="1"/>
  <c r="BC13" i="2"/>
  <c r="BB13" i="2"/>
  <c r="BB8" i="2" s="1"/>
  <c r="T14" i="2"/>
  <c r="U14" i="2"/>
  <c r="V14" i="2"/>
  <c r="S14" i="2"/>
  <c r="BC14" i="2" s="1"/>
  <c r="BA13" i="2"/>
  <c r="AZ7" i="2"/>
  <c r="BA7" i="2"/>
  <c r="AY7" i="2"/>
  <c r="AY6" i="2"/>
  <c r="AZ6" i="2"/>
  <c r="BA6" i="2"/>
  <c r="G15" i="3"/>
  <c r="G12" i="3"/>
  <c r="G10" i="3"/>
  <c r="G9" i="3"/>
  <c r="G4" i="3"/>
  <c r="G5" i="3"/>
  <c r="G6" i="3"/>
  <c r="G7" i="3"/>
  <c r="G3" i="3"/>
  <c r="E12" i="3"/>
  <c r="F12" i="3"/>
  <c r="D12" i="3"/>
  <c r="D10" i="3"/>
  <c r="E10" i="3"/>
  <c r="F10" i="3"/>
  <c r="C10" i="3"/>
  <c r="E7" i="3"/>
  <c r="F7" i="3"/>
  <c r="D7" i="3"/>
  <c r="C7" i="3"/>
  <c r="C12" i="3"/>
  <c r="AY58" i="2"/>
  <c r="AY40" i="2"/>
  <c r="AY41" i="2"/>
  <c r="AY43" i="2"/>
  <c r="AY44" i="2"/>
  <c r="AY45" i="2"/>
  <c r="AY46" i="2"/>
  <c r="AY47" i="2"/>
  <c r="AY48" i="2"/>
  <c r="AY49" i="2"/>
  <c r="AY52" i="2"/>
  <c r="AY53" i="2"/>
  <c r="AY55" i="2"/>
  <c r="AZ58" i="2"/>
  <c r="AZ46" i="2"/>
  <c r="AZ45" i="2"/>
  <c r="AZ44" i="2"/>
  <c r="AZ43" i="2"/>
  <c r="AZ41" i="2"/>
  <c r="AZ40" i="2"/>
  <c r="AZ47" i="2"/>
  <c r="AZ48" i="2"/>
  <c r="AZ49" i="2"/>
  <c r="AZ52" i="2"/>
  <c r="AZ53" i="2"/>
  <c r="AZ55" i="2"/>
  <c r="BA58" i="2"/>
  <c r="BA55" i="2"/>
  <c r="BA53" i="2"/>
  <c r="BA52" i="2"/>
  <c r="BA49" i="2"/>
  <c r="BA48" i="2"/>
  <c r="BA47" i="2"/>
  <c r="BA46" i="2"/>
  <c r="BA45" i="2"/>
  <c r="BA44" i="2"/>
  <c r="BA43" i="2"/>
  <c r="BA41" i="2"/>
  <c r="BA40" i="2"/>
  <c r="BA39" i="2"/>
  <c r="BA65" i="2" s="1"/>
  <c r="AZ39" i="2"/>
  <c r="AZ65" i="2" s="1"/>
  <c r="AY39" i="2"/>
  <c r="P61" i="2"/>
  <c r="O61" i="2"/>
  <c r="N61" i="2"/>
  <c r="M61" i="2"/>
  <c r="L61" i="2"/>
  <c r="K61" i="2"/>
  <c r="J61" i="2"/>
  <c r="I61" i="2"/>
  <c r="H61" i="2"/>
  <c r="G61" i="2"/>
  <c r="C50" i="2"/>
  <c r="C42" i="2"/>
  <c r="C62" i="2" s="1"/>
  <c r="D50" i="2"/>
  <c r="D42" i="2"/>
  <c r="D62" i="2" s="1"/>
  <c r="E50" i="2"/>
  <c r="E42" i="2"/>
  <c r="E62" i="2" s="1"/>
  <c r="H50" i="2"/>
  <c r="H42" i="2"/>
  <c r="H62" i="2" s="1"/>
  <c r="I50" i="2"/>
  <c r="I42" i="2"/>
  <c r="I62" i="2" s="1"/>
  <c r="F42" i="2"/>
  <c r="F62" i="2" s="1"/>
  <c r="G42" i="2"/>
  <c r="G62" i="2" s="1"/>
  <c r="J42" i="2"/>
  <c r="K42" i="2"/>
  <c r="F50" i="2"/>
  <c r="G50" i="2"/>
  <c r="J50" i="2"/>
  <c r="K50" i="2"/>
  <c r="M42" i="2"/>
  <c r="M62" i="2" s="1"/>
  <c r="M50" i="2"/>
  <c r="N50" i="2"/>
  <c r="N42" i="2"/>
  <c r="N62" i="2" s="1"/>
  <c r="L50" i="2"/>
  <c r="L42" i="2"/>
  <c r="P125" i="2"/>
  <c r="P120" i="2"/>
  <c r="P114" i="2"/>
  <c r="P102" i="2"/>
  <c r="P96" i="2"/>
  <c r="P90" i="2"/>
  <c r="P84" i="2"/>
  <c r="P78" i="2"/>
  <c r="O50" i="2"/>
  <c r="O42" i="2"/>
  <c r="O62" i="2" s="1"/>
  <c r="P42" i="2"/>
  <c r="P62" i="2" s="1"/>
  <c r="P50" i="2"/>
  <c r="C5" i="1"/>
  <c r="C8" i="1" s="1"/>
  <c r="P129" i="2" l="1"/>
  <c r="BC8" i="2"/>
  <c r="BC16" i="2"/>
  <c r="BC17" i="2" s="1"/>
  <c r="BC39" i="2" s="1"/>
  <c r="BD39" i="2"/>
  <c r="BG39" i="2"/>
  <c r="BG51" i="2" s="1"/>
  <c r="BG55" i="2" s="1"/>
  <c r="BE39" i="2"/>
  <c r="BE68" i="2" s="1"/>
  <c r="BD51" i="2"/>
  <c r="BE61" i="2"/>
  <c r="BF39" i="2"/>
  <c r="AZ61" i="2"/>
  <c r="BA61" i="2"/>
  <c r="AZ50" i="2"/>
  <c r="BA50" i="2"/>
  <c r="P86" i="2"/>
  <c r="BA42" i="2"/>
  <c r="BA62" i="2" s="1"/>
  <c r="AY50" i="2"/>
  <c r="AY42" i="2"/>
  <c r="AY62" i="2" s="1"/>
  <c r="AZ42" i="2"/>
  <c r="AZ62" i="2" s="1"/>
  <c r="P104" i="2"/>
  <c r="P105" i="2" s="1"/>
  <c r="C51" i="2"/>
  <c r="D51" i="2"/>
  <c r="D54" i="2" s="1"/>
  <c r="E51" i="2"/>
  <c r="E63" i="2" s="1"/>
  <c r="H51" i="2"/>
  <c r="H54" i="2" s="1"/>
  <c r="G51" i="2"/>
  <c r="P51" i="2"/>
  <c r="F51" i="2"/>
  <c r="I51" i="2"/>
  <c r="I63" i="2" s="1"/>
  <c r="J51" i="2"/>
  <c r="J63" i="2" s="1"/>
  <c r="J62" i="2"/>
  <c r="K51" i="2"/>
  <c r="K62" i="2"/>
  <c r="M51" i="2"/>
  <c r="M54" i="2" s="1"/>
  <c r="N51" i="2"/>
  <c r="N63" i="2" s="1"/>
  <c r="L51" i="2"/>
  <c r="L54" i="2" s="1"/>
  <c r="L62" i="2"/>
  <c r="O51" i="2"/>
  <c r="O63" i="2" s="1"/>
  <c r="BE51" i="2" l="1"/>
  <c r="BF68" i="2"/>
  <c r="BD55" i="2"/>
  <c r="BG68" i="2"/>
  <c r="BG69" i="2" s="1"/>
  <c r="BH69" i="2" s="1"/>
  <c r="BE55" i="2"/>
  <c r="BE69" i="2" s="1"/>
  <c r="BF51" i="2"/>
  <c r="BF55" i="2" s="1"/>
  <c r="BF61" i="2"/>
  <c r="BG61" i="2"/>
  <c r="BB16" i="2"/>
  <c r="BD68" i="2"/>
  <c r="BD69" i="2" s="1"/>
  <c r="K54" i="2"/>
  <c r="K64" i="2" s="1"/>
  <c r="BA51" i="2"/>
  <c r="C54" i="2"/>
  <c r="C64" i="2" s="1"/>
  <c r="AY51" i="2"/>
  <c r="AY63" i="2" s="1"/>
  <c r="G63" i="2"/>
  <c r="AZ51" i="2"/>
  <c r="G54" i="2"/>
  <c r="P54" i="2"/>
  <c r="P56" i="2" s="1"/>
  <c r="P57" i="2" s="1"/>
  <c r="P63" i="2"/>
  <c r="L63" i="2"/>
  <c r="C63" i="2"/>
  <c r="D63" i="2"/>
  <c r="H63" i="2"/>
  <c r="D64" i="2"/>
  <c r="D56" i="2"/>
  <c r="D57" i="2" s="1"/>
  <c r="E54" i="2"/>
  <c r="E64" i="2" s="1"/>
  <c r="F54" i="2"/>
  <c r="F63" i="2"/>
  <c r="H64" i="2"/>
  <c r="H56" i="2"/>
  <c r="H57" i="2" s="1"/>
  <c r="I54" i="2"/>
  <c r="I64" i="2" s="1"/>
  <c r="J54" i="2"/>
  <c r="J56" i="2" s="1"/>
  <c r="J57" i="2" s="1"/>
  <c r="K63" i="2"/>
  <c r="M63" i="2"/>
  <c r="M64" i="2"/>
  <c r="M56" i="2"/>
  <c r="M57" i="2" s="1"/>
  <c r="N54" i="2"/>
  <c r="N56" i="2" s="1"/>
  <c r="N57" i="2" s="1"/>
  <c r="L64" i="2"/>
  <c r="L56" i="2"/>
  <c r="L57" i="2" s="1"/>
  <c r="O54" i="2"/>
  <c r="O64" i="2" s="1"/>
  <c r="BI69" i="2" l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EL69" i="2" s="1"/>
  <c r="EM69" i="2" s="1"/>
  <c r="EN69" i="2" s="1"/>
  <c r="EO69" i="2" s="1"/>
  <c r="EP69" i="2" s="1"/>
  <c r="EQ69" i="2" s="1"/>
  <c r="ER69" i="2" s="1"/>
  <c r="ES69" i="2" s="1"/>
  <c r="ET69" i="2" s="1"/>
  <c r="EU69" i="2" s="1"/>
  <c r="EV69" i="2" s="1"/>
  <c r="EW69" i="2" s="1"/>
  <c r="EX69" i="2" s="1"/>
  <c r="EY69" i="2" s="1"/>
  <c r="EZ69" i="2" s="1"/>
  <c r="FA69" i="2" s="1"/>
  <c r="FB69" i="2" s="1"/>
  <c r="FC69" i="2" s="1"/>
  <c r="FD69" i="2" s="1"/>
  <c r="FE69" i="2" s="1"/>
  <c r="FF69" i="2" s="1"/>
  <c r="FG69" i="2" s="1"/>
  <c r="FH69" i="2" s="1"/>
  <c r="FI69" i="2" s="1"/>
  <c r="FJ69" i="2" s="1"/>
  <c r="FK69" i="2" s="1"/>
  <c r="FL69" i="2" s="1"/>
  <c r="FM69" i="2" s="1"/>
  <c r="FN69" i="2" s="1"/>
  <c r="FO69" i="2" s="1"/>
  <c r="FP69" i="2" s="1"/>
  <c r="FQ69" i="2" s="1"/>
  <c r="FR69" i="2" s="1"/>
  <c r="FS69" i="2" s="1"/>
  <c r="FT69" i="2" s="1"/>
  <c r="FU69" i="2" s="1"/>
  <c r="FV69" i="2" s="1"/>
  <c r="FW69" i="2" s="1"/>
  <c r="FX69" i="2" s="1"/>
  <c r="FY69" i="2" s="1"/>
  <c r="BB17" i="2"/>
  <c r="BF69" i="2"/>
  <c r="BC51" i="2"/>
  <c r="BD61" i="2"/>
  <c r="AZ63" i="2"/>
  <c r="AZ66" i="2"/>
  <c r="BA63" i="2"/>
  <c r="C56" i="2"/>
  <c r="C57" i="2" s="1"/>
  <c r="E56" i="2"/>
  <c r="E57" i="2" s="1"/>
  <c r="AZ54" i="2"/>
  <c r="AZ64" i="2" s="1"/>
  <c r="G64" i="2"/>
  <c r="P64" i="2"/>
  <c r="G56" i="2"/>
  <c r="AY54" i="2"/>
  <c r="AY64" i="2" s="1"/>
  <c r="K56" i="2"/>
  <c r="BA54" i="2"/>
  <c r="BA64" i="2" s="1"/>
  <c r="BA66" i="2" s="1"/>
  <c r="F56" i="2"/>
  <c r="F57" i="2" s="1"/>
  <c r="F64" i="2"/>
  <c r="I56" i="2"/>
  <c r="I57" i="2" s="1"/>
  <c r="J64" i="2"/>
  <c r="N64" i="2"/>
  <c r="O56" i="2"/>
  <c r="O57" i="2" s="1"/>
  <c r="F5" i="1" l="1"/>
  <c r="F7" i="1" s="1"/>
  <c r="F8" i="1" s="1"/>
  <c r="H3" i="1" s="1"/>
  <c r="BB39" i="2"/>
  <c r="BC55" i="2"/>
  <c r="BC69" i="2" s="1"/>
  <c r="AY56" i="2"/>
  <c r="AY57" i="2" s="1"/>
  <c r="G57" i="2"/>
  <c r="AZ56" i="2"/>
  <c r="K57" i="2"/>
  <c r="BA56" i="2"/>
  <c r="BA57" i="2" s="1"/>
  <c r="BB51" i="2" l="1"/>
  <c r="BB55" i="2" s="1"/>
  <c r="BC61" i="2"/>
  <c r="BB61" i="2"/>
  <c r="AZ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tc={2AB92BA2-69A4-4BC9-8A61-3748F24D3272}</author>
    <author>tc={3BBC3F74-4CF1-40DE-9F2A-E98405A1D3CE}</author>
  </authors>
  <commentList>
    <comment ref="C6" authorId="0" shapeId="0" xr:uid="{2AB92BA2-69A4-4BC9-8A61-3748F24D32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Cash and cash eq</t>
      </text>
    </comment>
    <comment ref="C7" authorId="1" shapeId="0" xr:uid="{3BBC3F74-4CF1-40DE-9F2A-E98405A1D3C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Net interest bearing debt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Håkon Wiland</author>
  </authors>
  <commentList>
    <comment ref="Q7" authorId="0" shapeId="0" xr:uid="{CDA0AB2F-DCED-4FF7-A9BB-B50C83EAB919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Australasia generelly worse operating rate then Europe. Coservative estimate.</t>
        </r>
      </text>
    </comment>
    <comment ref="S7" authorId="0" shapeId="0" xr:uid="{A74E5EE2-156C-4558-B92C-FE8BF98F07F5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Forbedre operating rate over tid, burde være realistisk.</t>
        </r>
      </text>
    </comment>
    <comment ref="Q11" authorId="0" shapeId="0" xr:uid="{B0613504-E26B-456A-AA48-781B4D4A0945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Close Bruck PM3 10. July
Reduction in only Newsprint, not magazine</t>
        </r>
      </text>
    </comment>
    <comment ref="S11" authorId="0" shapeId="0" xr:uid="{67BA7A9D-3310-465D-BDC6-C3D9D4A91B98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Golbey PM1 closeing end of q4 22 
</t>
        </r>
      </text>
    </comment>
    <comment ref="B13" authorId="0" shapeId="0" xr:uid="{D71E2C4A-16BF-4255-9126-37209CAD60D9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Total prod capasity per year.
</t>
        </r>
      </text>
    </comment>
    <comment ref="BB13" authorId="0" shapeId="0" xr:uid="{C5142BAF-39A4-467C-87A9-6F45790A2D27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Redusert fra 2021 kapasitet juli 10.</t>
        </r>
      </text>
    </comment>
    <comment ref="B15" authorId="0" shapeId="0" xr:uid="{E1DE36EE-1EAC-4770-A125-E17317CB574D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Se q42021. 
Forskjellig pris på News, SC, og LWC. Kan gjøre mer detaljert senere, dette er kun en proxy.</t>
        </r>
      </text>
    </comment>
    <comment ref="S22" authorId="0" shapeId="0" xr:uid="{07B3F391-BA86-4EDC-9999-6C647B83073F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60-70% utilisation first year. 3rd year full utilisation -&gt; q326?
Veldig røff prosjektering, bare for når.</t>
        </r>
      </text>
    </comment>
    <comment ref="W24" authorId="0" shapeId="0" xr:uid="{AE236527-4006-4E94-B662-8E627D34D86A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60-70% utilisation first year. 3rd year full utilisation.
Samme her, veldig røff projektering.</t>
        </r>
      </text>
    </comment>
    <comment ref="B27" authorId="0" shapeId="0" xr:uid="{6799BCD6-0A20-4D13-9B6F-6AFDE2BC32AB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Igjen, detter er porxy. Flere forskjellige typer se q421.
</t>
        </r>
      </text>
    </comment>
    <comment ref="BE33" authorId="0" shapeId="0" xr:uid="{25F9454F-826A-4986-BD78-887C2A776956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Forventet allowance av selskapet er 410k 2022-2025. </t>
        </r>
      </text>
    </comment>
    <comment ref="BB34" authorId="0" shapeId="0" xr:uid="{0CF0090F-ECF1-4497-B116-D7D273BF9DA0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VELDIG middlertidig estimat. 50EUR er 2021 average, sier egentlig ingenting, tror den skal opp.</t>
        </r>
      </text>
    </comment>
    <comment ref="F48" authorId="0" shapeId="0" xr:uid="{D2DA014E-95C0-456D-888C-61C8A1F88F85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Møller Tasman og albury. Presterer dårligere enn estimat</t>
        </r>
      </text>
    </comment>
    <comment ref="J49" authorId="0" shapeId="0" xr:uid="{F4611470-308B-485A-B9AC-0A6E2DAB5CE0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Generelt tap på commodity derivater </t>
        </r>
      </text>
    </comment>
    <comment ref="M49" authorId="0" shapeId="0" xr:uid="{2C336D94-1CFE-424F-A73D-F17EAFD74922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Flere kvatral som er ulønnsomme grunnet tap på derivater? Hvorfor?</t>
        </r>
      </text>
    </comment>
    <comment ref="K58" authorId="0" shapeId="0" xr:uid="{A92ADDA5-B950-4EE6-81EC-277A836DC5FA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Nye akasjer utsendt
</t>
        </r>
      </text>
    </comment>
    <comment ref="P63" authorId="0" shapeId="0" xr:uid="{767F74A4-CA1C-475D-83AC-52CCD4BCF82F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Engangstilfelle, salg av Natures flame. Ikke representativ.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Håkon Wiland</author>
  </authors>
  <commentList>
    <comment ref="G14" authorId="0" shapeId="0" xr:uid="{C380EBF5-3320-472D-AA21-D149309ECC59}">
      <text>
        <r>
          <rPr>
            <b/>
            <sz val="9"/>
            <color indexed="81"/>
            <rFont val="Tahoma"/>
            <family val="2"/>
          </rPr>
          <t>Håkon Wiland:</t>
        </r>
        <r>
          <rPr>
            <sz val="9"/>
            <color indexed="81"/>
            <rFont val="Tahoma"/>
            <family val="2"/>
          </rPr>
          <t xml:space="preserve">
Source Q2022 s.31 RISI</t>
        </r>
      </text>
    </comment>
  </commentList>
</comments>
</file>

<file path=xl/sharedStrings.xml><?xml version="1.0" encoding="utf-8"?>
<sst xmlns="http://schemas.openxmlformats.org/spreadsheetml/2006/main" count="170" uniqueCount="170">
  <si>
    <t xml:space="preserve">Price </t>
  </si>
  <si>
    <t>Shares</t>
  </si>
  <si>
    <t>MC</t>
  </si>
  <si>
    <t>Cash</t>
  </si>
  <si>
    <t>Debt</t>
  </si>
  <si>
    <t>EV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</si>
  <si>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</si>
  <si>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</si>
  <si>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</si>
  <si>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</si>
  <si>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</si>
  <si>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</si>
  <si>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</si>
  <si>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</si>
  <si>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</si>
  <si>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</si>
  <si>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</si>
  <si>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</si>
  <si>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</si>
  <si>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</si>
  <si>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Revenue</t>
  </si>
  <si>
    <t>Distribution cost</t>
  </si>
  <si>
    <t>Cost of materials</t>
  </si>
  <si>
    <t>Employee expenses</t>
  </si>
  <si>
    <t>Other Opex</t>
  </si>
  <si>
    <t>Restructuring expenses</t>
  </si>
  <si>
    <t>Depreciation</t>
  </si>
  <si>
    <t>Derivatives</t>
  </si>
  <si>
    <t>Operating expenses</t>
  </si>
  <si>
    <t>Share of profit in associated companies</t>
  </si>
  <si>
    <t>Financial items</t>
  </si>
  <si>
    <t>Pretax income</t>
  </si>
  <si>
    <t>Taxes</t>
  </si>
  <si>
    <t>Net income</t>
  </si>
  <si>
    <t>Gross income</t>
  </si>
  <si>
    <t>Operating income</t>
  </si>
  <si>
    <t>EPS</t>
  </si>
  <si>
    <t xml:space="preserve">Shares </t>
  </si>
  <si>
    <t>Revenue y/y</t>
  </si>
  <si>
    <t>Gross margin</t>
  </si>
  <si>
    <t>Operating margin</t>
  </si>
  <si>
    <t>Tax Rate</t>
  </si>
  <si>
    <t>Deferred tax asset</t>
  </si>
  <si>
    <t>Intangible assets</t>
  </si>
  <si>
    <t>PP&amp;E</t>
  </si>
  <si>
    <t>Investment in joint ventures</t>
  </si>
  <si>
    <t>Other non current assets</t>
  </si>
  <si>
    <t>Total nono current assets</t>
  </si>
  <si>
    <t>Inventories</t>
  </si>
  <si>
    <t>Trade receivables</t>
  </si>
  <si>
    <t>Other current assets</t>
  </si>
  <si>
    <t>Cash &amp; cash equivalents</t>
  </si>
  <si>
    <t>Total current assets</t>
  </si>
  <si>
    <t>Total assets</t>
  </si>
  <si>
    <t>Paid in equity</t>
  </si>
  <si>
    <t>Retained earnings</t>
  </si>
  <si>
    <t>Total Equity</t>
  </si>
  <si>
    <t>Employee benefit oblig.</t>
  </si>
  <si>
    <t>Deferred tax liability</t>
  </si>
  <si>
    <t>Other non current liability</t>
  </si>
  <si>
    <t>Total non current liability</t>
  </si>
  <si>
    <t>Trade payables</t>
  </si>
  <si>
    <t>Tax payable</t>
  </si>
  <si>
    <t>Interest bearing CL</t>
  </si>
  <si>
    <t>Interest bearing NCL</t>
  </si>
  <si>
    <t>Other current liability</t>
  </si>
  <si>
    <t>Total current liability</t>
  </si>
  <si>
    <t>Total Liabilities</t>
  </si>
  <si>
    <t>Total equity and liabilities</t>
  </si>
  <si>
    <t>Cash from operations</t>
  </si>
  <si>
    <t>Cash used operations</t>
  </si>
  <si>
    <t>Cash flow form hedge</t>
  </si>
  <si>
    <t>Interest inflow</t>
  </si>
  <si>
    <t>Interest outflow</t>
  </si>
  <si>
    <t>Taxes paid</t>
  </si>
  <si>
    <t>CFFO</t>
  </si>
  <si>
    <t>Capex PP&amp;E</t>
  </si>
  <si>
    <t>Sales PP&amp;E</t>
  </si>
  <si>
    <t>Purchase of shares in companies</t>
  </si>
  <si>
    <t>Sales of shares in companies</t>
  </si>
  <si>
    <t>CFFI</t>
  </si>
  <si>
    <t>New loand raised</t>
  </si>
  <si>
    <t>Repayments of loan</t>
  </si>
  <si>
    <t>New equity</t>
  </si>
  <si>
    <t>CFFF</t>
  </si>
  <si>
    <t>Cash start of periode</t>
  </si>
  <si>
    <t>Cash end of periode</t>
  </si>
  <si>
    <t>FX</t>
  </si>
  <si>
    <t>Impairments</t>
  </si>
  <si>
    <t>Fixed costs</t>
  </si>
  <si>
    <t>Q322</t>
  </si>
  <si>
    <t>Q422</t>
  </si>
  <si>
    <t>Q123</t>
  </si>
  <si>
    <t>Bruck</t>
  </si>
  <si>
    <t>Golbey</t>
  </si>
  <si>
    <t>Saugbrugs</t>
  </si>
  <si>
    <t>Skogn</t>
  </si>
  <si>
    <t>Total Europe</t>
  </si>
  <si>
    <t>Boyer</t>
  </si>
  <si>
    <t>Total Australasia</t>
  </si>
  <si>
    <t>Total Norske skog groupe</t>
  </si>
  <si>
    <t>Newsprint</t>
  </si>
  <si>
    <t>Packaging paper</t>
  </si>
  <si>
    <t>LWC (Magazine paper)</t>
  </si>
  <si>
    <t>SC (Magazine paper)</t>
  </si>
  <si>
    <t>Total Capacity</t>
  </si>
  <si>
    <t>Total Paper production (Tonnes)</t>
  </si>
  <si>
    <t>Total West European Paper capacity</t>
  </si>
  <si>
    <t>Norske skog paper market share est.</t>
  </si>
  <si>
    <t>Australasia Operating Rate%</t>
  </si>
  <si>
    <t>Europe Operating Rate%</t>
  </si>
  <si>
    <t>Papir capacity Europe</t>
  </si>
  <si>
    <t>Papir capacity Australasia</t>
  </si>
  <si>
    <t>Q223</t>
  </si>
  <si>
    <t>Q323</t>
  </si>
  <si>
    <t>Q423</t>
  </si>
  <si>
    <t>Total paper production capacity</t>
  </si>
  <si>
    <t>Bruck Containerboard OR%</t>
  </si>
  <si>
    <t>Golbey Contrainerboard OR%</t>
  </si>
  <si>
    <t>Q124</t>
  </si>
  <si>
    <t>Bruck Capacity</t>
  </si>
  <si>
    <t>Golbey Capacity</t>
  </si>
  <si>
    <t xml:space="preserve"> 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</si>
  <si>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</si>
  <si>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</si>
  <si>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</si>
  <si>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</si>
  <si>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</si>
  <si>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</si>
  <si>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</si>
  <si>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</si>
  <si>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</si>
  <si>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</si>
  <si>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</si>
  <si>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Capasity in Tonnes (A2021)</t>
  </si>
  <si>
    <t>Q127</t>
  </si>
  <si>
    <t>Q227</t>
  </si>
  <si>
    <t>Q327</t>
  </si>
  <si>
    <t>Q427</t>
  </si>
  <si>
    <t>Total Containerboard (Tonnes)</t>
  </si>
  <si>
    <t>Total Operating Rate PP%(Actual)</t>
  </si>
  <si>
    <t>EUR per CO2 allowance</t>
  </si>
  <si>
    <t>CO2 allowances (in mill)</t>
  </si>
  <si>
    <t>Total Revenue from CO2A (Mil. EUR)</t>
  </si>
  <si>
    <t>Total Revenue from CO2A (Mil. NOK)</t>
  </si>
  <si>
    <t>EUR per tonne paper</t>
  </si>
  <si>
    <t>Total Revenue from PP (Mil. EUR)</t>
  </si>
  <si>
    <t>Total Revenue from PP (Mil. NOK)</t>
  </si>
  <si>
    <t>EUR Contrainerboard (EUR)</t>
  </si>
  <si>
    <t>Total Revenue from CB (Mil. EUR)</t>
  </si>
  <si>
    <t>Total Revenue From CB (Mil. NOK)</t>
  </si>
  <si>
    <t>Income statement</t>
  </si>
  <si>
    <t>Balance sheet</t>
  </si>
  <si>
    <t>Cash flow statement</t>
  </si>
  <si>
    <t>Sales to capital Ratio</t>
  </si>
  <si>
    <t>ROIC</t>
  </si>
  <si>
    <t>Reinvestment</t>
  </si>
  <si>
    <t>FCFF</t>
  </si>
  <si>
    <t>NPV</t>
  </si>
  <si>
    <t>Net debt</t>
  </si>
  <si>
    <t>Equity</t>
  </si>
  <si>
    <t>TGR</t>
  </si>
  <si>
    <t>Fair price</t>
  </si>
  <si>
    <t xml:space="preserve">Containterboard </t>
  </si>
  <si>
    <t xml:space="preserve">Papir </t>
  </si>
  <si>
    <t>Total Containerboard Capasity</t>
  </si>
  <si>
    <t>Disc. Rate</t>
  </si>
  <si>
    <t xml:space="preserve">Market </t>
  </si>
  <si>
    <t xml:space="preserve">Model </t>
  </si>
  <si>
    <t>Uppside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</si>
</sst>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#,##0.000"/>
    <numFmt numFmtId="166" formatCode="#,##0_ ;[Red]\-#,##0\ "/>
    <numFmt numFmtId="167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15149</xdr:colOff>
      <xdr:row>1</xdr:row>
      <xdr:rowOff>22952</xdr:rowOff>
    </xdr:from>
    <xdr:to>
      <xdr:col>17</xdr:col>
      <xdr:colOff>24674</xdr:colOff>
      <xdr:row>100</xdr:row>
      <xdr:rowOff>127727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242E79F8-EC0B-96B3-AA4C-A143FD7872B2}"/>
            </a:ext>
          </a:extLst>
        </xdr:cNvPr>
        <xdr:cNvCxnSpPr/>
      </xdr:nvCxnSpPr>
      <xdr:spPr>
        <a:xfrm flipH="1">
          <a:off x="11789426" y="218042"/>
          <a:ext cx="9525" cy="19223631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53</xdr:col>
      <xdr:colOff>9525</xdr:colOff>
      <xdr:row>1</xdr:row>
      <xdr:rowOff>19050</xdr:rowOff>
    </xdr:from>
    <xdr:to>
      <xdr:col>53</xdr:col>
      <xdr:colOff>28575</xdr:colOff>
      <xdr:row>72</xdr:row>
      <xdr:rowOff>38100</xdr:rowOff>
    </xdr:to>
    <xdr:cxnSp macro="">
      <xdr:nvCxnSpPr>
        <xdr:cNvPr id="4" name="Rett linje 3">
          <a:extLst>
            <a:ext uri="{FF2B5EF4-FFF2-40B4-BE49-F238E27FC236}">
              <a16:creationId xmlns:a16="http://schemas.microsoft.com/office/drawing/2014/main" id="{8D80AD0C-84B8-47FB-95E0-B22D24EBA7FB}"/>
            </a:ext>
          </a:extLst>
        </xdr:cNvPr>
        <xdr:cNvCxnSpPr/>
      </xdr:nvCxnSpPr>
      <xdr:spPr>
        <a:xfrm>
          <a:off x="22098000" y="209550"/>
          <a:ext cx="19050" cy="611505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133350</xdr:rowOff>
    </xdr:from>
    <xdr:to>
      <xdr:col>6</xdr:col>
      <xdr:colOff>152400</xdr:colOff>
      <xdr:row>20</xdr:row>
      <xdr:rowOff>57150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28DEF870-8E0F-C33E-B027-91B631510F06}"/>
            </a:ext>
          </a:extLst>
        </xdr:cNvPr>
        <xdr:cNvSpPr txBox="1"/>
      </xdr:nvSpPr>
      <xdr:spPr>
        <a:xfrm>
          <a:off x="857250" y="895350"/>
          <a:ext cx="3867150" cy="297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self: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Allowances: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CO2 emissions part of cost of sales or someting else? 220K emission to 150K emission Q2 2022 Valmet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Bruck. Allowances increase with simular amout when emission reduces. </a:t>
          </a:r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Allowances paid lagging, Compansation 2021 paid in H1 2022 </a:t>
          </a: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price per allowance see q421 s 28</a:t>
          </a: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CO2 allowance booked per quarter and cash recived year after booking</a:t>
          </a:r>
        </a:p>
        <a:p>
          <a:endParaRPr lang="nb-NO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Packaging papir:</a:t>
          </a: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EUR 265 mill, of 350 EUR mill paid? ca 75% already financed? EUR 265 mill is financed with debt, increase interest annual payment with EUR 5 mill.</a:t>
          </a:r>
        </a:p>
        <a:p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q421 Remaining porject capex WAste to enerey at bruck + pp conversion + Golbey conversion is 335m EUR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åkon Wiland" id="{6151DA00-6E0F-4C44-861E-C331B691D32D}" userId="Håkon Wilan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7-18T12:30:20.89" personId="{6151DA00-6E0F-4C44-861E-C331B691D32D}" id="{2AB92BA2-69A4-4BC9-8A61-3748F24D3272}">
    <text>Cash and cash eq</text>
  </threadedComment>
  <threadedComment ref="C7" dT="2022-07-18T12:29:58.93" personId="{6151DA00-6E0F-4C44-861E-C331B691D32D}" id="{3BBC3F74-4CF1-40DE-9F2A-E98405A1D3CE}">
    <text>Net interest bearing debt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8" max="8" width="9.42578125" bestFit="1" customWidth="1"/>
  </cols>
  <sheetData>
    <row r="2" spans="2:8" x14ac:dyDescent="0.25">
      <c r="B2" s="2" t="s">
        <v>167</v>
      </c>
      <c r="E2" s="2" t="s">
        <v>168</v>
      </c>
      <c r="H2" s="2" t="s">
        <v>169</v>
      </c>
    </row>
    <row r="3" spans="2:8" x14ac:dyDescent="0.25">
      <c r="B3" t="s">
        <v>0</v>
      </c>
      <c r="C3" s="1">
        <v>67.55</v>
      </c>
      <c r="E3" t="s">
        <v>161</v>
      </c>
      <c r="F3" s="8">
        <v>0.01</v>
      </c>
      <c r="H3" s="4">
        <f>(F8-C3)/C3</f>
        <v>0.12078587937123032</v>
      </c>
    </row>
    <row r="4" spans="2:8" x14ac:dyDescent="0.25">
      <c r="B4" t="s">
        <v>1</v>
      </c>
      <c r="C4" s="1">
        <v>94.264705000000006</v>
      </c>
      <c r="E4" t="s">
        <v>166</v>
      </c>
      <c r="F4" s="8">
        <v>0.09</v>
      </c>
    </row>
    <row r="5" spans="2:8" x14ac:dyDescent="0.25">
      <c r="B5" t="s">
        <v>2</v>
      </c>
      <c r="C5" s="1">
        <f>C3*C4</f>
        <v>6367.5808227500002</v>
      </c>
      <c r="E5" t="s">
        <v>158</v>
      </c>
      <c r="F5" s="15">
        <f>NPV(F4,Model!BB69:FY69)</f>
        <v>11486.694671893241</v>
      </c>
    </row>
    <row r="6" spans="2:8" x14ac:dyDescent="0.25">
      <c r="B6" t="s">
        <v>3</v>
      </c>
      <c r="C6" s="1">
        <v>1728</v>
      </c>
      <c r="E6" t="s">
        <v>159</v>
      </c>
      <c r="F6" s="1">
        <f>Main!C7+Main!C6</f>
        <v>4350</v>
      </c>
    </row>
    <row r="7" spans="2:8" x14ac:dyDescent="0.25">
      <c r="B7" t="s">
        <v>4</v>
      </c>
      <c r="C7" s="1">
        <v>2622</v>
      </c>
      <c r="E7" t="s">
        <v>160</v>
      </c>
      <c r="F7" s="16">
        <f>F5-F6</f>
        <v>7136.6946718932413</v>
      </c>
    </row>
    <row r="8" spans="2:8" x14ac:dyDescent="0.25">
      <c r="B8" t="s">
        <v>5</v>
      </c>
      <c r="C8" s="1">
        <f>C5-C6+C7</f>
        <v>7261.5808227500002</v>
      </c>
      <c r="E8" t="s">
        <v>162</v>
      </c>
      <c r="F8" s="1">
        <f>F7/Main!C4</f>
        <v>75.709086151526606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1572-01E8-4852-B26C-3481A7342D75}">
  <dimension ref="A2:FY129"/>
  <sheetViews>
    <sheetView zoomScale="83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D21" sqref="BD21"/>
    </sheetView>
  </sheetViews>
  <sheetFormatPr baseColWidth="10" defaultRowHeight="15" x14ac:dyDescent="0.25"/>
  <cols>
    <col min="1" max="1" width="6.140625" customWidth="1"/>
    <col min="2" max="2" width="34.42578125" customWidth="1"/>
    <col min="3" max="15" width="9" customWidth="1"/>
    <col min="16" max="16" width="9.5703125" customWidth="1"/>
    <col min="17" max="38" width="10" customWidth="1"/>
    <col min="39" max="40" width="9" customWidth="1"/>
    <col min="41" max="48" width="6" customWidth="1"/>
    <col min="54" max="54" width="12.28515625" bestFit="1" customWidth="1"/>
  </cols>
  <sheetData>
    <row r="2" spans="1:59" x14ac:dyDescent="0.25"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13</v>
      </c>
      <c r="J2" t="s">
        <v>12</v>
      </c>
      <c r="K2" t="s">
        <v>11</v>
      </c>
      <c r="L2" t="s">
        <v>10</v>
      </c>
      <c r="M2" t="s">
        <v>9</v>
      </c>
      <c r="N2" t="s">
        <v>8</v>
      </c>
      <c r="O2" t="s">
        <v>7</v>
      </c>
      <c r="P2" t="s">
        <v>6</v>
      </c>
      <c r="Q2" t="s">
        <v>90</v>
      </c>
      <c r="R2" t="s">
        <v>91</v>
      </c>
      <c r="S2" t="s">
        <v>92</v>
      </c>
      <c r="T2" t="s">
        <v>113</v>
      </c>
      <c r="U2" t="s">
        <v>114</v>
      </c>
      <c r="V2" t="s">
        <v>115</v>
      </c>
      <c r="W2" t="s">
        <v>119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t="s">
        <v>133</v>
      </c>
      <c r="AI2" t="s">
        <v>135</v>
      </c>
      <c r="AJ2" t="s">
        <v>136</v>
      </c>
      <c r="AK2" t="s">
        <v>137</v>
      </c>
      <c r="AL2" t="s">
        <v>138</v>
      </c>
      <c r="AW2">
        <v>2017</v>
      </c>
      <c r="AX2">
        <v>2018</v>
      </c>
      <c r="AY2">
        <v>2019</v>
      </c>
      <c r="AZ2">
        <v>2020</v>
      </c>
      <c r="BA2">
        <v>2021</v>
      </c>
      <c r="BB2">
        <v>2022</v>
      </c>
      <c r="BC2">
        <v>2023</v>
      </c>
      <c r="BD2">
        <v>2024</v>
      </c>
      <c r="BE2">
        <v>2025</v>
      </c>
      <c r="BF2">
        <v>2026</v>
      </c>
      <c r="BG2">
        <v>2027</v>
      </c>
    </row>
    <row r="5" spans="1:59" x14ac:dyDescent="0.25">
      <c r="B5" s="2"/>
    </row>
    <row r="6" spans="1:59" x14ac:dyDescent="0.25">
      <c r="B6" s="7" t="s">
        <v>110</v>
      </c>
      <c r="C6" s="8">
        <v>0.93</v>
      </c>
      <c r="D6" s="8">
        <v>0.9</v>
      </c>
      <c r="E6" s="8">
        <v>0.9</v>
      </c>
      <c r="F6" s="8">
        <v>0.88</v>
      </c>
      <c r="G6" s="8">
        <v>0.86</v>
      </c>
      <c r="H6" s="8">
        <v>0.7</v>
      </c>
      <c r="I6" s="8">
        <v>0.72</v>
      </c>
      <c r="J6" s="8">
        <v>0.8</v>
      </c>
      <c r="K6" s="8">
        <v>0.88</v>
      </c>
      <c r="L6" s="8">
        <v>0.85</v>
      </c>
      <c r="M6" s="8">
        <v>0.96</v>
      </c>
      <c r="N6" s="8">
        <v>0.96</v>
      </c>
      <c r="O6" s="8">
        <v>0.94</v>
      </c>
      <c r="P6" s="8">
        <v>0.9</v>
      </c>
      <c r="Q6" s="8">
        <v>0.83</v>
      </c>
      <c r="R6" s="8">
        <v>0.9</v>
      </c>
      <c r="S6" s="8">
        <v>0.9</v>
      </c>
      <c r="T6" s="8">
        <v>0.9</v>
      </c>
      <c r="U6" s="8">
        <v>0.9</v>
      </c>
      <c r="V6" s="8">
        <v>0.9</v>
      </c>
      <c r="W6" s="8">
        <v>0.9</v>
      </c>
      <c r="X6" s="8">
        <v>0.9</v>
      </c>
      <c r="Y6" s="8">
        <v>0.9</v>
      </c>
      <c r="Z6" s="8">
        <v>0.9</v>
      </c>
      <c r="AA6" s="8">
        <v>0.9</v>
      </c>
      <c r="AB6" s="8">
        <v>0.9</v>
      </c>
      <c r="AC6" s="8">
        <v>0.9</v>
      </c>
      <c r="AD6" s="8">
        <v>0.9</v>
      </c>
      <c r="AE6" s="8">
        <v>0.9</v>
      </c>
      <c r="AF6" s="8">
        <v>0.9</v>
      </c>
      <c r="AG6" s="8">
        <v>0.9</v>
      </c>
      <c r="AH6" s="8">
        <v>0.9</v>
      </c>
      <c r="AI6" s="8">
        <v>0.9</v>
      </c>
      <c r="AJ6" s="8">
        <v>0.9</v>
      </c>
      <c r="AK6" s="8">
        <v>0.9</v>
      </c>
      <c r="AL6" s="8">
        <v>0.9</v>
      </c>
      <c r="AY6" s="8">
        <f>AVERAGE(C6:F6)</f>
        <v>0.90249999999999997</v>
      </c>
      <c r="AZ6" s="8">
        <f>AVERAGE(G6:J6)</f>
        <v>0.77</v>
      </c>
      <c r="BA6" s="8">
        <f>AVERAGE(K6:N6)</f>
        <v>0.91249999999999998</v>
      </c>
    </row>
    <row r="7" spans="1:59" x14ac:dyDescent="0.25">
      <c r="B7" s="7" t="s">
        <v>109</v>
      </c>
      <c r="C7" s="8">
        <v>0.8</v>
      </c>
      <c r="D7" s="8">
        <v>0.89</v>
      </c>
      <c r="E7" s="8">
        <v>0.81</v>
      </c>
      <c r="F7" s="8">
        <v>0.86</v>
      </c>
      <c r="G7" s="8">
        <v>0.85</v>
      </c>
      <c r="H7" s="8">
        <v>0.65</v>
      </c>
      <c r="I7" s="8">
        <v>0.69</v>
      </c>
      <c r="J7" s="8">
        <v>0.87</v>
      </c>
      <c r="K7" s="8">
        <v>0.79</v>
      </c>
      <c r="L7" s="8">
        <v>0.69</v>
      </c>
      <c r="M7" s="8">
        <v>0.87</v>
      </c>
      <c r="N7" s="8">
        <v>0.87</v>
      </c>
      <c r="O7" s="8">
        <v>0.91</v>
      </c>
      <c r="P7" s="8">
        <v>0.96</v>
      </c>
      <c r="Q7" s="8">
        <v>0.94</v>
      </c>
      <c r="R7" s="8">
        <v>0.8</v>
      </c>
      <c r="S7" s="8">
        <v>0.85</v>
      </c>
      <c r="T7" s="8">
        <v>0.85</v>
      </c>
      <c r="U7" s="8">
        <v>0.85</v>
      </c>
      <c r="V7" s="8">
        <v>0.85</v>
      </c>
      <c r="W7" s="8">
        <v>0.85</v>
      </c>
      <c r="X7" s="8">
        <v>0.85</v>
      </c>
      <c r="Y7" s="8">
        <v>0.85</v>
      </c>
      <c r="Z7" s="8">
        <v>0.85</v>
      </c>
      <c r="AA7" s="8">
        <v>0.85</v>
      </c>
      <c r="AB7" s="8">
        <v>0.85</v>
      </c>
      <c r="AC7" s="8">
        <v>0.85</v>
      </c>
      <c r="AD7" s="8">
        <v>0.85</v>
      </c>
      <c r="AE7" s="8">
        <v>0.85</v>
      </c>
      <c r="AF7" s="8">
        <v>0.85</v>
      </c>
      <c r="AG7" s="8">
        <v>0.85</v>
      </c>
      <c r="AH7" s="8">
        <v>0.85</v>
      </c>
      <c r="AI7" s="8">
        <v>0.85</v>
      </c>
      <c r="AJ7" s="8">
        <v>0.85</v>
      </c>
      <c r="AK7" s="8">
        <v>0.85</v>
      </c>
      <c r="AL7" s="8">
        <v>0.85</v>
      </c>
      <c r="AY7" s="8">
        <f>AVERAGE(C7:F7)</f>
        <v>0.84</v>
      </c>
      <c r="AZ7" s="8">
        <f>AVERAGE(G7:J7)</f>
        <v>0.76500000000000001</v>
      </c>
      <c r="BA7" s="8">
        <f>AVERAGE(K7:N7)</f>
        <v>0.80500000000000005</v>
      </c>
    </row>
    <row r="8" spans="1:59" x14ac:dyDescent="0.25">
      <c r="B8" s="9" t="s">
        <v>140</v>
      </c>
      <c r="T8" s="5"/>
      <c r="AW8" s="8">
        <v>0.93</v>
      </c>
      <c r="AX8" s="3">
        <v>0.95</v>
      </c>
      <c r="AY8" s="3">
        <v>0.89</v>
      </c>
      <c r="AZ8" s="3">
        <v>0.77</v>
      </c>
      <c r="BA8" s="3">
        <v>0.89</v>
      </c>
      <c r="BB8" s="3">
        <f>BB14/BB13</f>
        <v>0.88027941966684575</v>
      </c>
      <c r="BC8" s="3">
        <f>BC14/BC13</f>
        <v>0.89197416974169741</v>
      </c>
    </row>
    <row r="9" spans="1:59" x14ac:dyDescent="0.25">
      <c r="B9" s="9"/>
      <c r="T9" s="5"/>
      <c r="AW9" s="8"/>
      <c r="AX9" s="3"/>
      <c r="AY9" s="3"/>
      <c r="AZ9" s="3"/>
      <c r="BA9" s="3"/>
      <c r="BB9" s="3"/>
      <c r="BC9" s="3"/>
    </row>
    <row r="10" spans="1:59" x14ac:dyDescent="0.25">
      <c r="B10" s="18" t="s">
        <v>164</v>
      </c>
      <c r="AW10" s="8"/>
      <c r="AX10" s="3"/>
      <c r="AY10" s="3"/>
      <c r="AZ10" s="3"/>
      <c r="BA10" s="3"/>
    </row>
    <row r="11" spans="1:59" x14ac:dyDescent="0.25">
      <c r="B11" s="9" t="s">
        <v>111</v>
      </c>
      <c r="P11" s="5">
        <v>1725000</v>
      </c>
      <c r="Q11" s="5">
        <v>1600000</v>
      </c>
      <c r="R11" s="5">
        <v>1600000</v>
      </c>
      <c r="S11" s="5">
        <v>1365000</v>
      </c>
      <c r="T11" s="5">
        <v>1365000</v>
      </c>
      <c r="U11" s="5">
        <v>1365000</v>
      </c>
      <c r="V11" s="5">
        <v>1365000</v>
      </c>
      <c r="W11" s="5">
        <v>1365000</v>
      </c>
      <c r="X11" s="5">
        <v>1365000</v>
      </c>
      <c r="Y11" s="5">
        <v>1365000</v>
      </c>
      <c r="Z11" s="5">
        <v>1365000</v>
      </c>
      <c r="AA11" s="5">
        <v>1365000</v>
      </c>
      <c r="AB11" s="5">
        <v>1365000</v>
      </c>
      <c r="AC11" s="5">
        <v>1365000</v>
      </c>
      <c r="AD11" s="5">
        <v>1365000</v>
      </c>
      <c r="AE11" s="5">
        <v>1365000</v>
      </c>
      <c r="AF11" s="5">
        <v>1365000</v>
      </c>
      <c r="AG11" s="5">
        <v>1365000</v>
      </c>
      <c r="AH11" s="5">
        <v>1365000</v>
      </c>
      <c r="AI11" s="5">
        <v>1365000</v>
      </c>
      <c r="AJ11" s="5">
        <v>1365000</v>
      </c>
      <c r="AK11" s="5">
        <v>1365000</v>
      </c>
      <c r="AL11" s="5">
        <v>1365000</v>
      </c>
      <c r="AW11" s="8"/>
      <c r="AX11" s="3"/>
      <c r="AY11" s="3"/>
      <c r="AZ11" s="3"/>
      <c r="BA11" s="5">
        <v>1725000</v>
      </c>
      <c r="BB11" s="5">
        <v>1600000</v>
      </c>
      <c r="BC11" s="5">
        <v>1365000</v>
      </c>
    </row>
    <row r="12" spans="1:59" x14ac:dyDescent="0.25">
      <c r="B12" s="9" t="s">
        <v>112</v>
      </c>
      <c r="P12" s="5">
        <v>261000</v>
      </c>
      <c r="Q12" s="5">
        <v>261000</v>
      </c>
      <c r="R12" s="5">
        <v>261000</v>
      </c>
      <c r="S12" s="5">
        <v>261000</v>
      </c>
      <c r="T12" s="5">
        <v>261000</v>
      </c>
      <c r="U12" s="5">
        <v>261000</v>
      </c>
      <c r="V12" s="5">
        <v>261000</v>
      </c>
      <c r="W12" s="5">
        <v>261000</v>
      </c>
      <c r="X12" s="5">
        <v>261000</v>
      </c>
      <c r="Y12" s="5">
        <v>261000</v>
      </c>
      <c r="Z12" s="5">
        <v>261000</v>
      </c>
      <c r="AA12" s="5">
        <v>261000</v>
      </c>
      <c r="AB12" s="5">
        <v>261000</v>
      </c>
      <c r="AC12" s="5">
        <v>261000</v>
      </c>
      <c r="AD12" s="5">
        <v>261000</v>
      </c>
      <c r="AE12" s="5">
        <v>261000</v>
      </c>
      <c r="AF12" s="5">
        <v>261000</v>
      </c>
      <c r="AG12" s="5">
        <v>261000</v>
      </c>
      <c r="AH12" s="5">
        <v>261000</v>
      </c>
      <c r="AI12" s="5">
        <v>261000</v>
      </c>
      <c r="AJ12" s="5">
        <v>261000</v>
      </c>
      <c r="AK12" s="5">
        <v>261000</v>
      </c>
      <c r="AL12" s="5">
        <v>261000</v>
      </c>
      <c r="AW12" s="8"/>
      <c r="AX12" s="3"/>
      <c r="AY12" s="3"/>
      <c r="AZ12" s="3"/>
      <c r="BA12" s="5">
        <v>261000</v>
      </c>
      <c r="BB12" s="5">
        <v>261000</v>
      </c>
      <c r="BC12" s="5">
        <v>261000</v>
      </c>
    </row>
    <row r="13" spans="1:59" x14ac:dyDescent="0.25">
      <c r="B13" s="9" t="s">
        <v>116</v>
      </c>
      <c r="P13" s="5">
        <f>P11+P12</f>
        <v>1986000</v>
      </c>
      <c r="Q13" s="5">
        <f>Q11+Q12</f>
        <v>1861000</v>
      </c>
      <c r="BA13" s="5">
        <f>BA11+BA12</f>
        <v>1986000</v>
      </c>
      <c r="BB13" s="5">
        <f>BB11+BB12</f>
        <v>1861000</v>
      </c>
      <c r="BC13" s="5">
        <f>BC11+BC12</f>
        <v>1626000</v>
      </c>
    </row>
    <row r="14" spans="1:59" s="5" customFormat="1" x14ac:dyDescent="0.25">
      <c r="A14"/>
      <c r="B14" s="2" t="s">
        <v>106</v>
      </c>
      <c r="C14"/>
      <c r="D14"/>
      <c r="E14"/>
      <c r="F14"/>
      <c r="G14"/>
      <c r="H14"/>
      <c r="I14"/>
      <c r="J14"/>
      <c r="K14"/>
      <c r="L14"/>
      <c r="M14"/>
      <c r="N14"/>
      <c r="O14" s="5">
        <v>415000</v>
      </c>
      <c r="P14" s="5">
        <v>398000</v>
      </c>
      <c r="Q14" s="5">
        <f>(347+66)*1000</f>
        <v>413000</v>
      </c>
      <c r="R14" s="5">
        <f>(R6*R11+R7*R12)/4</f>
        <v>412200</v>
      </c>
      <c r="S14" s="5">
        <f>(S6*S11+S7*S12)/4</f>
        <v>362587.5</v>
      </c>
      <c r="T14" s="5">
        <f t="shared" ref="T14:AL14" si="0">(T6*T11+T7*T12)/4</f>
        <v>362587.5</v>
      </c>
      <c r="U14" s="5">
        <f t="shared" si="0"/>
        <v>362587.5</v>
      </c>
      <c r="V14" s="5">
        <f t="shared" si="0"/>
        <v>362587.5</v>
      </c>
      <c r="W14" s="5">
        <f t="shared" si="0"/>
        <v>362587.5</v>
      </c>
      <c r="X14" s="5">
        <f t="shared" si="0"/>
        <v>362587.5</v>
      </c>
      <c r="Y14" s="5">
        <f t="shared" si="0"/>
        <v>362587.5</v>
      </c>
      <c r="Z14" s="5">
        <f t="shared" si="0"/>
        <v>362587.5</v>
      </c>
      <c r="AA14" s="5">
        <f t="shared" si="0"/>
        <v>362587.5</v>
      </c>
      <c r="AB14" s="5">
        <f t="shared" si="0"/>
        <v>362587.5</v>
      </c>
      <c r="AC14" s="5">
        <f t="shared" si="0"/>
        <v>362587.5</v>
      </c>
      <c r="AD14" s="5">
        <f t="shared" si="0"/>
        <v>362587.5</v>
      </c>
      <c r="AE14" s="5">
        <f t="shared" si="0"/>
        <v>362587.5</v>
      </c>
      <c r="AF14" s="5">
        <f t="shared" si="0"/>
        <v>362587.5</v>
      </c>
      <c r="AG14" s="5">
        <f t="shared" si="0"/>
        <v>362587.5</v>
      </c>
      <c r="AH14" s="5">
        <f t="shared" si="0"/>
        <v>362587.5</v>
      </c>
      <c r="AI14" s="5">
        <f t="shared" si="0"/>
        <v>362587.5</v>
      </c>
      <c r="AJ14" s="5">
        <f t="shared" si="0"/>
        <v>362587.5</v>
      </c>
      <c r="AK14" s="5">
        <f t="shared" si="0"/>
        <v>362587.5</v>
      </c>
      <c r="AL14" s="5">
        <f t="shared" si="0"/>
        <v>362587.5</v>
      </c>
      <c r="AW14" s="5">
        <v>2495000</v>
      </c>
      <c r="AX14" s="5">
        <v>2494000</v>
      </c>
      <c r="AY14" s="5">
        <v>2308000</v>
      </c>
      <c r="AZ14" s="5">
        <v>1799020</v>
      </c>
      <c r="BA14" s="5">
        <v>1919574</v>
      </c>
      <c r="BB14" s="5">
        <f>SUM(O14:R14)</f>
        <v>1638200</v>
      </c>
      <c r="BC14" s="5">
        <f>SUM(S14:V14)</f>
        <v>1450350</v>
      </c>
      <c r="BD14" s="5">
        <f>SUM(W14:Z14)</f>
        <v>1450350</v>
      </c>
      <c r="BE14" s="5">
        <f>SUM(AA14:AD14)</f>
        <v>1450350</v>
      </c>
      <c r="BF14" s="5">
        <f>SUM(AE14:AH14)</f>
        <v>1450350</v>
      </c>
      <c r="BG14" s="5">
        <f>SUM(AI14:AL14)</f>
        <v>1450350</v>
      </c>
    </row>
    <row r="15" spans="1:59" s="5" customFormat="1" x14ac:dyDescent="0.25">
      <c r="A15"/>
      <c r="B15" t="s">
        <v>145</v>
      </c>
      <c r="C15"/>
      <c r="D15"/>
      <c r="E15"/>
      <c r="F15"/>
      <c r="G15"/>
      <c r="H15"/>
      <c r="I15"/>
      <c r="J15"/>
      <c r="K15"/>
      <c r="L15"/>
      <c r="M15"/>
      <c r="N15"/>
      <c r="BB15" s="5">
        <v>750</v>
      </c>
      <c r="BC15" s="5">
        <v>750</v>
      </c>
      <c r="BD15" s="5">
        <v>750</v>
      </c>
      <c r="BE15" s="5">
        <v>750</v>
      </c>
      <c r="BF15" s="5">
        <v>750</v>
      </c>
      <c r="BG15" s="5">
        <v>750</v>
      </c>
    </row>
    <row r="16" spans="1:59" s="5" customFormat="1" x14ac:dyDescent="0.25">
      <c r="A16"/>
      <c r="B16" s="9" t="s">
        <v>146</v>
      </c>
      <c r="C16"/>
      <c r="D16"/>
      <c r="E16"/>
      <c r="F16"/>
      <c r="G16"/>
      <c r="H16"/>
      <c r="I16"/>
      <c r="J16"/>
      <c r="K16"/>
      <c r="L16"/>
      <c r="M16"/>
      <c r="N16"/>
      <c r="BB16" s="5">
        <f>(BB14*BB15)/1000000</f>
        <v>1228.6500000000001</v>
      </c>
      <c r="BC16" s="5">
        <f t="shared" ref="BC16:BG16" si="1">(BC14*BC15)/1000000</f>
        <v>1087.7625</v>
      </c>
      <c r="BD16" s="5">
        <f t="shared" si="1"/>
        <v>1087.7625</v>
      </c>
      <c r="BE16" s="5">
        <f t="shared" si="1"/>
        <v>1087.7625</v>
      </c>
      <c r="BF16" s="5">
        <f t="shared" si="1"/>
        <v>1087.7625</v>
      </c>
      <c r="BG16" s="5">
        <f t="shared" si="1"/>
        <v>1087.7625</v>
      </c>
    </row>
    <row r="17" spans="1:59" s="5" customFormat="1" x14ac:dyDescent="0.25">
      <c r="A17"/>
      <c r="B17" s="10" t="s">
        <v>147</v>
      </c>
      <c r="C17"/>
      <c r="D17"/>
      <c r="E17"/>
      <c r="F17"/>
      <c r="G17"/>
      <c r="H17"/>
      <c r="I17"/>
      <c r="J17"/>
      <c r="K17"/>
      <c r="L17"/>
      <c r="M17"/>
      <c r="N17"/>
      <c r="BB17" s="5">
        <f>BB16*10</f>
        <v>12286.5</v>
      </c>
      <c r="BC17" s="5">
        <f t="shared" ref="BC17:BG17" si="2">BC16*10</f>
        <v>10877.625</v>
      </c>
      <c r="BD17" s="5">
        <f t="shared" si="2"/>
        <v>10877.625</v>
      </c>
      <c r="BE17" s="5">
        <f t="shared" si="2"/>
        <v>10877.625</v>
      </c>
      <c r="BF17" s="5">
        <f t="shared" si="2"/>
        <v>10877.625</v>
      </c>
      <c r="BG17" s="5">
        <f t="shared" si="2"/>
        <v>10877.625</v>
      </c>
    </row>
    <row r="18" spans="1:59" s="5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59" s="5" customFormat="1" x14ac:dyDescent="0.25">
      <c r="A19"/>
      <c r="B19" s="2"/>
      <c r="C19"/>
      <c r="D19"/>
      <c r="E19"/>
      <c r="F19"/>
      <c r="G19"/>
      <c r="H19"/>
      <c r="I19"/>
      <c r="J19"/>
      <c r="K19"/>
      <c r="L19"/>
      <c r="M19"/>
      <c r="N19"/>
    </row>
    <row r="20" spans="1:59" x14ac:dyDescent="0.25">
      <c r="B20" s="17" t="s">
        <v>163</v>
      </c>
    </row>
    <row r="21" spans="1:59" x14ac:dyDescent="0.25">
      <c r="B21" s="9" t="s">
        <v>120</v>
      </c>
      <c r="S21" s="5">
        <v>210000</v>
      </c>
      <c r="T21" s="5">
        <v>210000</v>
      </c>
      <c r="U21" s="5">
        <v>210000</v>
      </c>
      <c r="V21" s="5">
        <v>210000</v>
      </c>
      <c r="W21" s="5">
        <v>210000</v>
      </c>
      <c r="X21" s="5">
        <v>210000</v>
      </c>
      <c r="Y21" s="5">
        <v>210000</v>
      </c>
      <c r="Z21" s="5">
        <v>210000</v>
      </c>
      <c r="AA21" s="5">
        <v>210000</v>
      </c>
      <c r="AB21" s="5">
        <v>210000</v>
      </c>
      <c r="AC21" s="5">
        <v>210000</v>
      </c>
      <c r="AD21" s="5">
        <v>210000</v>
      </c>
      <c r="AE21" s="5">
        <v>210000</v>
      </c>
      <c r="AF21" s="5">
        <v>210000</v>
      </c>
      <c r="AG21" s="5">
        <v>210000</v>
      </c>
      <c r="AH21" s="5">
        <v>210000</v>
      </c>
      <c r="AI21" s="5">
        <v>210000</v>
      </c>
      <c r="AJ21" s="5">
        <v>210000</v>
      </c>
      <c r="AK21" s="5">
        <v>210000</v>
      </c>
      <c r="AL21" s="5">
        <v>210000</v>
      </c>
    </row>
    <row r="22" spans="1:59" x14ac:dyDescent="0.25">
      <c r="B22" s="9" t="s">
        <v>117</v>
      </c>
      <c r="S22" s="8">
        <v>0.6</v>
      </c>
      <c r="T22" s="3">
        <v>0.6</v>
      </c>
      <c r="U22" s="3">
        <v>0.6</v>
      </c>
      <c r="V22" s="3">
        <v>0.6</v>
      </c>
      <c r="W22" s="3">
        <v>0.7</v>
      </c>
      <c r="X22" s="3">
        <v>0.7</v>
      </c>
      <c r="Y22" s="3">
        <v>0.7</v>
      </c>
      <c r="Z22" s="3">
        <v>0.7</v>
      </c>
      <c r="AA22" s="3">
        <v>0.8</v>
      </c>
      <c r="AB22" s="3">
        <v>0.8</v>
      </c>
      <c r="AC22" s="3">
        <v>0.8</v>
      </c>
      <c r="AD22" s="3">
        <v>0.8</v>
      </c>
      <c r="AE22" s="3">
        <v>0.9</v>
      </c>
      <c r="AF22" s="3">
        <v>0.9</v>
      </c>
      <c r="AG22" s="3">
        <v>0.95</v>
      </c>
      <c r="AH22" s="3">
        <v>0.95</v>
      </c>
      <c r="AI22" s="3">
        <v>0.95</v>
      </c>
      <c r="AJ22" s="3">
        <v>0.95</v>
      </c>
      <c r="AK22" s="3">
        <v>0.95</v>
      </c>
      <c r="AL22" s="3">
        <v>0.95</v>
      </c>
    </row>
    <row r="23" spans="1:59" x14ac:dyDescent="0.25">
      <c r="B23" s="9" t="s">
        <v>121</v>
      </c>
      <c r="W23" s="5">
        <v>550000</v>
      </c>
      <c r="X23" s="5">
        <v>550000</v>
      </c>
      <c r="Y23" s="5">
        <v>550000</v>
      </c>
      <c r="Z23" s="5">
        <v>550000</v>
      </c>
      <c r="AA23" s="5">
        <v>550000</v>
      </c>
      <c r="AB23" s="5">
        <v>550000</v>
      </c>
      <c r="AC23" s="5">
        <v>550000</v>
      </c>
      <c r="AD23" s="5">
        <v>550000</v>
      </c>
      <c r="AE23" s="5">
        <v>550000</v>
      </c>
      <c r="AF23" s="5">
        <v>550000</v>
      </c>
      <c r="AG23" s="5">
        <v>550000</v>
      </c>
      <c r="AH23" s="5">
        <v>550000</v>
      </c>
      <c r="AI23" s="5">
        <v>550000</v>
      </c>
      <c r="AJ23" s="5">
        <v>550000</v>
      </c>
      <c r="AK23" s="5">
        <v>550000</v>
      </c>
      <c r="AL23" s="5">
        <v>550000</v>
      </c>
      <c r="AM23" s="5"/>
      <c r="AN23" s="5"/>
    </row>
    <row r="24" spans="1:59" x14ac:dyDescent="0.25">
      <c r="B24" s="9" t="s">
        <v>118</v>
      </c>
      <c r="W24" s="8">
        <v>0.6</v>
      </c>
      <c r="X24" s="8">
        <v>0.6</v>
      </c>
      <c r="Y24" s="8">
        <v>0.6</v>
      </c>
      <c r="Z24" s="8">
        <v>0.6</v>
      </c>
      <c r="AA24" s="3">
        <v>0.7</v>
      </c>
      <c r="AB24" s="3">
        <v>0.7</v>
      </c>
      <c r="AC24" s="3">
        <v>0.7</v>
      </c>
      <c r="AD24" s="3">
        <v>0.7</v>
      </c>
      <c r="AE24" s="3">
        <v>0.8</v>
      </c>
      <c r="AF24" s="3">
        <v>0.8</v>
      </c>
      <c r="AG24" s="3">
        <v>0.85</v>
      </c>
      <c r="AH24" s="3">
        <v>0.9</v>
      </c>
      <c r="AI24" s="3">
        <v>0.95</v>
      </c>
      <c r="AJ24" s="3">
        <v>0.95</v>
      </c>
      <c r="AK24" s="3">
        <v>0.95</v>
      </c>
      <c r="AL24" s="3">
        <v>0.95</v>
      </c>
      <c r="AM24" s="8"/>
      <c r="AN24" s="8"/>
    </row>
    <row r="25" spans="1:59" x14ac:dyDescent="0.25">
      <c r="B25" s="9" t="s">
        <v>165</v>
      </c>
      <c r="S25" s="5">
        <f>S21+S23</f>
        <v>210000</v>
      </c>
      <c r="T25" s="5">
        <f t="shared" ref="T25:AL25" si="3">T21+T23</f>
        <v>210000</v>
      </c>
      <c r="U25" s="5">
        <f t="shared" si="3"/>
        <v>210000</v>
      </c>
      <c r="V25" s="5">
        <f t="shared" si="3"/>
        <v>210000</v>
      </c>
      <c r="W25" s="5">
        <f t="shared" si="3"/>
        <v>760000</v>
      </c>
      <c r="X25" s="5">
        <f t="shared" si="3"/>
        <v>760000</v>
      </c>
      <c r="Y25" s="5">
        <f t="shared" si="3"/>
        <v>760000</v>
      </c>
      <c r="Z25" s="5">
        <f t="shared" si="3"/>
        <v>760000</v>
      </c>
      <c r="AA25" s="5">
        <f t="shared" si="3"/>
        <v>760000</v>
      </c>
      <c r="AB25" s="5">
        <f t="shared" si="3"/>
        <v>760000</v>
      </c>
      <c r="AC25" s="5">
        <f t="shared" si="3"/>
        <v>760000</v>
      </c>
      <c r="AD25" s="5">
        <f t="shared" si="3"/>
        <v>760000</v>
      </c>
      <c r="AE25" s="5">
        <f t="shared" si="3"/>
        <v>760000</v>
      </c>
      <c r="AF25" s="5">
        <f t="shared" si="3"/>
        <v>760000</v>
      </c>
      <c r="AG25" s="5">
        <f t="shared" si="3"/>
        <v>760000</v>
      </c>
      <c r="AH25" s="5">
        <f t="shared" si="3"/>
        <v>760000</v>
      </c>
      <c r="AI25" s="5">
        <f t="shared" si="3"/>
        <v>760000</v>
      </c>
      <c r="AJ25" s="5">
        <f t="shared" si="3"/>
        <v>760000</v>
      </c>
      <c r="AK25" s="5">
        <f t="shared" si="3"/>
        <v>760000</v>
      </c>
      <c r="AL25" s="5">
        <f t="shared" si="3"/>
        <v>760000</v>
      </c>
      <c r="AM25" s="8"/>
      <c r="AN25" s="8"/>
    </row>
    <row r="26" spans="1:59" x14ac:dyDescent="0.25">
      <c r="B26" s="10" t="s">
        <v>139</v>
      </c>
      <c r="S26" s="5">
        <f>(S21*S22)/4</f>
        <v>31500</v>
      </c>
      <c r="T26" s="5">
        <f t="shared" ref="T26:V26" si="4">(T21*T22)/4</f>
        <v>31500</v>
      </c>
      <c r="U26" s="5">
        <f t="shared" si="4"/>
        <v>31500</v>
      </c>
      <c r="V26" s="5">
        <f t="shared" si="4"/>
        <v>31500</v>
      </c>
      <c r="W26" s="5">
        <f>(W21*W22+W23*W24)/4</f>
        <v>119250</v>
      </c>
      <c r="X26" s="5">
        <f t="shared" ref="X26:Y26" si="5">(X21*X22+X23*X24)/4</f>
        <v>119250</v>
      </c>
      <c r="Y26" s="5">
        <f t="shared" si="5"/>
        <v>119250</v>
      </c>
      <c r="Z26" s="5">
        <f t="shared" ref="Z26" si="6">(Z21*Z22+Z23*Z24)/4</f>
        <v>119250</v>
      </c>
      <c r="AA26" s="5">
        <f t="shared" ref="AA26" si="7">(AA21*AA22+AA23*AA24)/4</f>
        <v>138250</v>
      </c>
      <c r="AB26" s="5">
        <f t="shared" ref="AB26" si="8">(AB21*AB22+AB23*AB24)/4</f>
        <v>138250</v>
      </c>
      <c r="AC26" s="5">
        <f t="shared" ref="AC26" si="9">(AC21*AC22+AC23*AC24)/4</f>
        <v>138250</v>
      </c>
      <c r="AD26" s="5">
        <f t="shared" ref="AD26" si="10">(AD21*AD22+AD23*AD24)/4</f>
        <v>138250</v>
      </c>
      <c r="AE26" s="5">
        <f t="shared" ref="AE26" si="11">(AE21*AE22+AE23*AE24)/4</f>
        <v>157250</v>
      </c>
      <c r="AF26" s="5">
        <f t="shared" ref="AF26" si="12">(AF21*AF22+AF23*AF24)/4</f>
        <v>157250</v>
      </c>
      <c r="AG26" s="5">
        <f t="shared" ref="AG26" si="13">(AG21*AG22+AG23*AG24)/4</f>
        <v>166750</v>
      </c>
      <c r="AH26" s="5">
        <f t="shared" ref="AH26" si="14">(AH21*AH22+AH23*AH24)/4</f>
        <v>173625</v>
      </c>
      <c r="AI26" s="5">
        <f t="shared" ref="AI26" si="15">(AI21*AI22+AI23*AI24)/4</f>
        <v>180500</v>
      </c>
      <c r="AJ26" s="5">
        <f t="shared" ref="AJ26" si="16">(AJ21*AJ22+AJ23*AJ24)/4</f>
        <v>180500</v>
      </c>
      <c r="AK26" s="5">
        <f t="shared" ref="AK26" si="17">(AK21*AK22+AK23*AK24)/4</f>
        <v>180500</v>
      </c>
      <c r="AL26" s="5">
        <f t="shared" ref="AL26" si="18">(AL21*AL22+AL23*AL24)/4</f>
        <v>180500</v>
      </c>
      <c r="AM26" s="8"/>
      <c r="AN26" s="8"/>
      <c r="BC26" s="5">
        <f>SUM(S26:V26)</f>
        <v>126000</v>
      </c>
      <c r="BD26" s="5">
        <f>SUM(W26:Z26)</f>
        <v>477000</v>
      </c>
      <c r="BE26" s="5">
        <f>SUM(AA26:AD26)</f>
        <v>553000</v>
      </c>
      <c r="BF26" s="5">
        <f>SUM(AE26:AH26)</f>
        <v>654875</v>
      </c>
      <c r="BG26" s="5">
        <f>SUM(AI26:AL26)</f>
        <v>722000</v>
      </c>
    </row>
    <row r="27" spans="1:59" x14ac:dyDescent="0.25">
      <c r="B27" s="9" t="s">
        <v>148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8"/>
      <c r="AN27" s="8"/>
      <c r="BC27" s="5">
        <v>700</v>
      </c>
      <c r="BD27" s="5">
        <v>700</v>
      </c>
      <c r="BE27" s="5">
        <v>700</v>
      </c>
      <c r="BF27" s="5">
        <v>700</v>
      </c>
      <c r="BG27" s="5">
        <v>700</v>
      </c>
    </row>
    <row r="28" spans="1:59" x14ac:dyDescent="0.25">
      <c r="B28" s="9" t="s">
        <v>149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8"/>
      <c r="AN28" s="8"/>
      <c r="BC28" s="5">
        <f>(BC26*BC27)/1000000</f>
        <v>88.2</v>
      </c>
      <c r="BD28" s="5">
        <f t="shared" ref="BD28:BG28" si="19">(BD26*BD27)/1000000</f>
        <v>333.9</v>
      </c>
      <c r="BE28" s="5">
        <f t="shared" si="19"/>
        <v>387.1</v>
      </c>
      <c r="BF28" s="5">
        <f t="shared" si="19"/>
        <v>458.41250000000002</v>
      </c>
      <c r="BG28" s="5">
        <f t="shared" si="19"/>
        <v>505.4</v>
      </c>
    </row>
    <row r="29" spans="1:59" x14ac:dyDescent="0.25">
      <c r="B29" s="10" t="s">
        <v>150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8"/>
      <c r="AN29" s="8"/>
      <c r="BC29" s="5">
        <f>BC28*10</f>
        <v>882</v>
      </c>
      <c r="BD29" s="5">
        <f t="shared" ref="BD29:BG29" si="20">BD28*10</f>
        <v>3339</v>
      </c>
      <c r="BE29" s="5">
        <f t="shared" si="20"/>
        <v>3871</v>
      </c>
      <c r="BF29" s="5">
        <f t="shared" si="20"/>
        <v>4584.125</v>
      </c>
      <c r="BG29" s="5">
        <f t="shared" si="20"/>
        <v>5054</v>
      </c>
    </row>
    <row r="30" spans="1:59" x14ac:dyDescent="0.25">
      <c r="B30" s="10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8"/>
      <c r="AN30" s="8"/>
      <c r="BC30" s="5"/>
      <c r="BD30" s="5"/>
      <c r="BE30" s="5"/>
      <c r="BF30" s="5"/>
      <c r="BG30" s="5"/>
    </row>
    <row r="31" spans="1:59" x14ac:dyDescent="0.25">
      <c r="W31" s="8"/>
      <c r="X31" s="8"/>
      <c r="Y31" s="8"/>
      <c r="Z31" s="8"/>
      <c r="AA31" s="3"/>
      <c r="AB31" s="3"/>
      <c r="AC31" s="3"/>
      <c r="AD31" s="3"/>
      <c r="AE31" s="3"/>
      <c r="AF31" s="3"/>
      <c r="AG31" s="3"/>
      <c r="AH31" s="3"/>
      <c r="AI31" s="3"/>
      <c r="AJ31" s="8"/>
      <c r="AK31" s="8"/>
      <c r="AL31" s="8"/>
      <c r="AM31" s="8"/>
      <c r="AN31" s="8"/>
    </row>
    <row r="33" spans="2:59" x14ac:dyDescent="0.25">
      <c r="B33" s="9" t="s">
        <v>142</v>
      </c>
      <c r="AO33" t="s">
        <v>122</v>
      </c>
      <c r="BB33" s="11">
        <v>0.41</v>
      </c>
      <c r="BC33" s="11">
        <v>0.41</v>
      </c>
      <c r="BD33" s="11">
        <v>0.41</v>
      </c>
      <c r="BE33" s="11">
        <v>0.41</v>
      </c>
      <c r="BF33" s="11">
        <v>0.41</v>
      </c>
      <c r="BG33" s="11">
        <v>0.41</v>
      </c>
    </row>
    <row r="34" spans="2:59" x14ac:dyDescent="0.25">
      <c r="B34" s="9" t="s">
        <v>141</v>
      </c>
      <c r="BB34" s="5">
        <v>50</v>
      </c>
      <c r="BC34" s="5">
        <v>50</v>
      </c>
      <c r="BD34" s="5">
        <v>50</v>
      </c>
      <c r="BE34" s="5">
        <v>50</v>
      </c>
      <c r="BF34" s="5">
        <v>50</v>
      </c>
      <c r="BG34" s="5">
        <v>50</v>
      </c>
    </row>
    <row r="35" spans="2:59" x14ac:dyDescent="0.25">
      <c r="B35" s="9" t="s">
        <v>143</v>
      </c>
      <c r="BB35" s="5">
        <f>BB33*BB34</f>
        <v>20.5</v>
      </c>
      <c r="BC35" s="5">
        <f t="shared" ref="BC35:BG35" si="21">BC33*BC34</f>
        <v>20.5</v>
      </c>
      <c r="BD35" s="5">
        <f t="shared" si="21"/>
        <v>20.5</v>
      </c>
      <c r="BE35" s="5">
        <f t="shared" si="21"/>
        <v>20.5</v>
      </c>
      <c r="BF35" s="5">
        <f t="shared" si="21"/>
        <v>20.5</v>
      </c>
      <c r="BG35" s="5">
        <f t="shared" si="21"/>
        <v>20.5</v>
      </c>
    </row>
    <row r="36" spans="2:59" x14ac:dyDescent="0.25">
      <c r="B36" s="10" t="s">
        <v>144</v>
      </c>
      <c r="BB36">
        <f>BB35*10</f>
        <v>205</v>
      </c>
      <c r="BC36">
        <f t="shared" ref="BC36:BG36" si="22">BC35*10</f>
        <v>205</v>
      </c>
      <c r="BD36">
        <f t="shared" si="22"/>
        <v>205</v>
      </c>
      <c r="BE36">
        <f t="shared" si="22"/>
        <v>205</v>
      </c>
      <c r="BF36">
        <f t="shared" si="22"/>
        <v>205</v>
      </c>
      <c r="BG36">
        <f t="shared" si="22"/>
        <v>205</v>
      </c>
    </row>
    <row r="37" spans="2:59" x14ac:dyDescent="0.25">
      <c r="B37" s="9"/>
    </row>
    <row r="38" spans="2:59" x14ac:dyDescent="0.25">
      <c r="B38" s="12" t="s">
        <v>151</v>
      </c>
    </row>
    <row r="39" spans="2:59" x14ac:dyDescent="0.25">
      <c r="B39" s="2" t="s">
        <v>20</v>
      </c>
      <c r="C39" s="2">
        <v>3107</v>
      </c>
      <c r="D39" s="2">
        <v>3316</v>
      </c>
      <c r="E39" s="2">
        <v>3187</v>
      </c>
      <c r="F39" s="2">
        <v>3344</v>
      </c>
      <c r="G39" s="2">
        <v>2771</v>
      </c>
      <c r="H39" s="2">
        <v>2167</v>
      </c>
      <c r="I39" s="2">
        <v>2199</v>
      </c>
      <c r="J39" s="2">
        <v>2476</v>
      </c>
      <c r="K39" s="2">
        <v>2234</v>
      </c>
      <c r="L39" s="2">
        <v>2346</v>
      </c>
      <c r="M39" s="2">
        <v>2642</v>
      </c>
      <c r="N39" s="2">
        <v>3092</v>
      </c>
      <c r="O39" s="2">
        <v>3590</v>
      </c>
      <c r="P39" s="2">
        <v>3937</v>
      </c>
      <c r="Q39" s="2">
        <v>3630</v>
      </c>
      <c r="AY39" s="6">
        <f>SUM(C39:F39)</f>
        <v>12954</v>
      </c>
      <c r="AZ39" s="6">
        <f t="shared" ref="AZ39:AZ46" si="23">SUM(G39:J39)</f>
        <v>9613</v>
      </c>
      <c r="BA39" s="6">
        <f t="shared" ref="BA39:BA56" si="24">SUM(K39:N39)</f>
        <v>10314</v>
      </c>
      <c r="BB39" s="6">
        <f>BB36+BB17+BB29</f>
        <v>12491.5</v>
      </c>
      <c r="BC39" s="6">
        <f t="shared" ref="BC39:BG39" si="25">BC36+BC17+BC29</f>
        <v>11964.625</v>
      </c>
      <c r="BD39" s="6">
        <f t="shared" si="25"/>
        <v>14421.625</v>
      </c>
      <c r="BE39" s="6">
        <f t="shared" si="25"/>
        <v>14953.625</v>
      </c>
      <c r="BF39" s="6">
        <f t="shared" si="25"/>
        <v>15666.75</v>
      </c>
      <c r="BG39" s="6">
        <f t="shared" si="25"/>
        <v>16136.625</v>
      </c>
    </row>
    <row r="40" spans="2:59" x14ac:dyDescent="0.25">
      <c r="B40" t="s">
        <v>21</v>
      </c>
      <c r="C40">
        <v>-304</v>
      </c>
      <c r="D40">
        <v>-308</v>
      </c>
      <c r="E40">
        <v>-315</v>
      </c>
      <c r="F40">
        <v>-315</v>
      </c>
      <c r="G40">
        <v>-300</v>
      </c>
      <c r="H40">
        <v>-279</v>
      </c>
      <c r="I40">
        <v>-268</v>
      </c>
      <c r="J40">
        <v>-312</v>
      </c>
      <c r="K40">
        <v>-295</v>
      </c>
      <c r="L40">
        <v>-294</v>
      </c>
      <c r="M40">
        <v>-307</v>
      </c>
      <c r="N40">
        <v>-291</v>
      </c>
      <c r="O40">
        <v>-299</v>
      </c>
      <c r="P40">
        <v>-327</v>
      </c>
      <c r="Q40">
        <v>-327</v>
      </c>
      <c r="AY40" s="5">
        <f t="shared" ref="AY40:AY56" si="26">SUM(C40:F40)</f>
        <v>-1242</v>
      </c>
      <c r="AZ40" s="5">
        <f t="shared" si="23"/>
        <v>-1159</v>
      </c>
      <c r="BA40" s="5">
        <f t="shared" si="24"/>
        <v>-1187</v>
      </c>
    </row>
    <row r="41" spans="2:59" x14ac:dyDescent="0.25">
      <c r="B41" t="s">
        <v>22</v>
      </c>
      <c r="C41">
        <v>-1687</v>
      </c>
      <c r="D41">
        <v>-1853</v>
      </c>
      <c r="E41">
        <v>-1650</v>
      </c>
      <c r="F41">
        <v>-1670</v>
      </c>
      <c r="G41">
        <v>-1403</v>
      </c>
      <c r="H41">
        <v>-1096</v>
      </c>
      <c r="I41">
        <v>-1243</v>
      </c>
      <c r="J41">
        <v>-1351</v>
      </c>
      <c r="K41">
        <v>-1237</v>
      </c>
      <c r="L41">
        <v>-1403</v>
      </c>
      <c r="M41">
        <v>-1615</v>
      </c>
      <c r="N41">
        <v>-1800</v>
      </c>
      <c r="O41">
        <v>-2020</v>
      </c>
      <c r="P41">
        <v>-1971</v>
      </c>
      <c r="Q41">
        <v>-2103</v>
      </c>
      <c r="AY41" s="5">
        <f t="shared" si="26"/>
        <v>-6860</v>
      </c>
      <c r="AZ41" s="5">
        <f t="shared" si="23"/>
        <v>-5093</v>
      </c>
      <c r="BA41" s="5">
        <f t="shared" si="24"/>
        <v>-6055</v>
      </c>
    </row>
    <row r="42" spans="2:59" x14ac:dyDescent="0.25">
      <c r="B42" s="13" t="s">
        <v>34</v>
      </c>
      <c r="C42" s="2">
        <f t="shared" ref="C42:K42" si="27">C39+C40+C41</f>
        <v>1116</v>
      </c>
      <c r="D42" s="2">
        <f t="shared" si="27"/>
        <v>1155</v>
      </c>
      <c r="E42" s="2">
        <f t="shared" si="27"/>
        <v>1222</v>
      </c>
      <c r="F42" s="2">
        <f t="shared" si="27"/>
        <v>1359</v>
      </c>
      <c r="G42" s="2">
        <f t="shared" si="27"/>
        <v>1068</v>
      </c>
      <c r="H42" s="2">
        <f t="shared" si="27"/>
        <v>792</v>
      </c>
      <c r="I42" s="2">
        <f t="shared" si="27"/>
        <v>688</v>
      </c>
      <c r="J42" s="2">
        <f t="shared" si="27"/>
        <v>813</v>
      </c>
      <c r="K42" s="2">
        <f t="shared" si="27"/>
        <v>702</v>
      </c>
      <c r="L42" s="2">
        <f>L39+L40+L41</f>
        <v>649</v>
      </c>
      <c r="M42" s="2">
        <f>M39+M40+M41</f>
        <v>720</v>
      </c>
      <c r="N42" s="2">
        <f>N39+N40+N41</f>
        <v>1001</v>
      </c>
      <c r="O42" s="2">
        <f>O39+O40+O41</f>
        <v>1271</v>
      </c>
      <c r="P42" s="2">
        <f>P39+P40+P41</f>
        <v>1639</v>
      </c>
      <c r="Q42" s="2">
        <f>Q39+Q40+Q41</f>
        <v>1200</v>
      </c>
      <c r="AY42" s="6">
        <f t="shared" si="26"/>
        <v>4852</v>
      </c>
      <c r="AZ42" s="6">
        <f t="shared" si="23"/>
        <v>3361</v>
      </c>
      <c r="BA42" s="6">
        <f t="shared" si="24"/>
        <v>3072</v>
      </c>
    </row>
    <row r="43" spans="2:59" x14ac:dyDescent="0.25">
      <c r="B43" t="s">
        <v>89</v>
      </c>
      <c r="C43">
        <v>-687</v>
      </c>
      <c r="D43">
        <v>-711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AY43" s="5">
        <f t="shared" si="26"/>
        <v>-1398</v>
      </c>
      <c r="AZ43" s="5">
        <f t="shared" si="23"/>
        <v>0</v>
      </c>
      <c r="BA43" s="5">
        <f t="shared" si="24"/>
        <v>0</v>
      </c>
    </row>
    <row r="44" spans="2:59" x14ac:dyDescent="0.25">
      <c r="B44" t="s">
        <v>23</v>
      </c>
      <c r="E44">
        <v>-482</v>
      </c>
      <c r="F44">
        <v>-524</v>
      </c>
      <c r="G44">
        <v>-462</v>
      </c>
      <c r="H44">
        <v>-441</v>
      </c>
      <c r="I44">
        <v>-417</v>
      </c>
      <c r="J44">
        <v>-439</v>
      </c>
      <c r="K44">
        <v>-416</v>
      </c>
      <c r="L44">
        <v>-444</v>
      </c>
      <c r="M44">
        <v>-436</v>
      </c>
      <c r="N44">
        <v>-428</v>
      </c>
      <c r="O44">
        <v>-479</v>
      </c>
      <c r="P44">
        <v>-499</v>
      </c>
      <c r="Q44">
        <v>-475</v>
      </c>
      <c r="AY44" s="5">
        <f t="shared" si="26"/>
        <v>-1006</v>
      </c>
      <c r="AZ44" s="5">
        <f t="shared" si="23"/>
        <v>-1759</v>
      </c>
      <c r="BA44" s="5">
        <f t="shared" si="24"/>
        <v>-1724</v>
      </c>
    </row>
    <row r="45" spans="2:59" x14ac:dyDescent="0.25">
      <c r="B45" t="s">
        <v>24</v>
      </c>
      <c r="E45">
        <v>-235</v>
      </c>
      <c r="F45">
        <v>-275</v>
      </c>
      <c r="G45">
        <v>-227</v>
      </c>
      <c r="H45">
        <v>-212</v>
      </c>
      <c r="I45">
        <v>-198</v>
      </c>
      <c r="J45">
        <v>-228</v>
      </c>
      <c r="K45">
        <v>-175</v>
      </c>
      <c r="L45">
        <v>-187</v>
      </c>
      <c r="M45">
        <v>-173</v>
      </c>
      <c r="N45">
        <v>-152</v>
      </c>
      <c r="O45">
        <v>-181</v>
      </c>
      <c r="P45">
        <v>-235</v>
      </c>
      <c r="Q45">
        <v>-217</v>
      </c>
      <c r="AY45" s="5">
        <f t="shared" si="26"/>
        <v>-510</v>
      </c>
      <c r="AZ45" s="5">
        <f t="shared" si="23"/>
        <v>-865</v>
      </c>
      <c r="BA45" s="5">
        <f t="shared" si="24"/>
        <v>-687</v>
      </c>
    </row>
    <row r="46" spans="2:59" x14ac:dyDescent="0.25">
      <c r="B46" t="s">
        <v>25</v>
      </c>
      <c r="C46">
        <v>-8</v>
      </c>
      <c r="D46">
        <v>-9</v>
      </c>
      <c r="E46">
        <v>-8</v>
      </c>
      <c r="F46">
        <v>-198</v>
      </c>
      <c r="G46">
        <v>-12</v>
      </c>
      <c r="H46">
        <v>-5</v>
      </c>
      <c r="I46">
        <v>-12</v>
      </c>
      <c r="J46">
        <v>-47</v>
      </c>
      <c r="K46">
        <v>-3</v>
      </c>
      <c r="L46">
        <v>-160</v>
      </c>
      <c r="M46">
        <v>-17</v>
      </c>
      <c r="N46">
        <v>-12</v>
      </c>
      <c r="O46">
        <v>0</v>
      </c>
      <c r="P46">
        <v>0</v>
      </c>
      <c r="Q46">
        <v>0</v>
      </c>
      <c r="AY46" s="5">
        <f t="shared" si="26"/>
        <v>-223</v>
      </c>
      <c r="AZ46" s="5">
        <f t="shared" si="23"/>
        <v>-76</v>
      </c>
      <c r="BA46" s="5">
        <f t="shared" si="24"/>
        <v>-192</v>
      </c>
    </row>
    <row r="47" spans="2:59" x14ac:dyDescent="0.25">
      <c r="B47" t="s">
        <v>26</v>
      </c>
      <c r="C47">
        <v>-113</v>
      </c>
      <c r="D47">
        <v>-113</v>
      </c>
      <c r="E47">
        <v>-118</v>
      </c>
      <c r="F47">
        <v>-112</v>
      </c>
      <c r="G47">
        <v>-107</v>
      </c>
      <c r="H47">
        <v>-111</v>
      </c>
      <c r="I47">
        <v>-108</v>
      </c>
      <c r="J47">
        <v>-112</v>
      </c>
      <c r="K47">
        <v>-104</v>
      </c>
      <c r="L47">
        <v>-105</v>
      </c>
      <c r="M47">
        <v>-109</v>
      </c>
      <c r="N47">
        <v>-115</v>
      </c>
      <c r="O47">
        <v>-114</v>
      </c>
      <c r="P47">
        <v>-120</v>
      </c>
      <c r="Q47">
        <v>-122</v>
      </c>
      <c r="AY47" s="5">
        <f t="shared" si="26"/>
        <v>-456</v>
      </c>
      <c r="AZ47" s="5">
        <f t="shared" ref="AZ47:AZ56" si="28">SUM(G47:J47)</f>
        <v>-438</v>
      </c>
      <c r="BA47" s="5">
        <f t="shared" si="24"/>
        <v>-433</v>
      </c>
    </row>
    <row r="48" spans="2:59" x14ac:dyDescent="0.25">
      <c r="B48" t="s">
        <v>88</v>
      </c>
      <c r="C48">
        <v>0</v>
      </c>
      <c r="D48">
        <v>0</v>
      </c>
      <c r="E48">
        <v>38</v>
      </c>
      <c r="F48">
        <v>-247</v>
      </c>
      <c r="G48">
        <v>0</v>
      </c>
      <c r="H48">
        <v>-193</v>
      </c>
      <c r="I48">
        <v>0</v>
      </c>
      <c r="J48">
        <v>-258</v>
      </c>
      <c r="K48">
        <v>0</v>
      </c>
      <c r="M48">
        <v>0</v>
      </c>
      <c r="N48">
        <v>22</v>
      </c>
      <c r="O48">
        <v>0</v>
      </c>
      <c r="P48">
        <v>0</v>
      </c>
      <c r="Q48">
        <v>0</v>
      </c>
      <c r="AY48" s="5">
        <f t="shared" si="26"/>
        <v>-209</v>
      </c>
      <c r="AZ48" s="5">
        <f t="shared" si="28"/>
        <v>-451</v>
      </c>
      <c r="BA48" s="5">
        <f t="shared" si="24"/>
        <v>22</v>
      </c>
    </row>
    <row r="49" spans="2:59" x14ac:dyDescent="0.25">
      <c r="B49" t="s">
        <v>27</v>
      </c>
      <c r="C49">
        <v>-55</v>
      </c>
      <c r="D49">
        <v>828</v>
      </c>
      <c r="E49">
        <v>696</v>
      </c>
      <c r="F49">
        <v>-120</v>
      </c>
      <c r="G49">
        <v>-170</v>
      </c>
      <c r="H49">
        <v>49</v>
      </c>
      <c r="I49">
        <v>16</v>
      </c>
      <c r="J49">
        <v>-1006</v>
      </c>
      <c r="K49">
        <v>199</v>
      </c>
      <c r="L49">
        <v>-29</v>
      </c>
      <c r="M49">
        <v>-551</v>
      </c>
      <c r="N49">
        <v>163</v>
      </c>
      <c r="O49">
        <v>97</v>
      </c>
      <c r="P49">
        <v>411</v>
      </c>
      <c r="Q49">
        <v>-273</v>
      </c>
      <c r="AY49" s="5">
        <f t="shared" si="26"/>
        <v>1349</v>
      </c>
      <c r="AZ49" s="5">
        <f t="shared" si="28"/>
        <v>-1111</v>
      </c>
      <c r="BA49" s="5">
        <f t="shared" si="24"/>
        <v>-218</v>
      </c>
    </row>
    <row r="50" spans="2:59" x14ac:dyDescent="0.25">
      <c r="B50" s="13" t="s">
        <v>28</v>
      </c>
      <c r="C50">
        <f>SUM(C43:C49)</f>
        <v>-863</v>
      </c>
      <c r="D50">
        <f>SUM(D43:D49)</f>
        <v>-5</v>
      </c>
      <c r="E50">
        <f t="shared" ref="E50:K50" si="29">SUM(E44:E49)</f>
        <v>-109</v>
      </c>
      <c r="F50">
        <f t="shared" si="29"/>
        <v>-1476</v>
      </c>
      <c r="G50">
        <f t="shared" si="29"/>
        <v>-978</v>
      </c>
      <c r="H50">
        <f>SUM(H44:H49)</f>
        <v>-913</v>
      </c>
      <c r="I50">
        <f>SUM(I44:I49)</f>
        <v>-719</v>
      </c>
      <c r="J50">
        <f t="shared" si="29"/>
        <v>-2090</v>
      </c>
      <c r="K50">
        <f t="shared" si="29"/>
        <v>-499</v>
      </c>
      <c r="L50">
        <f>SUM(L44:L49)</f>
        <v>-925</v>
      </c>
      <c r="M50">
        <f>SUM(M44:M49)</f>
        <v>-1286</v>
      </c>
      <c r="N50">
        <f>SUM(N44:N49)</f>
        <v>-522</v>
      </c>
      <c r="O50">
        <f>SUM(O44:O49)</f>
        <v>-677</v>
      </c>
      <c r="P50">
        <f>SUM(P44:P49)</f>
        <v>-443</v>
      </c>
      <c r="Q50">
        <f>SUM(Q44:Q49)</f>
        <v>-1087</v>
      </c>
      <c r="AY50" s="5">
        <f t="shared" si="26"/>
        <v>-2453</v>
      </c>
      <c r="AZ50" s="5">
        <f t="shared" si="28"/>
        <v>-4700</v>
      </c>
      <c r="BA50" s="5">
        <f t="shared" si="24"/>
        <v>-3232</v>
      </c>
    </row>
    <row r="51" spans="2:59" x14ac:dyDescent="0.25">
      <c r="B51" s="2" t="s">
        <v>35</v>
      </c>
      <c r="C51" s="2">
        <f t="shared" ref="C51:P51" si="30">C42+C50</f>
        <v>253</v>
      </c>
      <c r="D51" s="2">
        <f t="shared" si="30"/>
        <v>1150</v>
      </c>
      <c r="E51" s="2">
        <f t="shared" si="30"/>
        <v>1113</v>
      </c>
      <c r="F51" s="2">
        <f t="shared" si="30"/>
        <v>-117</v>
      </c>
      <c r="G51" s="2">
        <f t="shared" si="30"/>
        <v>90</v>
      </c>
      <c r="H51" s="2">
        <f t="shared" si="30"/>
        <v>-121</v>
      </c>
      <c r="I51" s="2">
        <f t="shared" si="30"/>
        <v>-31</v>
      </c>
      <c r="J51" s="2">
        <f t="shared" si="30"/>
        <v>-1277</v>
      </c>
      <c r="K51" s="2">
        <f t="shared" si="30"/>
        <v>203</v>
      </c>
      <c r="L51" s="2">
        <f t="shared" si="30"/>
        <v>-276</v>
      </c>
      <c r="M51" s="2">
        <f t="shared" si="30"/>
        <v>-566</v>
      </c>
      <c r="N51" s="2">
        <f t="shared" si="30"/>
        <v>479</v>
      </c>
      <c r="O51" s="2">
        <f t="shared" si="30"/>
        <v>594</v>
      </c>
      <c r="P51" s="2">
        <f t="shared" si="30"/>
        <v>1196</v>
      </c>
      <c r="Q51" s="2">
        <f>Q42+Q50</f>
        <v>113</v>
      </c>
      <c r="AY51" s="6">
        <f t="shared" si="26"/>
        <v>2399</v>
      </c>
      <c r="AZ51" s="6">
        <f t="shared" si="28"/>
        <v>-1339</v>
      </c>
      <c r="BA51" s="6">
        <f t="shared" si="24"/>
        <v>-160</v>
      </c>
      <c r="BB51" s="5">
        <f t="shared" ref="BB51:BG51" si="31">BB39*BB63</f>
        <v>374.745</v>
      </c>
      <c r="BC51" s="5">
        <f t="shared" si="31"/>
        <v>358.93874999999997</v>
      </c>
      <c r="BD51" s="5">
        <f t="shared" si="31"/>
        <v>721.08125000000007</v>
      </c>
      <c r="BE51" s="5">
        <f t="shared" si="31"/>
        <v>1495.3625000000002</v>
      </c>
      <c r="BF51" s="5">
        <f t="shared" si="31"/>
        <v>1723.3425</v>
      </c>
      <c r="BG51" s="5">
        <f t="shared" si="31"/>
        <v>1936.395</v>
      </c>
    </row>
    <row r="52" spans="2:59" x14ac:dyDescent="0.25">
      <c r="B52" t="s">
        <v>29</v>
      </c>
      <c r="C52">
        <v>0</v>
      </c>
      <c r="D52">
        <v>0</v>
      </c>
      <c r="E52">
        <v>0</v>
      </c>
      <c r="F52">
        <v>0</v>
      </c>
      <c r="G52">
        <v>-4</v>
      </c>
      <c r="H52">
        <v>-16</v>
      </c>
      <c r="I52">
        <v>4</v>
      </c>
      <c r="J52">
        <v>6</v>
      </c>
      <c r="K52">
        <v>0</v>
      </c>
      <c r="L52">
        <v>-9</v>
      </c>
      <c r="M52">
        <v>-4</v>
      </c>
      <c r="N52">
        <v>-5</v>
      </c>
      <c r="O52">
        <v>-1</v>
      </c>
      <c r="P52">
        <v>-3</v>
      </c>
      <c r="Q52">
        <v>-5</v>
      </c>
      <c r="AY52" s="5">
        <f t="shared" si="26"/>
        <v>0</v>
      </c>
      <c r="AZ52" s="5">
        <f t="shared" si="28"/>
        <v>-10</v>
      </c>
      <c r="BA52" s="5">
        <f t="shared" si="24"/>
        <v>-18</v>
      </c>
    </row>
    <row r="53" spans="2:59" x14ac:dyDescent="0.25">
      <c r="B53" t="s">
        <v>30</v>
      </c>
      <c r="C53">
        <v>8</v>
      </c>
      <c r="D53">
        <v>-68</v>
      </c>
      <c r="E53">
        <v>-89</v>
      </c>
      <c r="F53">
        <v>-58</v>
      </c>
      <c r="G53">
        <v>-429</v>
      </c>
      <c r="H53">
        <v>86</v>
      </c>
      <c r="I53">
        <v>-56</v>
      </c>
      <c r="J53">
        <v>50</v>
      </c>
      <c r="K53">
        <v>1</v>
      </c>
      <c r="L53">
        <v>-79</v>
      </c>
      <c r="M53">
        <v>-45</v>
      </c>
      <c r="N53">
        <v>5</v>
      </c>
      <c r="O53">
        <v>1</v>
      </c>
      <c r="P53">
        <v>-127</v>
      </c>
      <c r="Q53">
        <v>-84</v>
      </c>
      <c r="AY53" s="5">
        <f t="shared" si="26"/>
        <v>-207</v>
      </c>
      <c r="AZ53" s="5">
        <f t="shared" si="28"/>
        <v>-349</v>
      </c>
      <c r="BA53" s="5">
        <f t="shared" si="24"/>
        <v>-118</v>
      </c>
    </row>
    <row r="54" spans="2:59" x14ac:dyDescent="0.25">
      <c r="B54" s="2" t="s">
        <v>31</v>
      </c>
      <c r="C54" s="2">
        <f>C51+C52+C53</f>
        <v>261</v>
      </c>
      <c r="D54" s="2">
        <f>D51+D52+D53</f>
        <v>1082</v>
      </c>
      <c r="E54" s="2">
        <f>E51+E52+E53</f>
        <v>1024</v>
      </c>
      <c r="F54" s="2">
        <f>F51+F52+F53</f>
        <v>-175</v>
      </c>
      <c r="G54" s="2">
        <f t="shared" ref="G54:K54" si="32">G51+G52+G53</f>
        <v>-343</v>
      </c>
      <c r="H54" s="2">
        <f t="shared" si="32"/>
        <v>-51</v>
      </c>
      <c r="I54" s="2">
        <f t="shared" si="32"/>
        <v>-83</v>
      </c>
      <c r="J54" s="2">
        <f t="shared" si="32"/>
        <v>-1221</v>
      </c>
      <c r="K54" s="2">
        <f t="shared" si="32"/>
        <v>204</v>
      </c>
      <c r="L54" s="2">
        <f>L51+L52+L53</f>
        <v>-364</v>
      </c>
      <c r="M54" s="2">
        <f>M51+M52+M53</f>
        <v>-615</v>
      </c>
      <c r="N54" s="2">
        <f>N51+N52+N53</f>
        <v>479</v>
      </c>
      <c r="O54" s="2">
        <f>O51+O52+O53</f>
        <v>594</v>
      </c>
      <c r="P54" s="2">
        <f>P51+P52+P53</f>
        <v>1066</v>
      </c>
      <c r="Q54" s="2">
        <f>Q51+Q52+Q53</f>
        <v>24</v>
      </c>
      <c r="AY54" s="5">
        <f t="shared" si="26"/>
        <v>2192</v>
      </c>
      <c r="AZ54" s="5">
        <f t="shared" si="28"/>
        <v>-1698</v>
      </c>
      <c r="BA54" s="5">
        <f t="shared" si="24"/>
        <v>-296</v>
      </c>
    </row>
    <row r="55" spans="2:59" x14ac:dyDescent="0.25">
      <c r="B55" t="s">
        <v>32</v>
      </c>
      <c r="C55">
        <v>-109</v>
      </c>
      <c r="D55">
        <v>-50</v>
      </c>
      <c r="E55">
        <v>-6</v>
      </c>
      <c r="F55">
        <v>17</v>
      </c>
      <c r="G55">
        <v>-30</v>
      </c>
      <c r="H55">
        <v>-7</v>
      </c>
      <c r="I55">
        <v>-7</v>
      </c>
      <c r="J55">
        <v>-142</v>
      </c>
      <c r="K55">
        <v>-11</v>
      </c>
      <c r="L55">
        <v>10</v>
      </c>
      <c r="M55">
        <v>12</v>
      </c>
      <c r="N55">
        <v>-80</v>
      </c>
      <c r="O55">
        <v>-10</v>
      </c>
      <c r="P55">
        <v>-130</v>
      </c>
      <c r="Q55">
        <v>-34</v>
      </c>
      <c r="AY55" s="5">
        <f t="shared" si="26"/>
        <v>-148</v>
      </c>
      <c r="AZ55" s="5">
        <f t="shared" si="28"/>
        <v>-186</v>
      </c>
      <c r="BA55" s="5">
        <f t="shared" si="24"/>
        <v>-69</v>
      </c>
      <c r="BB55" s="5">
        <f>BB51*BB64</f>
        <v>82.443899999999999</v>
      </c>
      <c r="BC55" s="5">
        <f t="shared" ref="BC55:BG55" si="33">BC51*BC64</f>
        <v>78.96652499999999</v>
      </c>
      <c r="BD55" s="5">
        <f t="shared" si="33"/>
        <v>158.63787500000001</v>
      </c>
      <c r="BE55" s="5">
        <f t="shared" si="33"/>
        <v>328.97975000000002</v>
      </c>
      <c r="BF55" s="5">
        <f t="shared" si="33"/>
        <v>379.13535000000002</v>
      </c>
      <c r="BG55" s="5">
        <f t="shared" si="33"/>
        <v>426.00689999999997</v>
      </c>
    </row>
    <row r="56" spans="2:59" x14ac:dyDescent="0.25">
      <c r="B56" s="2" t="s">
        <v>33</v>
      </c>
      <c r="C56" s="2">
        <f t="shared" ref="C56:K56" si="34">C54+C55</f>
        <v>152</v>
      </c>
      <c r="D56" s="2">
        <f t="shared" si="34"/>
        <v>1032</v>
      </c>
      <c r="E56" s="2">
        <f t="shared" si="34"/>
        <v>1018</v>
      </c>
      <c r="F56" s="2">
        <f t="shared" si="34"/>
        <v>-158</v>
      </c>
      <c r="G56" s="2">
        <f t="shared" si="34"/>
        <v>-373</v>
      </c>
      <c r="H56" s="2">
        <f t="shared" si="34"/>
        <v>-58</v>
      </c>
      <c r="I56" s="2">
        <f t="shared" si="34"/>
        <v>-90</v>
      </c>
      <c r="J56" s="2">
        <f t="shared" si="34"/>
        <v>-1363</v>
      </c>
      <c r="K56" s="2">
        <f t="shared" si="34"/>
        <v>193</v>
      </c>
      <c r="L56" s="2">
        <f>L54+L55</f>
        <v>-354</v>
      </c>
      <c r="M56" s="2">
        <f>M54+M55</f>
        <v>-603</v>
      </c>
      <c r="N56" s="2">
        <f>N54+N55</f>
        <v>399</v>
      </c>
      <c r="O56" s="2">
        <f>O54+O55</f>
        <v>584</v>
      </c>
      <c r="P56" s="2">
        <f>P54+P55</f>
        <v>936</v>
      </c>
      <c r="Q56" s="2">
        <f>Q54+Q55</f>
        <v>-10</v>
      </c>
      <c r="AY56" s="6">
        <f t="shared" si="26"/>
        <v>2044</v>
      </c>
      <c r="AZ56" s="6">
        <f t="shared" si="28"/>
        <v>-1884</v>
      </c>
      <c r="BA56" s="6">
        <f t="shared" si="24"/>
        <v>-365</v>
      </c>
    </row>
    <row r="57" spans="2:59" x14ac:dyDescent="0.25">
      <c r="B57" t="s">
        <v>36</v>
      </c>
      <c r="C57" s="1">
        <f t="shared" ref="C57:K57" si="35">C56/C58</f>
        <v>1.8424242424242425</v>
      </c>
      <c r="D57" s="1">
        <f t="shared" si="35"/>
        <v>12.50909090909091</v>
      </c>
      <c r="E57" s="1">
        <f t="shared" si="35"/>
        <v>12.33939393939394</v>
      </c>
      <c r="F57" s="1">
        <f t="shared" si="35"/>
        <v>-1.915151515151515</v>
      </c>
      <c r="G57" s="1">
        <f t="shared" si="35"/>
        <v>-4.5212121212121215</v>
      </c>
      <c r="H57" s="1">
        <f t="shared" si="35"/>
        <v>-0.70303030303030301</v>
      </c>
      <c r="I57" s="1">
        <f t="shared" si="35"/>
        <v>-1.0909090909090908</v>
      </c>
      <c r="J57" s="1">
        <f t="shared" si="35"/>
        <v>-16.52121212121212</v>
      </c>
      <c r="K57" s="1">
        <f t="shared" si="35"/>
        <v>2.0474259162005546</v>
      </c>
      <c r="L57" s="1">
        <f>L56/L58</f>
        <v>-3.7553822504403951</v>
      </c>
      <c r="M57" s="1">
        <f>M56/M58</f>
        <v>-6.3968799350721985</v>
      </c>
      <c r="N57" s="1">
        <f>N56/N58</f>
        <v>4.2327613500726491</v>
      </c>
      <c r="O57" s="1">
        <f>O56/O58</f>
        <v>6.1953198707830248</v>
      </c>
      <c r="P57" s="1">
        <f>P56/P58</f>
        <v>9.9294852723508757</v>
      </c>
      <c r="Q57" s="1">
        <f>Q56/Q58</f>
        <v>-0.10608424436272303</v>
      </c>
      <c r="AY57" s="1">
        <f>AY56/AY58</f>
        <v>24.775757575757577</v>
      </c>
      <c r="AZ57" s="1">
        <f t="shared" ref="AZ57:BA57" si="36">AZ56/AZ58</f>
        <v>-22.836363636363636</v>
      </c>
      <c r="BA57" s="1">
        <f t="shared" si="36"/>
        <v>-3.8720749192393904</v>
      </c>
    </row>
    <row r="58" spans="2:59" x14ac:dyDescent="0.25">
      <c r="B58" t="s">
        <v>37</v>
      </c>
      <c r="C58" s="1">
        <v>82.5</v>
      </c>
      <c r="D58" s="1">
        <v>82.5</v>
      </c>
      <c r="E58" s="1">
        <v>82.5</v>
      </c>
      <c r="F58" s="1">
        <v>82.5</v>
      </c>
      <c r="G58" s="1">
        <v>82.5</v>
      </c>
      <c r="H58" s="1">
        <v>82.5</v>
      </c>
      <c r="I58" s="1">
        <v>82.5</v>
      </c>
      <c r="J58" s="1">
        <v>82.5</v>
      </c>
      <c r="K58" s="1">
        <v>94.264705000000006</v>
      </c>
      <c r="L58" s="1">
        <v>94.264705000000006</v>
      </c>
      <c r="M58" s="1">
        <v>94.264705000000006</v>
      </c>
      <c r="N58" s="1">
        <v>94.264705000000006</v>
      </c>
      <c r="O58" s="1">
        <v>94.264705000000006</v>
      </c>
      <c r="P58" s="1">
        <v>94.264705000000006</v>
      </c>
      <c r="Q58" s="1">
        <v>94.264705000000006</v>
      </c>
      <c r="AY58" s="1">
        <f>F58</f>
        <v>82.5</v>
      </c>
      <c r="AZ58" s="1">
        <f>J58</f>
        <v>82.5</v>
      </c>
      <c r="BA58" s="1">
        <f>N58</f>
        <v>94.264705000000006</v>
      </c>
    </row>
    <row r="61" spans="2:59" x14ac:dyDescent="0.25">
      <c r="B61" t="s">
        <v>38</v>
      </c>
      <c r="G61" s="4">
        <f t="shared" ref="G61:Q61" si="37">G39/C39-1</f>
        <v>-0.1081429031219826</v>
      </c>
      <c r="H61" s="4">
        <f t="shared" si="37"/>
        <v>-0.34650180940892639</v>
      </c>
      <c r="I61" s="4">
        <f t="shared" si="37"/>
        <v>-0.31000941324129272</v>
      </c>
      <c r="J61" s="4">
        <f t="shared" si="37"/>
        <v>-0.25956937799043067</v>
      </c>
      <c r="K61" s="4">
        <f t="shared" si="37"/>
        <v>-0.19379285456513895</v>
      </c>
      <c r="L61" s="4">
        <f t="shared" si="37"/>
        <v>8.2602676511305928E-2</v>
      </c>
      <c r="M61" s="4">
        <f t="shared" si="37"/>
        <v>0.20145520691223284</v>
      </c>
      <c r="N61" s="4">
        <f t="shared" si="37"/>
        <v>0.24878836833602591</v>
      </c>
      <c r="O61" s="4">
        <f t="shared" si="37"/>
        <v>0.60698299015219348</v>
      </c>
      <c r="P61" s="4">
        <f t="shared" si="37"/>
        <v>0.67817561807331628</v>
      </c>
      <c r="Q61" s="4">
        <f t="shared" si="37"/>
        <v>0.37395912187736569</v>
      </c>
      <c r="AZ61" s="3">
        <f>AZ39/AY39-1</f>
        <v>-0.25791261386444342</v>
      </c>
      <c r="BA61" s="3">
        <f>BA39/AZ39-1</f>
        <v>7.2922084676999788E-2</v>
      </c>
      <c r="BB61" s="4">
        <f>BB39/BA39-1</f>
        <v>0.21112080667054478</v>
      </c>
      <c r="BC61" s="4">
        <f t="shared" ref="BC61:BG61" si="38">BC39/BB39-1</f>
        <v>-4.2178681503422299E-2</v>
      </c>
      <c r="BD61" s="4">
        <f t="shared" si="38"/>
        <v>0.20535537051934338</v>
      </c>
      <c r="BE61" s="4">
        <f t="shared" si="38"/>
        <v>3.6889046830714367E-2</v>
      </c>
      <c r="BF61" s="4">
        <f t="shared" si="38"/>
        <v>4.7689105484456151E-2</v>
      </c>
      <c r="BG61" s="4">
        <f t="shared" si="38"/>
        <v>2.9991861745416237E-2</v>
      </c>
    </row>
    <row r="62" spans="2:59" x14ac:dyDescent="0.25">
      <c r="B62" t="s">
        <v>39</v>
      </c>
      <c r="C62" s="4">
        <f t="shared" ref="C62" si="39">C42/C39</f>
        <v>0.35918892822658516</v>
      </c>
      <c r="D62" s="4">
        <f t="shared" ref="D62:E62" si="40">D42/D39</f>
        <v>0.34831121833534379</v>
      </c>
      <c r="E62" s="4">
        <f t="shared" si="40"/>
        <v>0.38343269532475682</v>
      </c>
      <c r="F62" s="4">
        <f>F42/F39</f>
        <v>0.40639952153110048</v>
      </c>
      <c r="G62" s="4">
        <f>G42/G39</f>
        <v>0.38542042583904729</v>
      </c>
      <c r="H62" s="4">
        <f t="shared" ref="H62:I62" si="41">H42/H39</f>
        <v>0.36548223350253806</v>
      </c>
      <c r="I62" s="4">
        <f t="shared" si="41"/>
        <v>0.3128694861300591</v>
      </c>
      <c r="J62" s="4">
        <f t="shared" ref="J62:P62" si="42">J42/J39</f>
        <v>0.32835218093699514</v>
      </c>
      <c r="K62" s="4">
        <f t="shared" si="42"/>
        <v>0.31423455684870188</v>
      </c>
      <c r="L62" s="4">
        <f t="shared" si="42"/>
        <v>0.27664109121909636</v>
      </c>
      <c r="M62" s="4">
        <f t="shared" si="42"/>
        <v>0.27252081756245267</v>
      </c>
      <c r="N62" s="4">
        <f t="shared" si="42"/>
        <v>0.32373868046571797</v>
      </c>
      <c r="O62" s="4">
        <f t="shared" si="42"/>
        <v>0.35403899721448467</v>
      </c>
      <c r="P62" s="4">
        <f t="shared" si="42"/>
        <v>0.41630683261366525</v>
      </c>
      <c r="Q62" s="4">
        <f t="shared" ref="Q62" si="43">Q42/Q39</f>
        <v>0.33057851239669422</v>
      </c>
      <c r="AY62" s="4">
        <f>AY42/AY39</f>
        <v>0.37455612166126295</v>
      </c>
      <c r="AZ62" s="4">
        <f>AZ42/AZ39</f>
        <v>0.34963070841568711</v>
      </c>
      <c r="BA62" s="4">
        <f>BA42/BA39</f>
        <v>0.29784758580570098</v>
      </c>
    </row>
    <row r="63" spans="2:59" x14ac:dyDescent="0.25">
      <c r="B63" t="s">
        <v>40</v>
      </c>
      <c r="C63" s="4">
        <f t="shared" ref="C63" si="44">C51/C39</f>
        <v>8.1429031219826198E-2</v>
      </c>
      <c r="D63" s="4">
        <f t="shared" ref="D63:E63" si="45">D51/D39</f>
        <v>0.3468033775633293</v>
      </c>
      <c r="E63" s="4">
        <f t="shared" si="45"/>
        <v>0.34923125196109195</v>
      </c>
      <c r="F63" s="4">
        <f>F51/F39</f>
        <v>-3.4988038277511964E-2</v>
      </c>
      <c r="G63" s="4">
        <f>G51/G39</f>
        <v>3.2479249368459043E-2</v>
      </c>
      <c r="H63" s="4">
        <f t="shared" ref="H63:I63" si="46">H51/H39</f>
        <v>-5.5837563451776651E-2</v>
      </c>
      <c r="I63" s="4">
        <f t="shared" si="46"/>
        <v>-1.4097316962255571E-2</v>
      </c>
      <c r="J63" s="4">
        <f t="shared" ref="J63:P63" si="47">J51/J39</f>
        <v>-0.51575121163166393</v>
      </c>
      <c r="K63" s="4">
        <f t="shared" si="47"/>
        <v>9.0868397493285583E-2</v>
      </c>
      <c r="L63" s="4">
        <f t="shared" si="47"/>
        <v>-0.11764705882352941</v>
      </c>
      <c r="M63" s="4">
        <f t="shared" si="47"/>
        <v>-0.21423164269492809</v>
      </c>
      <c r="N63" s="4">
        <f t="shared" si="47"/>
        <v>0.15491591203104788</v>
      </c>
      <c r="O63" s="4">
        <f t="shared" si="47"/>
        <v>0.16545961002785514</v>
      </c>
      <c r="P63" s="4">
        <f t="shared" si="47"/>
        <v>0.30378460756921516</v>
      </c>
      <c r="Q63" s="4">
        <f t="shared" ref="Q63" si="48">Q51/Q39</f>
        <v>3.1129476584022039E-2</v>
      </c>
      <c r="AY63" s="4">
        <f>AY51/AY39</f>
        <v>0.18519376254438782</v>
      </c>
      <c r="AZ63" s="4">
        <f t="shared" ref="AZ63:BA63" si="49">AZ51/AZ39</f>
        <v>-0.13929054405492561</v>
      </c>
      <c r="BA63" s="4">
        <f t="shared" si="49"/>
        <v>-1.5512895094046927E-2</v>
      </c>
      <c r="BB63" s="8">
        <v>0.03</v>
      </c>
      <c r="BC63" s="8">
        <v>0.03</v>
      </c>
      <c r="BD63" s="8">
        <v>0.05</v>
      </c>
      <c r="BE63" s="8">
        <v>0.1</v>
      </c>
      <c r="BF63" s="8">
        <v>0.11</v>
      </c>
      <c r="BG63" s="8">
        <v>0.12</v>
      </c>
    </row>
    <row r="64" spans="2:59" x14ac:dyDescent="0.25">
      <c r="B64" t="s">
        <v>41</v>
      </c>
      <c r="C64" s="4">
        <f t="shared" ref="C64" si="50">-C55/C54</f>
        <v>0.41762452107279696</v>
      </c>
      <c r="D64" s="4">
        <f t="shared" ref="D64:E64" si="51">-D55/D54</f>
        <v>4.6210720887245843E-2</v>
      </c>
      <c r="E64" s="4">
        <f t="shared" si="51"/>
        <v>5.859375E-3</v>
      </c>
      <c r="F64" s="4">
        <f t="shared" ref="F64:K64" si="52">-F55/F54</f>
        <v>9.7142857142857142E-2</v>
      </c>
      <c r="G64" s="4">
        <f t="shared" si="52"/>
        <v>-8.7463556851311949E-2</v>
      </c>
      <c r="H64" s="4">
        <f t="shared" ref="H64:I64" si="53">-H55/H54</f>
        <v>-0.13725490196078433</v>
      </c>
      <c r="I64" s="4">
        <f t="shared" si="53"/>
        <v>-8.4337349397590355E-2</v>
      </c>
      <c r="J64" s="4">
        <f t="shared" si="52"/>
        <v>-0.1162981162981163</v>
      </c>
      <c r="K64" s="4">
        <f t="shared" si="52"/>
        <v>5.3921568627450983E-2</v>
      </c>
      <c r="L64" s="4">
        <f>-L55/L54</f>
        <v>2.7472527472527472E-2</v>
      </c>
      <c r="M64" s="4">
        <f>-M55/M54</f>
        <v>1.9512195121951219E-2</v>
      </c>
      <c r="N64" s="4">
        <f>-N55/N54</f>
        <v>0.16701461377870563</v>
      </c>
      <c r="O64" s="4">
        <f>-O55/O54</f>
        <v>1.6835016835016835E-2</v>
      </c>
      <c r="P64" s="4">
        <f>-P55/P54</f>
        <v>0.12195121951219512</v>
      </c>
      <c r="Q64" s="4">
        <f>-Q55/Q54</f>
        <v>1.4166666666666667</v>
      </c>
      <c r="AY64" s="4">
        <f>-AY55/AY54</f>
        <v>6.7518248175182483E-2</v>
      </c>
      <c r="AZ64" s="4">
        <f>AZ55/AZ54</f>
        <v>0.10954063604240283</v>
      </c>
      <c r="BA64" s="4">
        <f>BA55/BA54</f>
        <v>0.23310810810810811</v>
      </c>
      <c r="BB64" s="8">
        <v>0.22</v>
      </c>
      <c r="BC64" s="8">
        <v>0.22</v>
      </c>
      <c r="BD64" s="8">
        <v>0.22</v>
      </c>
      <c r="BE64" s="8">
        <v>0.22</v>
      </c>
      <c r="BF64" s="8">
        <v>0.22</v>
      </c>
      <c r="BG64" s="8">
        <v>0.22</v>
      </c>
    </row>
    <row r="65" spans="2:181" x14ac:dyDescent="0.25">
      <c r="B65" t="s">
        <v>154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AY65" s="4"/>
      <c r="AZ65" s="14">
        <f>AZ39/(AZ90+AZ94-AZ83)</f>
        <v>2.4962347442222801</v>
      </c>
      <c r="BA65" s="14">
        <f>BA39/(BA90+BA94-BA83)</f>
        <v>2.5785</v>
      </c>
      <c r="BB65">
        <v>2.5</v>
      </c>
      <c r="BC65">
        <v>2.5</v>
      </c>
      <c r="BD65">
        <v>2.5</v>
      </c>
      <c r="BE65">
        <v>2.5</v>
      </c>
      <c r="BF65">
        <v>2.5</v>
      </c>
      <c r="BG65">
        <v>2.5</v>
      </c>
    </row>
    <row r="66" spans="2:181" x14ac:dyDescent="0.25">
      <c r="B66" t="s">
        <v>155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AY66" s="4"/>
      <c r="AZ66" s="4">
        <f>(AZ51*(1-AZ64))/(AZ90+AZ94)</f>
        <v>-0.24680709756556049</v>
      </c>
      <c r="BA66" s="4">
        <f>(BA51*(1-BA64))/(BA90+BA94)</f>
        <v>-2.235429089136504E-2</v>
      </c>
      <c r="BB66">
        <v>2.5</v>
      </c>
      <c r="BC66">
        <v>2.5</v>
      </c>
      <c r="BD66">
        <v>2.5</v>
      </c>
      <c r="BE66">
        <v>2.5</v>
      </c>
      <c r="BF66">
        <v>2.5</v>
      </c>
      <c r="BG66">
        <v>2.5</v>
      </c>
    </row>
    <row r="67" spans="2:18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AY67" s="4"/>
      <c r="AZ67" s="4"/>
      <c r="BA67" s="4"/>
    </row>
    <row r="68" spans="2:181" x14ac:dyDescent="0.25">
      <c r="B68" t="s">
        <v>156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AY68" s="4"/>
      <c r="AZ68" s="4"/>
      <c r="BA68" s="4"/>
      <c r="BB68" s="5">
        <f>(BB39-BA39)/BB66</f>
        <v>871</v>
      </c>
      <c r="BC68" s="5">
        <v>0</v>
      </c>
      <c r="BD68" s="5">
        <f t="shared" ref="BD68:BG68" si="54">(BD39-BC39)/BD66</f>
        <v>982.8</v>
      </c>
      <c r="BE68" s="5">
        <f t="shared" si="54"/>
        <v>212.8</v>
      </c>
      <c r="BF68" s="5">
        <f t="shared" si="54"/>
        <v>285.25</v>
      </c>
      <c r="BG68" s="5">
        <f t="shared" si="54"/>
        <v>187.95</v>
      </c>
    </row>
    <row r="69" spans="2:181" x14ac:dyDescent="0.25">
      <c r="B69" t="s">
        <v>157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AY69" s="4"/>
      <c r="AZ69" s="4"/>
      <c r="BA69" s="4"/>
      <c r="BB69" s="5">
        <f>BB51-BB55-BB68</f>
        <v>-578.69889999999998</v>
      </c>
      <c r="BC69" s="5">
        <f t="shared" ref="BC69:BG69" si="55">BC51-BC55-BC68</f>
        <v>279.97222499999998</v>
      </c>
      <c r="BD69" s="5">
        <f t="shared" si="55"/>
        <v>-420.35662499999989</v>
      </c>
      <c r="BE69" s="5">
        <f t="shared" si="55"/>
        <v>953.58275000000026</v>
      </c>
      <c r="BF69" s="5">
        <f t="shared" si="55"/>
        <v>1058.95715</v>
      </c>
      <c r="BG69" s="5">
        <f t="shared" si="55"/>
        <v>1322.4381000000001</v>
      </c>
      <c r="BH69" s="5">
        <f>BG69*(1+Main!$F$3)</f>
        <v>1335.6624810000001</v>
      </c>
      <c r="BI69" s="5">
        <f>BH69*(1+Main!$F$3)</f>
        <v>1349.0191058100002</v>
      </c>
      <c r="BJ69" s="5">
        <f>BI69*(1+Main!$F$3)</f>
        <v>1362.5092968681001</v>
      </c>
      <c r="BK69" s="5">
        <f>BJ69*(1+Main!$F$3)</f>
        <v>1376.1343898367811</v>
      </c>
      <c r="BL69" s="5">
        <f>BK69*(1+Main!$F$3)</f>
        <v>1389.895733735149</v>
      </c>
      <c r="BM69" s="5">
        <f>BL69*(1+Main!$F$3)</f>
        <v>1403.7946910725004</v>
      </c>
      <c r="BN69" s="5">
        <f>BM69*(1+Main!$F$3)</f>
        <v>1417.8326379832254</v>
      </c>
      <c r="BO69" s="5">
        <f>BN69*(1+Main!$F$3)</f>
        <v>1432.0109643630576</v>
      </c>
      <c r="BP69" s="5">
        <f>BO69*(1+Main!$F$3)</f>
        <v>1446.3310740066881</v>
      </c>
      <c r="BQ69" s="5">
        <f>BP69*(1+Main!$F$3)</f>
        <v>1460.794384746755</v>
      </c>
      <c r="BR69" s="5">
        <f>BQ69*(1+Main!$F$3)</f>
        <v>1475.4023285942226</v>
      </c>
      <c r="BS69" s="5">
        <f>BR69*(1+Main!$F$3)</f>
        <v>1490.1563518801647</v>
      </c>
      <c r="BT69" s="5">
        <f>BS69*(1+Main!$F$3)</f>
        <v>1505.0579153989663</v>
      </c>
      <c r="BU69" s="5">
        <f>BT69*(1+Main!$F$3)</f>
        <v>1520.108494552956</v>
      </c>
      <c r="BV69" s="5">
        <f>BU69*(1+Main!$F$3)</f>
        <v>1535.3095794984856</v>
      </c>
      <c r="BW69" s="5">
        <f>BV69*(1+Main!$F$3)</f>
        <v>1550.6626752934706</v>
      </c>
      <c r="BX69" s="5">
        <f>BW69*(1+Main!$F$3)</f>
        <v>1566.1693020464052</v>
      </c>
      <c r="BY69" s="5">
        <f>BX69*(1+Main!$F$3)</f>
        <v>1581.8309950668693</v>
      </c>
      <c r="BZ69" s="5">
        <f>BY69*(1+Main!$F$3)</f>
        <v>1597.6493050175379</v>
      </c>
      <c r="CA69" s="5">
        <f>BZ69*(1+Main!$F$3)</f>
        <v>1613.6257980677133</v>
      </c>
      <c r="CB69" s="5">
        <f>CA69*(1+Main!$F$3)</f>
        <v>1629.7620560483904</v>
      </c>
      <c r="CC69" s="5">
        <f>CB69*(1+Main!$F$3)</f>
        <v>1646.0596766088743</v>
      </c>
      <c r="CD69" s="5">
        <f>CC69*(1+Main!$F$3)</f>
        <v>1662.5202733749629</v>
      </c>
      <c r="CE69" s="5">
        <f>CD69*(1+Main!$F$3)</f>
        <v>1679.1454761087125</v>
      </c>
      <c r="CF69" s="5">
        <f>CE69*(1+Main!$F$3)</f>
        <v>1695.9369308697997</v>
      </c>
      <c r="CG69" s="5">
        <f>CF69*(1+Main!$F$3)</f>
        <v>1712.8963001784978</v>
      </c>
      <c r="CH69" s="5">
        <f>CG69*(1+Main!$F$3)</f>
        <v>1730.0252631802828</v>
      </c>
      <c r="CI69" s="5">
        <f>CH69*(1+Main!$F$3)</f>
        <v>1747.3255158120855</v>
      </c>
      <c r="CJ69" s="5">
        <f>CI69*(1+Main!$F$3)</f>
        <v>1764.7987709702063</v>
      </c>
      <c r="CK69" s="5">
        <f>CJ69*(1+Main!$F$3)</f>
        <v>1782.4467586799083</v>
      </c>
      <c r="CL69" s="5">
        <f>CK69*(1+Main!$F$3)</f>
        <v>1800.2712262667073</v>
      </c>
      <c r="CM69" s="5">
        <f>CL69*(1+Main!$F$3)</f>
        <v>1818.2739385293744</v>
      </c>
      <c r="CN69" s="5">
        <f>CM69*(1+Main!$F$3)</f>
        <v>1836.4566779146683</v>
      </c>
      <c r="CO69" s="5">
        <f>CN69*(1+Main!$F$3)</f>
        <v>1854.8212446938151</v>
      </c>
      <c r="CP69" s="5">
        <f>CO69*(1+Main!$F$3)</f>
        <v>1873.3694571407532</v>
      </c>
      <c r="CQ69" s="5">
        <f>CP69*(1+Main!$F$3)</f>
        <v>1892.1031517121608</v>
      </c>
      <c r="CR69" s="5">
        <f>CQ69*(1+Main!$F$3)</f>
        <v>1911.0241832292825</v>
      </c>
      <c r="CS69" s="5">
        <f>CR69*(1+Main!$F$3)</f>
        <v>1930.1344250615753</v>
      </c>
      <c r="CT69" s="5">
        <f>CS69*(1+Main!$F$3)</f>
        <v>1949.435769312191</v>
      </c>
      <c r="CU69" s="5">
        <f>CT69*(1+Main!$F$3)</f>
        <v>1968.9301270053129</v>
      </c>
      <c r="CV69" s="5">
        <f>CU69*(1+Main!$F$3)</f>
        <v>1988.6194282753661</v>
      </c>
      <c r="CW69" s="5">
        <f>CV69*(1+Main!$F$3)</f>
        <v>2008.5056225581197</v>
      </c>
      <c r="CX69" s="5">
        <f>CW69*(1+Main!$F$3)</f>
        <v>2028.5906787837009</v>
      </c>
      <c r="CY69" s="5">
        <f>CX69*(1+Main!$F$3)</f>
        <v>2048.8765855715378</v>
      </c>
      <c r="CZ69" s="5">
        <f>CY69*(1+Main!$F$3)</f>
        <v>2069.3653514272532</v>
      </c>
      <c r="DA69" s="5">
        <f>CZ69*(1+Main!$F$3)</f>
        <v>2090.0590049415259</v>
      </c>
      <c r="DB69" s="5">
        <f>DA69*(1+Main!$F$3)</f>
        <v>2110.9595949909412</v>
      </c>
      <c r="DC69" s="5">
        <f>DB69*(1+Main!$F$3)</f>
        <v>2132.0691909408506</v>
      </c>
      <c r="DD69" s="5">
        <f>DC69*(1+Main!$F$3)</f>
        <v>2153.3898828502593</v>
      </c>
      <c r="DE69" s="5">
        <f>DD69*(1+Main!$F$3)</f>
        <v>2174.9237816787618</v>
      </c>
      <c r="DF69" s="5">
        <f>DE69*(1+Main!$F$3)</f>
        <v>2196.6730194955494</v>
      </c>
      <c r="DG69" s="5">
        <f>DF69*(1+Main!$F$3)</f>
        <v>2218.6397496905047</v>
      </c>
      <c r="DH69" s="5">
        <f>DG69*(1+Main!$F$3)</f>
        <v>2240.8261471874098</v>
      </c>
      <c r="DI69" s="5">
        <f>DH69*(1+Main!$F$3)</f>
        <v>2263.2344086592839</v>
      </c>
      <c r="DJ69" s="5">
        <f>DI69*(1+Main!$F$3)</f>
        <v>2285.8667527458765</v>
      </c>
      <c r="DK69" s="5">
        <f>DJ69*(1+Main!$F$3)</f>
        <v>2308.7254202733352</v>
      </c>
      <c r="DL69" s="5">
        <f>DK69*(1+Main!$F$3)</f>
        <v>2331.8126744760684</v>
      </c>
      <c r="DM69" s="5">
        <f>DL69*(1+Main!$F$3)</f>
        <v>2355.1308012208292</v>
      </c>
      <c r="DN69" s="5">
        <f>DM69*(1+Main!$F$3)</f>
        <v>2378.6821092330374</v>
      </c>
      <c r="DO69" s="5">
        <f>DN69*(1+Main!$F$3)</f>
        <v>2402.4689303253676</v>
      </c>
      <c r="DP69" s="5">
        <f>DO69*(1+Main!$F$3)</f>
        <v>2426.4936196286212</v>
      </c>
      <c r="DQ69" s="5">
        <f>DP69*(1+Main!$F$3)</f>
        <v>2450.7585558249075</v>
      </c>
      <c r="DR69" s="5">
        <f>DQ69*(1+Main!$F$3)</f>
        <v>2475.2661413831565</v>
      </c>
      <c r="DS69" s="5">
        <f>DR69*(1+Main!$F$3)</f>
        <v>2500.018802796988</v>
      </c>
      <c r="DT69" s="5">
        <f>DS69*(1+Main!$F$3)</f>
        <v>2525.0189908249581</v>
      </c>
      <c r="DU69" s="5">
        <f>DT69*(1+Main!$F$3)</f>
        <v>2550.2691807332076</v>
      </c>
      <c r="DV69" s="5">
        <f>DU69*(1+Main!$F$3)</f>
        <v>2575.7718725405398</v>
      </c>
      <c r="DW69" s="5">
        <f>DV69*(1+Main!$F$3)</f>
        <v>2601.5295912659453</v>
      </c>
      <c r="DX69" s="5">
        <f>DW69*(1+Main!$F$3)</f>
        <v>2627.5448871786048</v>
      </c>
      <c r="DY69" s="5">
        <f>DX69*(1+Main!$F$3)</f>
        <v>2653.8203360503908</v>
      </c>
      <c r="DZ69" s="5">
        <f>DY69*(1+Main!$F$3)</f>
        <v>2680.3585394108945</v>
      </c>
      <c r="EA69" s="5">
        <f>DZ69*(1+Main!$F$3)</f>
        <v>2707.1621248050037</v>
      </c>
      <c r="EB69" s="5">
        <f>EA69*(1+Main!$F$3)</f>
        <v>2734.2337460530539</v>
      </c>
      <c r="EC69" s="5">
        <f>EB69*(1+Main!$F$3)</f>
        <v>2761.5760835135843</v>
      </c>
      <c r="ED69" s="5">
        <f>EC69*(1+Main!$F$3)</f>
        <v>2789.1918443487202</v>
      </c>
      <c r="EE69" s="5">
        <f>ED69*(1+Main!$F$3)</f>
        <v>2817.0837627922074</v>
      </c>
      <c r="EF69" s="5">
        <f>EE69*(1+Main!$F$3)</f>
        <v>2845.2546004201295</v>
      </c>
      <c r="EG69" s="5">
        <f>EF69*(1+Main!$F$3)</f>
        <v>2873.7071464243309</v>
      </c>
      <c r="EH69" s="5">
        <f>EG69*(1+Main!$F$3)</f>
        <v>2902.4442178885743</v>
      </c>
      <c r="EI69" s="5">
        <f>EH69*(1+Main!$F$3)</f>
        <v>2931.46866006746</v>
      </c>
      <c r="EJ69" s="5">
        <f>EI69*(1+Main!$F$3)</f>
        <v>2960.7833466681345</v>
      </c>
      <c r="EK69" s="5">
        <f>EJ69*(1+Main!$F$3)</f>
        <v>2990.3911801348158</v>
      </c>
      <c r="EL69" s="5">
        <f>EK69*(1+Main!$F$3)</f>
        <v>3020.2950919361642</v>
      </c>
      <c r="EM69" s="5">
        <f>EL69*(1+Main!$F$3)</f>
        <v>3050.4980428555259</v>
      </c>
      <c r="EN69" s="5">
        <f>EM69*(1+Main!$F$3)</f>
        <v>3081.0030232840813</v>
      </c>
      <c r="EO69" s="5">
        <f>EN69*(1+Main!$F$3)</f>
        <v>3111.8130535169221</v>
      </c>
      <c r="EP69" s="5">
        <f>EO69*(1+Main!$F$3)</f>
        <v>3142.9311840520913</v>
      </c>
      <c r="EQ69" s="5">
        <f>EP69*(1+Main!$F$3)</f>
        <v>3174.3604958926121</v>
      </c>
      <c r="ER69" s="5">
        <f>EQ69*(1+Main!$F$3)</f>
        <v>3206.1041008515381</v>
      </c>
      <c r="ES69" s="5">
        <f>ER69*(1+Main!$F$3)</f>
        <v>3238.1651418600536</v>
      </c>
      <c r="ET69" s="5">
        <f>ES69*(1+Main!$F$3)</f>
        <v>3270.5467932786541</v>
      </c>
      <c r="EU69" s="5">
        <f>ET69*(1+Main!$F$3)</f>
        <v>3303.2522612114408</v>
      </c>
      <c r="EV69" s="5">
        <f>EU69*(1+Main!$F$3)</f>
        <v>3336.2847838235552</v>
      </c>
      <c r="EW69" s="5">
        <f>EV69*(1+Main!$F$3)</f>
        <v>3369.6476316617909</v>
      </c>
      <c r="EX69" s="5">
        <f>EW69*(1+Main!$F$3)</f>
        <v>3403.3441079784088</v>
      </c>
      <c r="EY69" s="5">
        <f>EX69*(1+Main!$F$3)</f>
        <v>3437.3775490581929</v>
      </c>
      <c r="EZ69" s="5">
        <f>EY69*(1+Main!$F$3)</f>
        <v>3471.7513245487748</v>
      </c>
      <c r="FA69" s="5">
        <f>EZ69*(1+Main!$F$3)</f>
        <v>3506.4688377942625</v>
      </c>
      <c r="FB69" s="5">
        <f>FA69*(1+Main!$F$3)</f>
        <v>3541.5335261722053</v>
      </c>
      <c r="FC69" s="5">
        <f>FB69*(1+Main!$F$3)</f>
        <v>3576.9488614339275</v>
      </c>
      <c r="FD69" s="5">
        <f>FC69*(1+Main!$F$3)</f>
        <v>3612.718350048267</v>
      </c>
      <c r="FE69" s="5">
        <f>FD69*(1+Main!$F$3)</f>
        <v>3648.8455335487497</v>
      </c>
      <c r="FF69" s="5">
        <f>FE69*(1+Main!$F$3)</f>
        <v>3685.3339888842374</v>
      </c>
      <c r="FG69" s="5">
        <f>FF69*(1+Main!$F$3)</f>
        <v>3722.18732877308</v>
      </c>
      <c r="FH69" s="5">
        <f>FG69*(1+Main!$F$3)</f>
        <v>3759.4092020608109</v>
      </c>
      <c r="FI69" s="5">
        <f>FH69*(1+Main!$F$3)</f>
        <v>3797.003294081419</v>
      </c>
      <c r="FJ69" s="5">
        <f>FI69*(1+Main!$F$3)</f>
        <v>3834.9733270222332</v>
      </c>
      <c r="FK69" s="5">
        <f>FJ69*(1+Main!$F$3)</f>
        <v>3873.3230602924555</v>
      </c>
      <c r="FL69" s="5">
        <f>FK69*(1+Main!$F$3)</f>
        <v>3912.0562908953802</v>
      </c>
      <c r="FM69" s="5">
        <f>FL69*(1+Main!$F$3)</f>
        <v>3951.1768538043339</v>
      </c>
      <c r="FN69" s="5">
        <f>FM69*(1+Main!$F$3)</f>
        <v>3990.6886223423771</v>
      </c>
      <c r="FO69" s="5">
        <f>FN69*(1+Main!$F$3)</f>
        <v>4030.5955085658011</v>
      </c>
      <c r="FP69" s="5">
        <f>FO69*(1+Main!$F$3)</f>
        <v>4070.9014636514589</v>
      </c>
      <c r="FQ69" s="5">
        <f>FP69*(1+Main!$F$3)</f>
        <v>4111.6104782879738</v>
      </c>
      <c r="FR69" s="5">
        <f>FQ69*(1+Main!$F$3)</f>
        <v>4152.7265830708538</v>
      </c>
      <c r="FS69" s="5">
        <f>FR69*(1+Main!$F$3)</f>
        <v>4194.2538489015624</v>
      </c>
      <c r="FT69" s="5">
        <f>FS69*(1+Main!$F$3)</f>
        <v>4236.1963873905779</v>
      </c>
      <c r="FU69" s="5">
        <f>FT69*(1+Main!$F$3)</f>
        <v>4278.5583512644835</v>
      </c>
      <c r="FV69" s="5">
        <f>FU69*(1+Main!$F$3)</f>
        <v>4321.3439347771282</v>
      </c>
      <c r="FW69" s="5">
        <f>FV69*(1+Main!$F$3)</f>
        <v>4364.5573741248991</v>
      </c>
      <c r="FX69" s="5">
        <f>FW69*(1+Main!$F$3)</f>
        <v>4408.202947866148</v>
      </c>
      <c r="FY69" s="5">
        <f>FX69*(1+Main!$F$3)</f>
        <v>4452.2849773448097</v>
      </c>
    </row>
    <row r="70" spans="2:18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AY70" s="4"/>
      <c r="AZ70" s="4"/>
      <c r="BA70" s="4"/>
    </row>
    <row r="72" spans="2:181" x14ac:dyDescent="0.25">
      <c r="B72" s="13" t="s">
        <v>152</v>
      </c>
    </row>
    <row r="73" spans="2:181" x14ac:dyDescent="0.25">
      <c r="B73" t="s">
        <v>42</v>
      </c>
      <c r="P73">
        <v>0</v>
      </c>
      <c r="Q73">
        <v>15</v>
      </c>
      <c r="AZ73">
        <v>0</v>
      </c>
      <c r="BA73">
        <v>0</v>
      </c>
    </row>
    <row r="74" spans="2:181" x14ac:dyDescent="0.25">
      <c r="B74" t="s">
        <v>43</v>
      </c>
      <c r="P74">
        <v>17</v>
      </c>
      <c r="Q74">
        <v>15</v>
      </c>
      <c r="AZ74">
        <v>55</v>
      </c>
      <c r="BA74">
        <v>21</v>
      </c>
    </row>
    <row r="75" spans="2:181" x14ac:dyDescent="0.25">
      <c r="B75" t="s">
        <v>44</v>
      </c>
      <c r="P75">
        <v>4726</v>
      </c>
      <c r="Q75">
        <v>5235</v>
      </c>
      <c r="AZ75">
        <v>3586</v>
      </c>
      <c r="BA75">
        <v>4103</v>
      </c>
    </row>
    <row r="76" spans="2:181" x14ac:dyDescent="0.25">
      <c r="B76" t="s">
        <v>45</v>
      </c>
      <c r="P76">
        <v>107</v>
      </c>
      <c r="Q76">
        <v>102</v>
      </c>
      <c r="AZ76">
        <v>43</v>
      </c>
      <c r="BA76">
        <v>108</v>
      </c>
    </row>
    <row r="77" spans="2:181" x14ac:dyDescent="0.25">
      <c r="B77" t="s">
        <v>46</v>
      </c>
      <c r="P77">
        <v>470</v>
      </c>
      <c r="Q77">
        <v>325</v>
      </c>
      <c r="AZ77">
        <v>401</v>
      </c>
      <c r="BA77">
        <v>305</v>
      </c>
    </row>
    <row r="78" spans="2:181" x14ac:dyDescent="0.25">
      <c r="B78" t="s">
        <v>47</v>
      </c>
      <c r="P78">
        <f>SUM(P73:P77)</f>
        <v>5320</v>
      </c>
      <c r="Q78">
        <f>SUM(Q73:Q77)</f>
        <v>5692</v>
      </c>
      <c r="AZ78">
        <f>SUM(AZ73:AZ77)</f>
        <v>4085</v>
      </c>
      <c r="BA78">
        <f>SUM(BA73:BA77)</f>
        <v>4537</v>
      </c>
    </row>
    <row r="80" spans="2:181" x14ac:dyDescent="0.25">
      <c r="B80" t="s">
        <v>48</v>
      </c>
      <c r="P80">
        <v>1357</v>
      </c>
      <c r="Q80">
        <v>1487</v>
      </c>
      <c r="AZ80">
        <v>1194</v>
      </c>
      <c r="BA80">
        <v>1203</v>
      </c>
    </row>
    <row r="81" spans="2:53" x14ac:dyDescent="0.25">
      <c r="B81" t="s">
        <v>49</v>
      </c>
      <c r="P81">
        <v>2090</v>
      </c>
      <c r="Q81">
        <v>2039</v>
      </c>
      <c r="AZ81">
        <v>1288</v>
      </c>
      <c r="BA81">
        <v>1411</v>
      </c>
    </row>
    <row r="82" spans="2:53" x14ac:dyDescent="0.25">
      <c r="B82" t="s">
        <v>50</v>
      </c>
      <c r="P82">
        <v>871</v>
      </c>
      <c r="Q82">
        <v>1483</v>
      </c>
      <c r="AZ82">
        <v>241</v>
      </c>
      <c r="BA82">
        <v>484</v>
      </c>
    </row>
    <row r="83" spans="2:53" x14ac:dyDescent="0.25">
      <c r="B83" t="s">
        <v>51</v>
      </c>
      <c r="P83">
        <v>1728</v>
      </c>
      <c r="Q83">
        <v>2047</v>
      </c>
      <c r="AZ83">
        <v>980</v>
      </c>
      <c r="BA83">
        <v>1489</v>
      </c>
    </row>
    <row r="84" spans="2:53" x14ac:dyDescent="0.25">
      <c r="B84" t="s">
        <v>52</v>
      </c>
      <c r="P84">
        <f>SUM(P80:P83)</f>
        <v>6046</v>
      </c>
      <c r="Q84">
        <f>SUM(Q80:Q83)</f>
        <v>7056</v>
      </c>
      <c r="AZ84">
        <f>SUM(AZ80:AZ83)</f>
        <v>3703</v>
      </c>
      <c r="BA84">
        <f>SUM(BA80:BA83)</f>
        <v>4587</v>
      </c>
    </row>
    <row r="86" spans="2:53" x14ac:dyDescent="0.25">
      <c r="B86" s="2" t="s">
        <v>53</v>
      </c>
      <c r="P86" s="2">
        <f>P78+P84</f>
        <v>11366</v>
      </c>
      <c r="Q86" s="2">
        <f>Q78+Q84</f>
        <v>12748</v>
      </c>
      <c r="AZ86" s="2">
        <f>AZ78+AZ84</f>
        <v>7788</v>
      </c>
      <c r="BA86" s="2">
        <f>BA78+BA84</f>
        <v>9124</v>
      </c>
    </row>
    <row r="88" spans="2:53" x14ac:dyDescent="0.25">
      <c r="B88" t="s">
        <v>54</v>
      </c>
      <c r="P88">
        <v>8898</v>
      </c>
      <c r="Q88">
        <v>8898</v>
      </c>
      <c r="AZ88">
        <v>8510</v>
      </c>
      <c r="BA88">
        <v>8898</v>
      </c>
    </row>
    <row r="89" spans="2:53" x14ac:dyDescent="0.25">
      <c r="B89" t="s">
        <v>55</v>
      </c>
      <c r="P89">
        <v>-4111</v>
      </c>
      <c r="Q89">
        <v>-4039</v>
      </c>
      <c r="AZ89">
        <v>-5292</v>
      </c>
      <c r="BA89">
        <v>-5765</v>
      </c>
    </row>
    <row r="90" spans="2:53" x14ac:dyDescent="0.25">
      <c r="B90" t="s">
        <v>56</v>
      </c>
      <c r="P90">
        <f>P88+P89</f>
        <v>4787</v>
      </c>
      <c r="Q90">
        <f>Q88+Q89</f>
        <v>4859</v>
      </c>
      <c r="AZ90">
        <f>AZ88+AZ89</f>
        <v>3218</v>
      </c>
      <c r="BA90">
        <f>BA88+BA89</f>
        <v>3133</v>
      </c>
    </row>
    <row r="92" spans="2:53" x14ac:dyDescent="0.25">
      <c r="B92" t="s">
        <v>57</v>
      </c>
      <c r="P92">
        <v>322</v>
      </c>
      <c r="Q92">
        <v>324</v>
      </c>
      <c r="AZ92">
        <v>297</v>
      </c>
      <c r="BA92">
        <v>312</v>
      </c>
    </row>
    <row r="93" spans="2:53" x14ac:dyDescent="0.25">
      <c r="B93" t="s">
        <v>58</v>
      </c>
      <c r="P93">
        <v>254</v>
      </c>
      <c r="Q93">
        <v>252</v>
      </c>
      <c r="AZ93">
        <v>308</v>
      </c>
      <c r="BA93">
        <v>260</v>
      </c>
    </row>
    <row r="94" spans="2:53" x14ac:dyDescent="0.25">
      <c r="B94" t="s">
        <v>64</v>
      </c>
      <c r="P94">
        <v>2622</v>
      </c>
      <c r="Q94">
        <v>2855</v>
      </c>
      <c r="AZ94">
        <v>1613</v>
      </c>
      <c r="BA94">
        <v>2356</v>
      </c>
    </row>
    <row r="95" spans="2:53" x14ac:dyDescent="0.25">
      <c r="B95" t="s">
        <v>59</v>
      </c>
      <c r="P95">
        <v>404</v>
      </c>
      <c r="Q95">
        <v>939</v>
      </c>
      <c r="AZ95">
        <v>277</v>
      </c>
      <c r="BA95">
        <v>463</v>
      </c>
    </row>
    <row r="96" spans="2:53" x14ac:dyDescent="0.25">
      <c r="B96" t="s">
        <v>60</v>
      </c>
      <c r="P96">
        <f>SUM(P92:P95)</f>
        <v>3602</v>
      </c>
      <c r="Q96">
        <f>SUM(Q92:Q95)</f>
        <v>4370</v>
      </c>
      <c r="AZ96">
        <f>SUM(AZ92:AZ95)</f>
        <v>2495</v>
      </c>
      <c r="BA96">
        <f>SUM(BA92:BA95)</f>
        <v>3391</v>
      </c>
    </row>
    <row r="98" spans="2:53" x14ac:dyDescent="0.25">
      <c r="B98" t="s">
        <v>61</v>
      </c>
      <c r="P98">
        <v>2208</v>
      </c>
      <c r="Q98">
        <v>2467</v>
      </c>
      <c r="AZ98">
        <v>1728</v>
      </c>
      <c r="BA98">
        <v>1941</v>
      </c>
    </row>
    <row r="99" spans="2:53" x14ac:dyDescent="0.25">
      <c r="B99" t="s">
        <v>62</v>
      </c>
      <c r="P99">
        <v>172</v>
      </c>
      <c r="Q99">
        <v>208</v>
      </c>
      <c r="AZ99">
        <v>54</v>
      </c>
      <c r="BA99">
        <v>50</v>
      </c>
    </row>
    <row r="100" spans="2:53" x14ac:dyDescent="0.25">
      <c r="B100" t="s">
        <v>63</v>
      </c>
      <c r="P100">
        <v>118</v>
      </c>
      <c r="Q100">
        <v>162</v>
      </c>
      <c r="AZ100">
        <v>92</v>
      </c>
      <c r="BA100">
        <v>187</v>
      </c>
    </row>
    <row r="101" spans="2:53" x14ac:dyDescent="0.25">
      <c r="B101" t="s">
        <v>65</v>
      </c>
      <c r="P101">
        <v>478</v>
      </c>
      <c r="Q101">
        <v>680</v>
      </c>
      <c r="AZ101">
        <v>199</v>
      </c>
      <c r="BA101">
        <v>422</v>
      </c>
    </row>
    <row r="102" spans="2:53" x14ac:dyDescent="0.25">
      <c r="B102" t="s">
        <v>66</v>
      </c>
      <c r="P102">
        <f>SUM(P98:P101)</f>
        <v>2976</v>
      </c>
      <c r="Q102">
        <f>SUM(Q98:Q101)</f>
        <v>3517</v>
      </c>
      <c r="AZ102">
        <f>SUM(AZ98:AZ101)</f>
        <v>2073</v>
      </c>
      <c r="BA102">
        <f>SUM(BA98:BA101)</f>
        <v>2600</v>
      </c>
    </row>
    <row r="104" spans="2:53" x14ac:dyDescent="0.25">
      <c r="B104" t="s">
        <v>67</v>
      </c>
      <c r="P104">
        <f>P96+P102</f>
        <v>6578</v>
      </c>
      <c r="Q104">
        <f>Q96+Q102</f>
        <v>7887</v>
      </c>
      <c r="AZ104">
        <f>AZ96+AZ102</f>
        <v>4568</v>
      </c>
      <c r="BA104">
        <f>BA96+BA102</f>
        <v>5991</v>
      </c>
    </row>
    <row r="105" spans="2:53" x14ac:dyDescent="0.25">
      <c r="B105" s="2" t="s">
        <v>68</v>
      </c>
      <c r="P105" s="2">
        <f>P104+P90</f>
        <v>11365</v>
      </c>
      <c r="Q105" s="2">
        <f>Q104+Q90</f>
        <v>12746</v>
      </c>
      <c r="AZ105" s="2">
        <f>AZ104+AZ90</f>
        <v>7786</v>
      </c>
      <c r="BA105" s="2">
        <f>BA104+BA90</f>
        <v>9124</v>
      </c>
    </row>
    <row r="107" spans="2:53" x14ac:dyDescent="0.25">
      <c r="B107" s="13" t="s">
        <v>153</v>
      </c>
    </row>
    <row r="108" spans="2:53" x14ac:dyDescent="0.25">
      <c r="B108" t="s">
        <v>69</v>
      </c>
      <c r="P108">
        <v>3797</v>
      </c>
      <c r="Q108">
        <v>3707</v>
      </c>
    </row>
    <row r="109" spans="2:53" x14ac:dyDescent="0.25">
      <c r="B109" t="s">
        <v>70</v>
      </c>
      <c r="P109">
        <v>-3275</v>
      </c>
      <c r="Q109">
        <v>-3022</v>
      </c>
    </row>
    <row r="110" spans="2:53" x14ac:dyDescent="0.25">
      <c r="B110" t="s">
        <v>71</v>
      </c>
      <c r="P110">
        <v>-9</v>
      </c>
      <c r="Q110">
        <v>-7</v>
      </c>
    </row>
    <row r="111" spans="2:53" x14ac:dyDescent="0.25">
      <c r="B111" t="s">
        <v>72</v>
      </c>
      <c r="P111">
        <v>4</v>
      </c>
      <c r="Q111">
        <v>7</v>
      </c>
    </row>
    <row r="112" spans="2:53" x14ac:dyDescent="0.25">
      <c r="B112" t="s">
        <v>73</v>
      </c>
      <c r="P112">
        <v>-29</v>
      </c>
      <c r="Q112">
        <v>-32</v>
      </c>
    </row>
    <row r="113" spans="2:17" x14ac:dyDescent="0.25">
      <c r="B113" t="s">
        <v>74</v>
      </c>
      <c r="P113">
        <v>-17</v>
      </c>
      <c r="Q113">
        <v>-27</v>
      </c>
    </row>
    <row r="114" spans="2:17" x14ac:dyDescent="0.25">
      <c r="B114" s="2" t="s">
        <v>75</v>
      </c>
      <c r="P114" s="2">
        <f>SUM(P108:P113)</f>
        <v>471</v>
      </c>
      <c r="Q114" s="2">
        <f>SUM(Q108:Q113)</f>
        <v>626</v>
      </c>
    </row>
    <row r="116" spans="2:17" x14ac:dyDescent="0.25">
      <c r="B116" t="s">
        <v>76</v>
      </c>
      <c r="P116">
        <v>-437</v>
      </c>
      <c r="Q116">
        <v>-519</v>
      </c>
    </row>
    <row r="117" spans="2:17" x14ac:dyDescent="0.25">
      <c r="B117" t="s">
        <v>77</v>
      </c>
      <c r="P117">
        <v>14</v>
      </c>
      <c r="Q117">
        <v>3</v>
      </c>
    </row>
    <row r="118" spans="2:17" x14ac:dyDescent="0.25">
      <c r="B118" t="s">
        <v>78</v>
      </c>
      <c r="P118">
        <v>-28</v>
      </c>
      <c r="Q118">
        <v>0</v>
      </c>
    </row>
    <row r="119" spans="2:17" x14ac:dyDescent="0.25">
      <c r="B119" t="s">
        <v>79</v>
      </c>
      <c r="P119">
        <v>0</v>
      </c>
      <c r="Q119">
        <v>-4</v>
      </c>
    </row>
    <row r="120" spans="2:17" x14ac:dyDescent="0.25">
      <c r="B120" s="2" t="s">
        <v>80</v>
      </c>
      <c r="P120" s="2">
        <f>SUM(P116:P119)</f>
        <v>-451</v>
      </c>
      <c r="Q120" s="2">
        <f>SUM(Q116:Q119)</f>
        <v>-520</v>
      </c>
    </row>
    <row r="122" spans="2:17" x14ac:dyDescent="0.25">
      <c r="B122" t="s">
        <v>81</v>
      </c>
      <c r="P122">
        <v>63</v>
      </c>
      <c r="Q122">
        <v>219</v>
      </c>
    </row>
    <row r="123" spans="2:17" x14ac:dyDescent="0.25">
      <c r="B123" t="s">
        <v>82</v>
      </c>
      <c r="P123">
        <v>-89</v>
      </c>
      <c r="Q123">
        <v>-14</v>
      </c>
    </row>
    <row r="124" spans="2:17" x14ac:dyDescent="0.25">
      <c r="B124" t="s">
        <v>83</v>
      </c>
      <c r="P124">
        <v>0</v>
      </c>
      <c r="Q124">
        <v>0</v>
      </c>
    </row>
    <row r="125" spans="2:17" x14ac:dyDescent="0.25">
      <c r="B125" s="2" t="s">
        <v>84</v>
      </c>
      <c r="P125" s="2">
        <f>SUM(P122:P124)</f>
        <v>-26</v>
      </c>
      <c r="Q125" s="2">
        <f>SUM(Q122:Q124)</f>
        <v>205</v>
      </c>
    </row>
    <row r="126" spans="2:17" x14ac:dyDescent="0.25">
      <c r="B126" s="2"/>
      <c r="P126" s="2"/>
    </row>
    <row r="127" spans="2:17" x14ac:dyDescent="0.25">
      <c r="B127" t="s">
        <v>87</v>
      </c>
      <c r="P127">
        <v>55</v>
      </c>
      <c r="Q127">
        <v>7</v>
      </c>
    </row>
    <row r="128" spans="2:17" x14ac:dyDescent="0.25">
      <c r="B128" t="s">
        <v>85</v>
      </c>
      <c r="P128">
        <v>1676</v>
      </c>
      <c r="Q128">
        <v>1728</v>
      </c>
    </row>
    <row r="129" spans="2:17" x14ac:dyDescent="0.25">
      <c r="B129" s="2" t="s">
        <v>86</v>
      </c>
      <c r="P129" s="2">
        <f>P128+P114+P120+P125+P127</f>
        <v>1725</v>
      </c>
      <c r="Q129" s="2">
        <f>Q128+Q114+Q120+Q125+Q127</f>
        <v>2046</v>
      </c>
    </row>
  </sheetData>
  <pageMargins left="0.7" right="0.7" top="0.75" bottom="0.75" header="0.3" footer="0.3"/>
  <pageSetup orientation="portrait" r:id="rId1"/>
  <ignoredErrors>
    <ignoredError sqref="AY39:BA39 AY40:BA58 AY6:BA7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8D8D-ADCB-4F5E-8FEE-A659D2EC236F}">
  <dimension ref="B1:G17"/>
  <sheetViews>
    <sheetView workbookViewId="0">
      <selection activeCell="C29" sqref="C29"/>
    </sheetView>
  </sheetViews>
  <sheetFormatPr baseColWidth="10" defaultRowHeight="15" x14ac:dyDescent="0.25"/>
  <cols>
    <col min="2" max="2" width="33" bestFit="1" customWidth="1"/>
    <col min="3" max="7" width="20.140625" customWidth="1"/>
  </cols>
  <sheetData>
    <row r="1" spans="2:7" x14ac:dyDescent="0.25">
      <c r="B1" s="2" t="s">
        <v>134</v>
      </c>
    </row>
    <row r="2" spans="2:7" x14ac:dyDescent="0.25">
      <c r="C2" t="s">
        <v>101</v>
      </c>
      <c r="D2" t="s">
        <v>102</v>
      </c>
      <c r="E2" t="s">
        <v>104</v>
      </c>
      <c r="F2" t="s">
        <v>103</v>
      </c>
      <c r="G2" t="s">
        <v>105</v>
      </c>
    </row>
    <row r="3" spans="2:7" x14ac:dyDescent="0.25">
      <c r="B3" t="s">
        <v>93</v>
      </c>
      <c r="C3" s="5">
        <v>122000</v>
      </c>
      <c r="F3" s="5">
        <v>260000</v>
      </c>
      <c r="G3" s="5">
        <f>SUM(C3:F3)</f>
        <v>382000</v>
      </c>
    </row>
    <row r="4" spans="2:7" x14ac:dyDescent="0.25">
      <c r="B4" t="s">
        <v>94</v>
      </c>
      <c r="C4" s="5">
        <v>558000</v>
      </c>
      <c r="E4" s="5">
        <v>320000</v>
      </c>
      <c r="G4" s="5">
        <f t="shared" ref="G4:G12" si="0">SUM(C4:F4)</f>
        <v>878000</v>
      </c>
    </row>
    <row r="5" spans="2:7" x14ac:dyDescent="0.25">
      <c r="B5" t="s">
        <v>95</v>
      </c>
      <c r="C5">
        <v>0</v>
      </c>
      <c r="D5" s="5">
        <v>15000</v>
      </c>
      <c r="G5" s="5">
        <f t="shared" si="0"/>
        <v>15000</v>
      </c>
    </row>
    <row r="6" spans="2:7" x14ac:dyDescent="0.25">
      <c r="B6" t="s">
        <v>96</v>
      </c>
      <c r="C6" s="5">
        <v>465000</v>
      </c>
      <c r="G6" s="5">
        <f t="shared" si="0"/>
        <v>465000</v>
      </c>
    </row>
    <row r="7" spans="2:7" x14ac:dyDescent="0.25">
      <c r="B7" s="2" t="s">
        <v>97</v>
      </c>
      <c r="C7" s="6">
        <f>SUM(C3:C6)</f>
        <v>1145000</v>
      </c>
      <c r="D7" s="6">
        <f>SUM(D3:D6)</f>
        <v>15000</v>
      </c>
      <c r="E7" s="6">
        <f t="shared" ref="E7:F7" si="1">SUM(E3:E6)</f>
        <v>320000</v>
      </c>
      <c r="F7" s="6">
        <f t="shared" si="1"/>
        <v>260000</v>
      </c>
      <c r="G7" s="6">
        <f t="shared" si="0"/>
        <v>1740000</v>
      </c>
    </row>
    <row r="9" spans="2:7" x14ac:dyDescent="0.25">
      <c r="B9" t="s">
        <v>98</v>
      </c>
      <c r="C9" s="5">
        <v>141000</v>
      </c>
      <c r="D9">
        <v>0</v>
      </c>
      <c r="E9">
        <v>0</v>
      </c>
      <c r="F9" s="5">
        <v>120000</v>
      </c>
      <c r="G9" s="5">
        <f t="shared" si="0"/>
        <v>261000</v>
      </c>
    </row>
    <row r="10" spans="2:7" x14ac:dyDescent="0.25">
      <c r="B10" s="2" t="s">
        <v>99</v>
      </c>
      <c r="C10" s="6">
        <f>C9</f>
        <v>141000</v>
      </c>
      <c r="D10" s="6">
        <f t="shared" ref="D10:F10" si="2">D9</f>
        <v>0</v>
      </c>
      <c r="E10" s="6">
        <f t="shared" si="2"/>
        <v>0</v>
      </c>
      <c r="F10" s="6">
        <f t="shared" si="2"/>
        <v>120000</v>
      </c>
      <c r="G10" s="6">
        <f t="shared" si="0"/>
        <v>261000</v>
      </c>
    </row>
    <row r="12" spans="2:7" x14ac:dyDescent="0.25">
      <c r="B12" t="s">
        <v>100</v>
      </c>
      <c r="C12" s="5">
        <f>C7+C9</f>
        <v>1286000</v>
      </c>
      <c r="D12" s="5">
        <f>SUM(D7,D10)</f>
        <v>15000</v>
      </c>
      <c r="E12" s="5">
        <f t="shared" ref="E12:F12" si="3">SUM(E7,E10)</f>
        <v>320000</v>
      </c>
      <c r="F12" s="5">
        <f t="shared" si="3"/>
        <v>380000</v>
      </c>
      <c r="G12" s="6">
        <f t="shared" si="0"/>
        <v>2001000</v>
      </c>
    </row>
    <row r="14" spans="2:7" x14ac:dyDescent="0.25">
      <c r="B14" s="2" t="s">
        <v>107</v>
      </c>
      <c r="G14" s="6">
        <v>13700000</v>
      </c>
    </row>
    <row r="15" spans="2:7" x14ac:dyDescent="0.25">
      <c r="B15" t="s">
        <v>108</v>
      </c>
      <c r="G15" s="4">
        <f>(G12-D12)/G14</f>
        <v>0.14496350364963503</v>
      </c>
    </row>
    <row r="17" spans="3:3" x14ac:dyDescent="0.25">
      <c r="C17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F740-70F7-43AB-8184-B88823FDC96D}">
  <dimension ref="B3"/>
  <sheetViews>
    <sheetView workbookViewId="0">
      <selection activeCell="H16" sqref="H15:H16"/>
    </sheetView>
  </sheetViews>
  <sheetFormatPr baseColWidth="10" defaultRowHeight="15" x14ac:dyDescent="0.25"/>
  <sheetData>
    <row r="3" spans="2:2" x14ac:dyDescent="0.25">
      <c r="B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Main</vt:lpstr>
      <vt:lpstr>Model</vt:lpstr>
      <vt:lpstr>Mills</vt:lpstr>
      <vt:lpstr>Note to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Wiland</dc:creator>
  <cp:lastModifiedBy>Håkon Wiland</cp:lastModifiedBy>
  <cp:lastPrinted>2022-07-18T14:07:20Z</cp:lastPrinted>
  <dcterms:created xsi:type="dcterms:W3CDTF">2015-06-05T18:19:34Z</dcterms:created>
  <dcterms:modified xsi:type="dcterms:W3CDTF">2022-12-21T14:10:54Z</dcterms:modified>
</cp:coreProperties>
</file>